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480" yWindow="660" windowWidth="18195" windowHeight="6765" tabRatio="848" activeTab="4"/>
  </bookViews>
  <sheets>
    <sheet name="SUPP SCH B-1.1 B" sheetId="66" r:id="rId1"/>
    <sheet name="SUPP SCH B-1.1 F" sheetId="63" r:id="rId2"/>
    <sheet name="&lt;&lt;&lt;EXPORT" sheetId="70" r:id="rId3"/>
    <sheet name="Rate Case Constants" sheetId="3" r:id="rId4"/>
    <sheet name="Index B" sheetId="40" r:id="rId5"/>
    <sheet name="SCH B-1" sheetId="16" r:id="rId6"/>
    <sheet name="SCH B-2" sheetId="15" r:id="rId7"/>
    <sheet name="SCH B-2.1 B" sheetId="12" r:id="rId8"/>
    <sheet name="SCH B-2.1 F" sheetId="43" r:id="rId9"/>
    <sheet name="SCH B-2.2" sheetId="11" r:id="rId10"/>
    <sheet name="SCH B-2.3 B" sheetId="4" r:id="rId11"/>
    <sheet name="SCH B-2.3 F" sheetId="5" r:id="rId12"/>
    <sheet name="SCH B-2.4" sheetId="7" r:id="rId13"/>
    <sheet name="SCH B-2.5" sheetId="8" r:id="rId14"/>
    <sheet name="SCH B-2.6" sheetId="9" r:id="rId15"/>
    <sheet name="SCH B-2.7" sheetId="10" r:id="rId16"/>
    <sheet name="SCH B-3 B" sheetId="17" r:id="rId17"/>
    <sheet name="SCH B-3 F" sheetId="44" r:id="rId18"/>
    <sheet name="SCH B-3.1" sheetId="18" r:id="rId19"/>
    <sheet name="SCH B-3.2 B" sheetId="55" r:id="rId20"/>
    <sheet name="SCH B-3.2 F" sheetId="57" r:id="rId21"/>
    <sheet name="SCH B-4" sheetId="20" r:id="rId22"/>
    <sheet name="SCH B-4.1" sheetId="45" r:id="rId23"/>
    <sheet name="SCH B-4.2 B" sheetId="67" r:id="rId24"/>
    <sheet name="SCH B-4.2 F" sheetId="68" r:id="rId25"/>
    <sheet name="SCH B-5" sheetId="25" r:id="rId26"/>
    <sheet name="SCH B-5.1" sheetId="26" r:id="rId27"/>
    <sheet name="SCH B-5.2" sheetId="27" r:id="rId28"/>
    <sheet name="SCH B-6" sheetId="28" r:id="rId29"/>
    <sheet name="SCH B-7" sheetId="30" r:id="rId30"/>
    <sheet name="SCH B-7.1" sheetId="32" r:id="rId31"/>
    <sheet name="SCH B-7.2" sheetId="33" r:id="rId32"/>
    <sheet name="SCH B-8 TC" sheetId="48" r:id="rId33"/>
    <sheet name="SCH B-8 G" sheetId="47" r:id="rId34"/>
    <sheet name="DATA&gt;&gt;&gt;" sheetId="6" r:id="rId35"/>
    <sheet name="PIS B" sheetId="37" r:id="rId36"/>
    <sheet name="FCPIS B" sheetId="38" r:id="rId37"/>
    <sheet name="FC CWIP &amp; RWIP B" sheetId="50" r:id="rId38"/>
    <sheet name="PIS F" sheetId="53" r:id="rId39"/>
    <sheet name="FCPIS F" sheetId="52" r:id="rId40"/>
    <sheet name="FC CWIP &amp; RWIP F" sheetId="51" r:id="rId41"/>
    <sheet name="BS G" sheetId="73" r:id="rId42"/>
    <sheet name="IS G" sheetId="58" r:id="rId43"/>
    <sheet name="INV" sheetId="59" r:id="rId44"/>
    <sheet name="DefTax B" sheetId="61" r:id="rId45"/>
    <sheet name="DefTax F" sheetId="62" r:id="rId46"/>
    <sheet name="GLT DEFTAX" sheetId="64" r:id="rId47"/>
    <sheet name="LGE Gas Depr Rates" sheetId="49" r:id="rId48"/>
    <sheet name="LGE Common Depr Rates" sheetId="56" r:id="rId49"/>
    <sheet name="LGE Gas Proposed Depr Rates" sheetId="72" r:id="rId50"/>
    <sheet name="LGE Common Proposed Depr Rates" sheetId="71" r:id="rId51"/>
  </sheets>
  <definedNames>
    <definedName name="_xlnm.Print_Area" localSheetId="48">'LGE Common Depr Rates'!$A$1:$Q$63</definedName>
    <definedName name="_xlnm.Print_Area" localSheetId="47">'LGE Gas Depr Rates'!$A$1:$R$106</definedName>
    <definedName name="_xlnm.Print_Area" localSheetId="5">'SCH B-1'!$A$1:$G$30</definedName>
    <definedName name="_xlnm.Print_Area" localSheetId="6">'SCH B-2'!$A$1:$H$55</definedName>
    <definedName name="_xlnm.Print_Area" localSheetId="7">'SCH B-2.1 B'!$A$1:$I$108</definedName>
    <definedName name="_xlnm.Print_Area" localSheetId="8">'SCH B-2.1 F'!$A$1:$I$108</definedName>
    <definedName name="_xlnm.Print_Area" localSheetId="9">'SCH B-2.2'!$A$1:$I$38</definedName>
    <definedName name="_xlnm.Print_Area" localSheetId="10">'SCH B-2.3 B'!$A$1:$I$108</definedName>
    <definedName name="_xlnm.Print_Area" localSheetId="11">'SCH B-2.3 F'!$A$1:$J$108</definedName>
    <definedName name="_xlnm.Print_Area" localSheetId="12">'SCH B-2.4'!$A$1:$J$26</definedName>
    <definedName name="_xlnm.Print_Area" localSheetId="13">'SCH B-2.5'!$A$1:$I$26</definedName>
    <definedName name="_xlnm.Print_Area" localSheetId="14">'SCH B-2.6'!$A$1:$N$39</definedName>
    <definedName name="_xlnm.Print_Area" localSheetId="15">'SCH B-2.7'!$A$1:$L$68</definedName>
    <definedName name="_xlnm.Print_Area" localSheetId="16">'SCH B-3 B'!$A$1:$J$111</definedName>
    <definedName name="_xlnm.Print_Area" localSheetId="17">'SCH B-3 F'!$A$1:$J$111</definedName>
    <definedName name="_xlnm.Print_Area" localSheetId="18">'SCH B-3.1'!$A$1:$I$38</definedName>
    <definedName name="_xlnm.Print_Area" localSheetId="19">'SCH B-3.2 B'!$A$1:$K$101</definedName>
    <definedName name="_xlnm.Print_Area" localSheetId="20">'SCH B-3.2 F'!$A$1:$K$101</definedName>
    <definedName name="_xlnm.Print_Area" localSheetId="21">'SCH B-4'!$A$1:$K$56</definedName>
    <definedName name="_xlnm.Print_Area" localSheetId="22">'SCH B-4.1'!$A$1:$H$40</definedName>
    <definedName name="_xlnm.Print_Area" localSheetId="23">'SCH B-4.2 B'!$A$1:$J$94</definedName>
    <definedName name="_xlnm.Print_Area" localSheetId="24">'SCH B-4.2 F'!$A$1:$J$153</definedName>
    <definedName name="_xlnm.Print_Area" localSheetId="25">'SCH B-5'!$A$1:$H$52</definedName>
    <definedName name="_xlnm.Print_Area" localSheetId="26">'SCH B-5.1'!$A$1:$F$50</definedName>
    <definedName name="_xlnm.Print_Area" localSheetId="27">'SCH B-5.2'!$A$1:$F$42</definedName>
    <definedName name="_xlnm.Print_Area" localSheetId="28">'SCH B-6'!$A$1:$I$38</definedName>
    <definedName name="_xlnm.Print_Area" localSheetId="29">'SCH B-7'!$A$1:$F$14</definedName>
    <definedName name="_xlnm.Print_Area" localSheetId="30">'SCH B-7.1'!$A$1:$H$15</definedName>
    <definedName name="_xlnm.Print_Area" localSheetId="31">'SCH B-7.2'!$A$1:$F$14</definedName>
    <definedName name="_xlnm.Print_Area" localSheetId="33">'SCH B-8 G'!$A$1:$P$118</definedName>
    <definedName name="_xlnm.Print_Area" localSheetId="32">'SCH B-8 TC'!$A$1:$P$116</definedName>
    <definedName name="Print_Area_MI" localSheetId="4">'Index B'!$A$1:$N$40</definedName>
    <definedName name="_xlnm.Print_Titles" localSheetId="47">'LGE Gas Depr Rates'!$1:$11</definedName>
    <definedName name="_xlnm.Print_Titles" localSheetId="49">'LGE Gas Proposed Depr Rates'!$1:$10</definedName>
    <definedName name="_xlnm.Print_Titles" localSheetId="35">'PIS B'!$1:$8</definedName>
    <definedName name="_xlnm.Print_Titles" localSheetId="38">'PIS F'!$1:$8</definedName>
  </definedNames>
  <calcPr calcId="152511"/>
</workbook>
</file>

<file path=xl/calcChain.xml><?xml version="1.0" encoding="utf-8"?>
<calcChain xmlns="http://schemas.openxmlformats.org/spreadsheetml/2006/main">
  <c r="AB32" i="59" l="1"/>
  <c r="AB44" i="59" s="1"/>
  <c r="AA32" i="59"/>
  <c r="AA44" i="59" s="1"/>
  <c r="Z32" i="59"/>
  <c r="Z44" i="59" s="1"/>
  <c r="Y32" i="59"/>
  <c r="Y44" i="59" s="1"/>
  <c r="X32" i="59"/>
  <c r="X44" i="59" s="1"/>
  <c r="W32" i="59"/>
  <c r="W44" i="59" s="1"/>
  <c r="V32" i="59"/>
  <c r="V44" i="59" s="1"/>
  <c r="U32" i="59"/>
  <c r="U44" i="59" s="1"/>
  <c r="T32" i="59"/>
  <c r="T44" i="59" s="1"/>
  <c r="S32" i="59"/>
  <c r="S44" i="59" s="1"/>
  <c r="R32" i="59"/>
  <c r="R44" i="59" s="1"/>
  <c r="Q32" i="59"/>
  <c r="Q44" i="59" s="1"/>
  <c r="P32" i="59"/>
  <c r="P44" i="59" s="1"/>
  <c r="AB31" i="59"/>
  <c r="AB43" i="59" s="1"/>
  <c r="AA31" i="59"/>
  <c r="AA43" i="59" s="1"/>
  <c r="Z31" i="59"/>
  <c r="Z43" i="59" s="1"/>
  <c r="Y31" i="59"/>
  <c r="Y43" i="59" s="1"/>
  <c r="X31" i="59"/>
  <c r="X43" i="59" s="1"/>
  <c r="W31" i="59"/>
  <c r="W43" i="59" s="1"/>
  <c r="V31" i="59"/>
  <c r="V43" i="59" s="1"/>
  <c r="U31" i="59"/>
  <c r="U43" i="59" s="1"/>
  <c r="T31" i="59"/>
  <c r="T43" i="59" s="1"/>
  <c r="S31" i="59"/>
  <c r="S43" i="59" s="1"/>
  <c r="R31" i="59"/>
  <c r="R43" i="59" s="1"/>
  <c r="Q31" i="59"/>
  <c r="Q43" i="59" s="1"/>
  <c r="P31" i="59"/>
  <c r="P43" i="59" s="1"/>
  <c r="N43" i="59"/>
  <c r="D12" i="28" s="1"/>
  <c r="N32" i="59"/>
  <c r="N44" i="59" s="1"/>
  <c r="N31" i="59"/>
  <c r="N33" i="59" l="1"/>
  <c r="W227" i="73"/>
  <c r="V227" i="73"/>
  <c r="U227" i="73"/>
  <c r="T227" i="73"/>
  <c r="S227" i="73"/>
  <c r="R227" i="73"/>
  <c r="Q227" i="73"/>
  <c r="P227" i="73"/>
  <c r="O227" i="73"/>
  <c r="N227" i="73"/>
  <c r="M227" i="73"/>
  <c r="L227" i="73"/>
  <c r="K227" i="73"/>
  <c r="J227" i="73"/>
  <c r="I227" i="73"/>
  <c r="H227" i="73"/>
  <c r="G227" i="73"/>
  <c r="AA73" i="66" l="1"/>
  <c r="AA75" i="66" s="1"/>
  <c r="Y73" i="66"/>
  <c r="Y75" i="66" s="1"/>
  <c r="W73" i="66"/>
  <c r="W75" i="66" s="1"/>
  <c r="U73" i="66"/>
  <c r="U75" i="66" s="1"/>
  <c r="AA36" i="66"/>
  <c r="AA25" i="66"/>
  <c r="Y25" i="66"/>
  <c r="W25" i="66"/>
  <c r="AA19" i="66"/>
  <c r="W19" i="66"/>
  <c r="W27" i="66" l="1"/>
  <c r="AA27" i="66"/>
  <c r="AA38" i="66" s="1"/>
  <c r="AA42" i="66" s="1"/>
  <c r="O153" i="68" l="1"/>
  <c r="M153" i="68"/>
  <c r="P153" i="68" s="1"/>
  <c r="F153" i="68" s="1"/>
  <c r="J153" i="68"/>
  <c r="O152" i="68"/>
  <c r="M152" i="68"/>
  <c r="P152" i="68" s="1"/>
  <c r="F152" i="68" s="1"/>
  <c r="J152" i="68"/>
  <c r="A15" i="57" l="1"/>
  <c r="A15" i="55"/>
  <c r="F50" i="47" l="1"/>
  <c r="F113" i="47"/>
  <c r="F112" i="47"/>
  <c r="F111" i="47"/>
  <c r="F110" i="47"/>
  <c r="F109" i="47"/>
  <c r="F108" i="47"/>
  <c r="F107" i="47"/>
  <c r="F102" i="47"/>
  <c r="F103" i="47" s="1"/>
  <c r="F101" i="47"/>
  <c r="F100" i="47"/>
  <c r="F99" i="47"/>
  <c r="F98" i="47"/>
  <c r="F96" i="47"/>
  <c r="F95" i="47"/>
  <c r="F91" i="47"/>
  <c r="F92" i="47" s="1"/>
  <c r="F85" i="47"/>
  <c r="F87" i="47" s="1"/>
  <c r="F80" i="47"/>
  <c r="F78" i="47"/>
  <c r="F77" i="47"/>
  <c r="F76" i="47"/>
  <c r="F54" i="47"/>
  <c r="F53" i="47"/>
  <c r="F52" i="47"/>
  <c r="F51" i="47"/>
  <c r="F46" i="47"/>
  <c r="F45" i="47"/>
  <c r="F44" i="47"/>
  <c r="F43" i="47"/>
  <c r="F42" i="47"/>
  <c r="F41" i="47"/>
  <c r="F40" i="47"/>
  <c r="F39" i="47"/>
  <c r="F38" i="47"/>
  <c r="F37" i="47"/>
  <c r="F36" i="47"/>
  <c r="F35" i="47"/>
  <c r="F34" i="47"/>
  <c r="F33" i="47"/>
  <c r="F31" i="47"/>
  <c r="F27" i="47"/>
  <c r="F26" i="47"/>
  <c r="F24" i="47"/>
  <c r="F20" i="47"/>
  <c r="D34" i="47"/>
  <c r="X257" i="73"/>
  <c r="X256" i="73"/>
  <c r="X255" i="73"/>
  <c r="X254" i="73"/>
  <c r="X253" i="73"/>
  <c r="X252" i="73"/>
  <c r="X251" i="73"/>
  <c r="D91" i="47" s="1"/>
  <c r="D92" i="47" s="1"/>
  <c r="X250" i="73"/>
  <c r="X249" i="73"/>
  <c r="X248" i="73"/>
  <c r="X247" i="73"/>
  <c r="X246" i="73"/>
  <c r="X245" i="73"/>
  <c r="X244" i="73"/>
  <c r="X243" i="73"/>
  <c r="D112" i="47" s="1"/>
  <c r="X242" i="73"/>
  <c r="X241" i="73"/>
  <c r="X240" i="73"/>
  <c r="X239" i="73"/>
  <c r="X238" i="73"/>
  <c r="D109" i="47" s="1"/>
  <c r="X237" i="73"/>
  <c r="X236" i="73"/>
  <c r="X235" i="73"/>
  <c r="X234" i="73"/>
  <c r="X233" i="73"/>
  <c r="X232" i="73"/>
  <c r="D111" i="47" s="1"/>
  <c r="X231" i="73"/>
  <c r="X230" i="73"/>
  <c r="X229" i="73"/>
  <c r="X228" i="73"/>
  <c r="X227" i="73"/>
  <c r="D107" i="47" s="1"/>
  <c r="X226" i="73"/>
  <c r="X225" i="73"/>
  <c r="X224" i="73"/>
  <c r="X223" i="73"/>
  <c r="X222" i="73"/>
  <c r="D110" i="47" s="1"/>
  <c r="X221" i="73"/>
  <c r="X220" i="73"/>
  <c r="X219" i="73"/>
  <c r="X218" i="73"/>
  <c r="X217" i="73"/>
  <c r="X216" i="73"/>
  <c r="X215" i="73"/>
  <c r="D108" i="47" s="1"/>
  <c r="X214" i="73"/>
  <c r="X213" i="73"/>
  <c r="X212" i="73"/>
  <c r="X211" i="73"/>
  <c r="X210" i="73"/>
  <c r="D113" i="47" s="1"/>
  <c r="X209" i="73"/>
  <c r="X208" i="73"/>
  <c r="X207" i="73"/>
  <c r="X206" i="73"/>
  <c r="X205" i="73"/>
  <c r="X204" i="73"/>
  <c r="X203" i="73"/>
  <c r="X202" i="73"/>
  <c r="X201" i="73"/>
  <c r="X200" i="73"/>
  <c r="X199" i="73"/>
  <c r="X198" i="73"/>
  <c r="X197" i="73"/>
  <c r="X196" i="73"/>
  <c r="X195" i="73"/>
  <c r="X194" i="73"/>
  <c r="X193" i="73"/>
  <c r="X192" i="73"/>
  <c r="X191" i="73"/>
  <c r="X190" i="73"/>
  <c r="X189" i="73"/>
  <c r="X188" i="73"/>
  <c r="X187" i="73"/>
  <c r="X186" i="73"/>
  <c r="X185" i="73"/>
  <c r="X184" i="73"/>
  <c r="X183" i="73"/>
  <c r="X182" i="73"/>
  <c r="X181" i="73"/>
  <c r="X180" i="73"/>
  <c r="X179" i="73"/>
  <c r="X178" i="73"/>
  <c r="D100" i="47" s="1"/>
  <c r="X177" i="73"/>
  <c r="X176" i="73"/>
  <c r="D99" i="47" s="1"/>
  <c r="X175" i="73"/>
  <c r="X174" i="73"/>
  <c r="D98" i="47" s="1"/>
  <c r="X173" i="73"/>
  <c r="X172" i="73"/>
  <c r="X171" i="73"/>
  <c r="X170" i="73"/>
  <c r="X169" i="73"/>
  <c r="D96" i="47" s="1"/>
  <c r="X168" i="73"/>
  <c r="X167" i="73"/>
  <c r="X166" i="73"/>
  <c r="X165" i="73"/>
  <c r="X164" i="73"/>
  <c r="X163" i="73"/>
  <c r="X162" i="73"/>
  <c r="X161" i="73"/>
  <c r="X160" i="73"/>
  <c r="D95" i="47" s="1"/>
  <c r="X159" i="73"/>
  <c r="X158" i="73"/>
  <c r="X157" i="73"/>
  <c r="X156" i="73"/>
  <c r="X155" i="73"/>
  <c r="X154" i="73"/>
  <c r="X153" i="73"/>
  <c r="X152" i="73"/>
  <c r="X151" i="73"/>
  <c r="X150" i="73"/>
  <c r="X149" i="73"/>
  <c r="X148" i="73"/>
  <c r="X147" i="73"/>
  <c r="X146" i="73"/>
  <c r="X145" i="73"/>
  <c r="D85" i="47" s="1"/>
  <c r="D87" i="47" s="1"/>
  <c r="X144" i="73"/>
  <c r="X143" i="73"/>
  <c r="X142" i="73"/>
  <c r="X141" i="73"/>
  <c r="X140" i="73"/>
  <c r="X139" i="73"/>
  <c r="X138" i="73"/>
  <c r="X137" i="73"/>
  <c r="X136" i="73"/>
  <c r="X135" i="73"/>
  <c r="X134" i="73"/>
  <c r="X133" i="73"/>
  <c r="X132" i="73"/>
  <c r="D80" i="47" s="1"/>
  <c r="X131" i="73"/>
  <c r="X130" i="73"/>
  <c r="X129" i="73"/>
  <c r="X128" i="73"/>
  <c r="D77" i="47" s="1"/>
  <c r="X127" i="73"/>
  <c r="X126" i="73"/>
  <c r="X125" i="73"/>
  <c r="X124" i="73"/>
  <c r="D78" i="47" s="1"/>
  <c r="X123" i="73"/>
  <c r="X122" i="73"/>
  <c r="X121" i="73"/>
  <c r="X120" i="73"/>
  <c r="D76" i="47" s="1"/>
  <c r="X119" i="73"/>
  <c r="X118" i="73"/>
  <c r="X117" i="73"/>
  <c r="X116" i="73"/>
  <c r="X115" i="73"/>
  <c r="X114" i="73"/>
  <c r="X113" i="73"/>
  <c r="X112" i="73"/>
  <c r="X111" i="73"/>
  <c r="X110" i="73"/>
  <c r="X109" i="73"/>
  <c r="D52" i="47" s="1"/>
  <c r="X108" i="73"/>
  <c r="X107" i="73"/>
  <c r="X106" i="73"/>
  <c r="X105" i="73"/>
  <c r="X104" i="73"/>
  <c r="X103" i="73"/>
  <c r="X102" i="73"/>
  <c r="X101" i="73"/>
  <c r="X100" i="73"/>
  <c r="X99" i="73"/>
  <c r="X98" i="73"/>
  <c r="X97" i="73"/>
  <c r="X96" i="73"/>
  <c r="X95" i="73"/>
  <c r="D51" i="47" s="1"/>
  <c r="X94" i="73"/>
  <c r="X93" i="73"/>
  <c r="X92" i="73"/>
  <c r="X91" i="73"/>
  <c r="X90" i="73"/>
  <c r="X89" i="73"/>
  <c r="X88" i="73"/>
  <c r="X87" i="73"/>
  <c r="X86" i="73"/>
  <c r="X85" i="73"/>
  <c r="X84" i="73"/>
  <c r="D54" i="47" s="1"/>
  <c r="X83" i="73"/>
  <c r="X82" i="73"/>
  <c r="X81" i="73"/>
  <c r="X80" i="73"/>
  <c r="X79" i="73"/>
  <c r="X78" i="73"/>
  <c r="X77" i="73"/>
  <c r="D53" i="47" s="1"/>
  <c r="X76" i="73"/>
  <c r="X75" i="73"/>
  <c r="X74" i="73"/>
  <c r="X73" i="73"/>
  <c r="X72" i="73"/>
  <c r="X71" i="73"/>
  <c r="X70" i="73"/>
  <c r="X69" i="73"/>
  <c r="D46" i="47" s="1"/>
  <c r="X68" i="73"/>
  <c r="X67" i="73"/>
  <c r="X66" i="73"/>
  <c r="X65" i="73"/>
  <c r="X64" i="73"/>
  <c r="D43" i="47" s="1"/>
  <c r="X63" i="73"/>
  <c r="X62" i="73"/>
  <c r="X61" i="73"/>
  <c r="X60" i="73"/>
  <c r="X59" i="73"/>
  <c r="X58" i="73"/>
  <c r="X57" i="73"/>
  <c r="D42" i="47" s="1"/>
  <c r="X56" i="73"/>
  <c r="D41" i="47" s="1"/>
  <c r="X55" i="73"/>
  <c r="X54" i="73"/>
  <c r="X53" i="73"/>
  <c r="D39" i="47" s="1"/>
  <c r="X52" i="73"/>
  <c r="X51" i="73"/>
  <c r="X50" i="73"/>
  <c r="D38" i="47" s="1"/>
  <c r="X49" i="73"/>
  <c r="X48" i="73"/>
  <c r="X47" i="73"/>
  <c r="X46" i="73"/>
  <c r="X45" i="73"/>
  <c r="X44" i="73"/>
  <c r="X43" i="73"/>
  <c r="D45" i="47" s="1"/>
  <c r="X42" i="73"/>
  <c r="X41" i="73"/>
  <c r="X40" i="73"/>
  <c r="X39" i="73"/>
  <c r="X38" i="73"/>
  <c r="X37" i="73"/>
  <c r="X36" i="73"/>
  <c r="X35" i="73"/>
  <c r="D35" i="47" s="1"/>
  <c r="X34" i="73"/>
  <c r="X33" i="73"/>
  <c r="X32" i="73"/>
  <c r="X30" i="73"/>
  <c r="X29" i="73"/>
  <c r="X28" i="73"/>
  <c r="X27" i="73"/>
  <c r="D33" i="47" s="1"/>
  <c r="X26" i="73"/>
  <c r="D31" i="47" s="1"/>
  <c r="X25" i="73"/>
  <c r="X24" i="73"/>
  <c r="X23" i="73"/>
  <c r="X22" i="73"/>
  <c r="X21" i="73"/>
  <c r="X20" i="73"/>
  <c r="D27" i="47" s="1"/>
  <c r="X19" i="73"/>
  <c r="D24" i="47" s="1"/>
  <c r="X18" i="73"/>
  <c r="X17" i="73"/>
  <c r="D26" i="47" s="1"/>
  <c r="X16" i="73"/>
  <c r="X15" i="73"/>
  <c r="X14" i="73"/>
  <c r="X13" i="73"/>
  <c r="X12" i="73"/>
  <c r="X11" i="73"/>
  <c r="X10" i="73"/>
  <c r="D20" i="47" s="1"/>
  <c r="X9" i="73"/>
  <c r="D36" i="47" l="1"/>
  <c r="D102" i="47"/>
  <c r="D103" i="47" s="1"/>
  <c r="D40" i="47"/>
  <c r="D101" i="47"/>
  <c r="D104" i="47" s="1"/>
  <c r="D44" i="47"/>
  <c r="D37" i="47"/>
  <c r="D50" i="47"/>
  <c r="D55" i="47" s="1"/>
  <c r="D82" i="47"/>
  <c r="D28" i="47"/>
  <c r="F114" i="47"/>
  <c r="F82" i="47"/>
  <c r="F28" i="47"/>
  <c r="D114" i="47"/>
  <c r="F55" i="47"/>
  <c r="F47" i="47"/>
  <c r="F104" i="47"/>
  <c r="D47" i="47" l="1"/>
  <c r="F259" i="52"/>
  <c r="F263" i="52"/>
  <c r="F34" i="52"/>
  <c r="F38" i="52"/>
  <c r="T39" i="52" l="1"/>
  <c r="T38" i="52"/>
  <c r="T34" i="52"/>
  <c r="T35" i="52"/>
  <c r="T260" i="52"/>
  <c r="T259" i="52"/>
  <c r="T264" i="52"/>
  <c r="T263" i="52"/>
  <c r="AG6" i="64"/>
  <c r="AG3" i="64" s="1"/>
  <c r="AF6" i="64"/>
  <c r="AF3" i="64" s="1"/>
  <c r="AE6" i="64"/>
  <c r="AE3" i="64" s="1"/>
  <c r="AD6" i="64"/>
  <c r="AD3" i="64" s="1"/>
  <c r="AC6" i="64"/>
  <c r="AC3" i="64" s="1"/>
  <c r="AB6" i="64"/>
  <c r="AB3" i="64" s="1"/>
  <c r="AA6" i="64"/>
  <c r="AA3" i="64" s="1"/>
  <c r="Z6" i="64"/>
  <c r="Z3" i="64" s="1"/>
  <c r="Y6" i="64"/>
  <c r="Y3" i="64" s="1"/>
  <c r="X6" i="64"/>
  <c r="X3" i="64" s="1"/>
  <c r="W6" i="64"/>
  <c r="W3" i="64" s="1"/>
  <c r="V6" i="64"/>
  <c r="V3" i="64" s="1"/>
  <c r="U6" i="64"/>
  <c r="U3" i="64" s="1"/>
  <c r="T6" i="64"/>
  <c r="T3" i="64" s="1"/>
  <c r="S6" i="64"/>
  <c r="S3" i="64" s="1"/>
  <c r="R6" i="64"/>
  <c r="R3" i="64" s="1"/>
  <c r="Q6" i="64"/>
  <c r="Q3" i="64" s="1"/>
  <c r="P6" i="64"/>
  <c r="O6" i="64"/>
  <c r="O3" i="64" s="1"/>
  <c r="N6" i="64"/>
  <c r="N3" i="64" s="1"/>
  <c r="M6" i="64"/>
  <c r="M3" i="64" s="1"/>
  <c r="L6" i="64"/>
  <c r="L3" i="64" s="1"/>
  <c r="K6" i="64"/>
  <c r="K3" i="64" s="1"/>
  <c r="J6" i="64"/>
  <c r="J3" i="64" s="1"/>
  <c r="I6" i="64"/>
  <c r="I3" i="64" s="1"/>
  <c r="H6" i="64"/>
  <c r="H3" i="64" s="1"/>
  <c r="G6" i="64"/>
  <c r="G3" i="64" s="1"/>
  <c r="F6" i="64"/>
  <c r="F3" i="64" s="1"/>
  <c r="E6" i="64"/>
  <c r="E3" i="64" s="1"/>
  <c r="D6" i="64"/>
  <c r="D3" i="64" s="1"/>
  <c r="C6" i="64"/>
  <c r="C3" i="64" s="1"/>
  <c r="B6" i="64"/>
  <c r="B3" i="64" s="1"/>
  <c r="AH3" i="64" l="1"/>
  <c r="J94" i="57"/>
  <c r="I94" i="57"/>
  <c r="H94" i="57"/>
  <c r="H51" i="72"/>
  <c r="J93" i="57" l="1"/>
  <c r="I93" i="57"/>
  <c r="H93" i="57"/>
  <c r="J91" i="57"/>
  <c r="I91" i="57"/>
  <c r="H91" i="57"/>
  <c r="F91" i="57"/>
  <c r="J90" i="57"/>
  <c r="I90" i="57"/>
  <c r="H90" i="57"/>
  <c r="F90" i="57"/>
  <c r="J89" i="57"/>
  <c r="I89" i="57"/>
  <c r="H89" i="57"/>
  <c r="J88" i="57"/>
  <c r="I88" i="57"/>
  <c r="H88" i="57"/>
  <c r="J87" i="57"/>
  <c r="I87" i="57"/>
  <c r="H87" i="57"/>
  <c r="J85" i="57"/>
  <c r="I85" i="57"/>
  <c r="H85" i="57"/>
  <c r="F85" i="57"/>
  <c r="J77" i="57"/>
  <c r="I77" i="57"/>
  <c r="H77" i="57"/>
  <c r="J75" i="57"/>
  <c r="I75" i="57"/>
  <c r="H75" i="57"/>
  <c r="F75" i="57"/>
  <c r="J73" i="57"/>
  <c r="I73" i="57"/>
  <c r="H73" i="57"/>
  <c r="J52" i="57"/>
  <c r="I52" i="57"/>
  <c r="H52" i="57"/>
  <c r="F52" i="57"/>
  <c r="J51" i="57"/>
  <c r="I51" i="57"/>
  <c r="H51" i="57"/>
  <c r="F51" i="57"/>
  <c r="J50" i="57"/>
  <c r="I50" i="57"/>
  <c r="H50" i="57"/>
  <c r="F50" i="57"/>
  <c r="J49" i="57"/>
  <c r="I49" i="57"/>
  <c r="H49" i="57"/>
  <c r="F49" i="57"/>
  <c r="J48" i="57"/>
  <c r="I48" i="57"/>
  <c r="H48" i="57"/>
  <c r="F48" i="57"/>
  <c r="J47" i="57"/>
  <c r="I47" i="57"/>
  <c r="H47" i="57"/>
  <c r="F47" i="57"/>
  <c r="J46" i="57"/>
  <c r="I46" i="57"/>
  <c r="H46" i="57"/>
  <c r="F46" i="57"/>
  <c r="J44" i="57"/>
  <c r="I44" i="57"/>
  <c r="H44" i="57"/>
  <c r="F44" i="57"/>
  <c r="J43" i="57"/>
  <c r="I43" i="57"/>
  <c r="H43" i="57"/>
  <c r="J42" i="57"/>
  <c r="I42" i="57"/>
  <c r="H42" i="57"/>
  <c r="J37" i="57"/>
  <c r="I37" i="57"/>
  <c r="H37" i="57"/>
  <c r="F37" i="57"/>
  <c r="J36" i="57"/>
  <c r="I36" i="57"/>
  <c r="H36" i="57"/>
  <c r="F36" i="57"/>
  <c r="J31" i="57"/>
  <c r="I31" i="57"/>
  <c r="H31" i="57"/>
  <c r="F31" i="57"/>
  <c r="J30" i="57"/>
  <c r="I30" i="57"/>
  <c r="H30" i="57"/>
  <c r="F30" i="57"/>
  <c r="J29" i="57"/>
  <c r="I29" i="57"/>
  <c r="H29" i="57"/>
  <c r="F29" i="57"/>
  <c r="J28" i="57"/>
  <c r="I28" i="57"/>
  <c r="H28" i="57"/>
  <c r="F28" i="57"/>
  <c r="J27" i="57"/>
  <c r="I27" i="57"/>
  <c r="H27" i="57"/>
  <c r="F27" i="57"/>
  <c r="J26" i="57"/>
  <c r="I26" i="57"/>
  <c r="H26" i="57"/>
  <c r="F26" i="57"/>
  <c r="J25" i="57"/>
  <c r="I25" i="57"/>
  <c r="H25" i="57"/>
  <c r="J24" i="57"/>
  <c r="I24" i="57"/>
  <c r="H24" i="57"/>
  <c r="J23" i="57"/>
  <c r="I23" i="57"/>
  <c r="H23" i="57"/>
  <c r="F23" i="57"/>
  <c r="J22" i="57"/>
  <c r="I22" i="57"/>
  <c r="H22" i="57"/>
  <c r="J21" i="57"/>
  <c r="I21" i="57"/>
  <c r="H21" i="57"/>
  <c r="F21" i="57"/>
  <c r="J16" i="57"/>
  <c r="I16" i="57"/>
  <c r="H16" i="57"/>
  <c r="F16" i="57"/>
  <c r="H104" i="72"/>
  <c r="F77" i="57" s="1"/>
  <c r="H100" i="72"/>
  <c r="F73" i="57" s="1"/>
  <c r="H79" i="72"/>
  <c r="F43" i="57" s="1"/>
  <c r="H44" i="72"/>
  <c r="F22" i="57" s="1"/>
  <c r="G69" i="71" l="1"/>
  <c r="F94" i="57" s="1"/>
  <c r="G65" i="71"/>
  <c r="F93" i="57" s="1"/>
  <c r="G61" i="71"/>
  <c r="F89" i="57" s="1"/>
  <c r="G41" i="71"/>
  <c r="F88" i="57" s="1"/>
  <c r="G33" i="71"/>
  <c r="F87" i="57" s="1"/>
  <c r="F32" i="10" l="1"/>
  <c r="F31" i="10"/>
  <c r="F30" i="10"/>
  <c r="F33" i="10" s="1"/>
  <c r="F66" i="10"/>
  <c r="F65" i="10"/>
  <c r="F64" i="10"/>
  <c r="F67" i="10" l="1"/>
  <c r="P3" i="64"/>
  <c r="U23" i="66" s="1"/>
  <c r="U25" i="66" s="1"/>
  <c r="AC42" i="59" l="1"/>
  <c r="AC41" i="59"/>
  <c r="AC30" i="59"/>
  <c r="AC29" i="59"/>
  <c r="O42" i="59"/>
  <c r="O41" i="59"/>
  <c r="O30" i="59"/>
  <c r="O29" i="59"/>
  <c r="G16" i="28" l="1"/>
  <c r="G35" i="28" l="1"/>
  <c r="T328" i="52" l="1"/>
  <c r="S328" i="52"/>
  <c r="S327" i="52"/>
  <c r="S326" i="52"/>
  <c r="S325" i="52"/>
  <c r="S324" i="52"/>
  <c r="T323" i="52"/>
  <c r="S323" i="52"/>
  <c r="E330" i="52"/>
  <c r="E329" i="52"/>
  <c r="E328" i="52"/>
  <c r="E327" i="52"/>
  <c r="E326" i="52"/>
  <c r="E325" i="52"/>
  <c r="E324" i="52"/>
  <c r="E323" i="52"/>
  <c r="E322" i="52"/>
  <c r="E321" i="52"/>
  <c r="E320" i="52"/>
  <c r="C327" i="52"/>
  <c r="A327" i="52"/>
  <c r="C326" i="52"/>
  <c r="A326" i="52"/>
  <c r="C325" i="52"/>
  <c r="A325" i="52"/>
  <c r="C324" i="52"/>
  <c r="A324" i="52"/>
  <c r="C18" i="51" l="1"/>
  <c r="A18" i="51"/>
  <c r="C10" i="50"/>
  <c r="A10" i="50"/>
  <c r="Q10" i="51"/>
  <c r="C10" i="51"/>
  <c r="A10" i="51"/>
  <c r="AE34" i="63" l="1"/>
  <c r="AE34" i="66"/>
  <c r="J114" i="48" l="1"/>
  <c r="J104" i="48"/>
  <c r="J92" i="48"/>
  <c r="J87" i="48"/>
  <c r="J82" i="48"/>
  <c r="J55" i="48"/>
  <c r="J47" i="48"/>
  <c r="J28" i="48"/>
  <c r="J19" i="48"/>
  <c r="J21" i="48" s="1"/>
  <c r="L114" i="48"/>
  <c r="L104" i="48"/>
  <c r="L92" i="48"/>
  <c r="L87" i="48"/>
  <c r="L82" i="48"/>
  <c r="L55" i="48"/>
  <c r="L47" i="48"/>
  <c r="L28" i="48"/>
  <c r="L19" i="48"/>
  <c r="L21" i="48" s="1"/>
  <c r="N114" i="48"/>
  <c r="N104" i="48"/>
  <c r="N92" i="48"/>
  <c r="N87" i="48"/>
  <c r="N82" i="48"/>
  <c r="N55" i="48"/>
  <c r="N47" i="48"/>
  <c r="N28" i="48"/>
  <c r="N19" i="48"/>
  <c r="N21" i="48" s="1"/>
  <c r="P114" i="48"/>
  <c r="P55" i="48"/>
  <c r="P47" i="48"/>
  <c r="P28" i="48"/>
  <c r="P19" i="48"/>
  <c r="P21" i="48" s="1"/>
  <c r="M46" i="47"/>
  <c r="L114" i="47"/>
  <c r="L104" i="47"/>
  <c r="L92" i="47"/>
  <c r="L87" i="47"/>
  <c r="L82" i="47"/>
  <c r="L55" i="47"/>
  <c r="L47" i="47"/>
  <c r="L28" i="47"/>
  <c r="L19" i="47"/>
  <c r="L21" i="47" s="1"/>
  <c r="N114" i="47"/>
  <c r="N104" i="47"/>
  <c r="N92" i="47"/>
  <c r="N87" i="47"/>
  <c r="N82" i="47"/>
  <c r="P114" i="47"/>
  <c r="P116" i="47" s="1"/>
  <c r="N55" i="47"/>
  <c r="N47" i="47"/>
  <c r="N28" i="47"/>
  <c r="N19" i="47"/>
  <c r="N21" i="47" s="1"/>
  <c r="P55" i="47"/>
  <c r="P47" i="47"/>
  <c r="P28" i="47"/>
  <c r="P19" i="47"/>
  <c r="P21" i="47" s="1"/>
  <c r="I108" i="47"/>
  <c r="A7" i="48"/>
  <c r="H87" i="47" l="1"/>
  <c r="H92" i="47"/>
  <c r="H104" i="47"/>
  <c r="H28" i="47"/>
  <c r="H82" i="47"/>
  <c r="H114" i="47"/>
  <c r="H47" i="47"/>
  <c r="H55" i="47"/>
  <c r="J114" i="47"/>
  <c r="H19" i="47"/>
  <c r="H21" i="47" s="1"/>
  <c r="J19" i="47"/>
  <c r="J21" i="47" s="1"/>
  <c r="C22" i="51" l="1"/>
  <c r="C21" i="51"/>
  <c r="C20" i="51"/>
  <c r="C19" i="51"/>
  <c r="C17" i="51"/>
  <c r="C16" i="51"/>
  <c r="C13" i="51"/>
  <c r="C12" i="51"/>
  <c r="C11" i="51"/>
  <c r="C9" i="51"/>
  <c r="C8" i="51"/>
  <c r="C7" i="51"/>
  <c r="C6" i="51"/>
  <c r="A22" i="51"/>
  <c r="A21" i="51"/>
  <c r="A20" i="51"/>
  <c r="A19" i="51"/>
  <c r="A17" i="51"/>
  <c r="A16" i="51"/>
  <c r="A15" i="51"/>
  <c r="A14" i="51"/>
  <c r="A13" i="51"/>
  <c r="A12" i="51"/>
  <c r="A11" i="51"/>
  <c r="A9" i="51"/>
  <c r="A8" i="51"/>
  <c r="A7" i="51"/>
  <c r="A6" i="51"/>
  <c r="C328" i="52"/>
  <c r="C323" i="52"/>
  <c r="C320" i="52"/>
  <c r="C319" i="52"/>
  <c r="C318" i="52"/>
  <c r="C317" i="52"/>
  <c r="C316" i="52"/>
  <c r="C315" i="52"/>
  <c r="C314" i="52"/>
  <c r="C313" i="52"/>
  <c r="C312" i="52"/>
  <c r="C311" i="52"/>
  <c r="C310" i="52"/>
  <c r="C309" i="52"/>
  <c r="C308" i="52"/>
  <c r="C307" i="52"/>
  <c r="C306" i="52"/>
  <c r="C305" i="52"/>
  <c r="C90" i="52"/>
  <c r="C89" i="52"/>
  <c r="C88" i="52"/>
  <c r="C87" i="52"/>
  <c r="C86" i="52"/>
  <c r="C85" i="52"/>
  <c r="C84" i="52"/>
  <c r="C83" i="52"/>
  <c r="C82" i="52"/>
  <c r="C81" i="52"/>
  <c r="C80" i="52"/>
  <c r="C79" i="52"/>
  <c r="C78" i="52"/>
  <c r="C77" i="52"/>
  <c r="C76" i="52"/>
  <c r="C75" i="52"/>
  <c r="C74" i="52"/>
  <c r="E319" i="52"/>
  <c r="E318" i="52"/>
  <c r="E317" i="52"/>
  <c r="E316" i="52"/>
  <c r="E315" i="52"/>
  <c r="E314" i="52"/>
  <c r="E313" i="52"/>
  <c r="E312" i="52"/>
  <c r="E311" i="52"/>
  <c r="E310" i="52"/>
  <c r="E309" i="52"/>
  <c r="E308" i="52"/>
  <c r="E307" i="52"/>
  <c r="E306" i="52"/>
  <c r="E305" i="52"/>
  <c r="E304" i="52"/>
  <c r="E303" i="52"/>
  <c r="E302" i="52"/>
  <c r="E301" i="52"/>
  <c r="E300" i="52"/>
  <c r="E299" i="52"/>
  <c r="E298" i="52"/>
  <c r="E297" i="52"/>
  <c r="E296" i="52"/>
  <c r="E295" i="52"/>
  <c r="E294" i="52"/>
  <c r="E293" i="52"/>
  <c r="E292" i="52"/>
  <c r="E291" i="52"/>
  <c r="E290" i="52"/>
  <c r="E289" i="52"/>
  <c r="E288" i="52"/>
  <c r="E287" i="52"/>
  <c r="E286" i="52"/>
  <c r="E285" i="52"/>
  <c r="E284" i="52"/>
  <c r="E283" i="52"/>
  <c r="E282" i="52"/>
  <c r="E281" i="52"/>
  <c r="E280" i="52"/>
  <c r="E279" i="52"/>
  <c r="E278" i="52"/>
  <c r="E277" i="52"/>
  <c r="E276" i="52"/>
  <c r="E275" i="52"/>
  <c r="E274" i="52"/>
  <c r="E273" i="52"/>
  <c r="E272" i="52"/>
  <c r="E271" i="52"/>
  <c r="E270" i="52"/>
  <c r="E269" i="52"/>
  <c r="E268" i="52"/>
  <c r="E267" i="52"/>
  <c r="E266" i="52"/>
  <c r="E265" i="52"/>
  <c r="E264" i="52"/>
  <c r="E263" i="52"/>
  <c r="E262" i="52"/>
  <c r="E261" i="52"/>
  <c r="E260" i="52"/>
  <c r="E259" i="52"/>
  <c r="E258" i="52"/>
  <c r="E257" i="52"/>
  <c r="E256" i="52"/>
  <c r="E255" i="52"/>
  <c r="E254" i="52"/>
  <c r="E253" i="52"/>
  <c r="E252" i="52"/>
  <c r="E251" i="52"/>
  <c r="E250" i="52"/>
  <c r="E249" i="52"/>
  <c r="E248" i="52"/>
  <c r="E247" i="52"/>
  <c r="E246" i="52"/>
  <c r="E245" i="52"/>
  <c r="E244" i="52"/>
  <c r="E243" i="52"/>
  <c r="E242" i="52"/>
  <c r="E241" i="52"/>
  <c r="E240" i="52"/>
  <c r="E239" i="52"/>
  <c r="E238" i="52"/>
  <c r="E237" i="52"/>
  <c r="E236" i="52"/>
  <c r="E235" i="52"/>
  <c r="E234" i="52"/>
  <c r="E233" i="52"/>
  <c r="E232" i="52"/>
  <c r="E231" i="52"/>
  <c r="E230" i="52"/>
  <c r="E229" i="52"/>
  <c r="E228" i="52"/>
  <c r="E227" i="52"/>
  <c r="E226" i="52"/>
  <c r="E225" i="52"/>
  <c r="E224" i="52"/>
  <c r="E223" i="52"/>
  <c r="E222" i="52"/>
  <c r="E221" i="52"/>
  <c r="E220" i="52"/>
  <c r="E219" i="52"/>
  <c r="E218" i="52"/>
  <c r="E217" i="52"/>
  <c r="E216" i="52"/>
  <c r="E215" i="52"/>
  <c r="E214" i="52"/>
  <c r="E213" i="52"/>
  <c r="E212" i="52"/>
  <c r="E211" i="52"/>
  <c r="E210" i="52"/>
  <c r="E209" i="52"/>
  <c r="E204" i="52"/>
  <c r="E203" i="52"/>
  <c r="E202" i="52"/>
  <c r="E201" i="52"/>
  <c r="E200" i="52"/>
  <c r="E199" i="52"/>
  <c r="E198" i="52"/>
  <c r="E197" i="52"/>
  <c r="E196" i="52"/>
  <c r="E195" i="52"/>
  <c r="E194" i="52"/>
  <c r="E193" i="52"/>
  <c r="E192" i="52"/>
  <c r="E191" i="52"/>
  <c r="E190" i="52"/>
  <c r="E189" i="52"/>
  <c r="E188" i="52"/>
  <c r="E187" i="52"/>
  <c r="E186" i="52"/>
  <c r="E185" i="52"/>
  <c r="E184" i="52"/>
  <c r="E183" i="52"/>
  <c r="E182" i="52"/>
  <c r="E181" i="52"/>
  <c r="E180" i="52"/>
  <c r="E179" i="52"/>
  <c r="E177" i="52"/>
  <c r="E176" i="52"/>
  <c r="E175" i="52"/>
  <c r="E174" i="52"/>
  <c r="E173" i="52"/>
  <c r="E172" i="52"/>
  <c r="E171" i="52"/>
  <c r="E170" i="52"/>
  <c r="E169" i="52"/>
  <c r="E168" i="52"/>
  <c r="E167" i="52"/>
  <c r="E166" i="52"/>
  <c r="E165" i="52"/>
  <c r="E164" i="52"/>
  <c r="E163" i="52"/>
  <c r="E162" i="52"/>
  <c r="E161" i="52"/>
  <c r="E160" i="52"/>
  <c r="E159" i="52"/>
  <c r="E158" i="52"/>
  <c r="E157" i="52"/>
  <c r="E156" i="52"/>
  <c r="E155" i="52"/>
  <c r="E154" i="52"/>
  <c r="E153" i="52"/>
  <c r="E152" i="52"/>
  <c r="E151" i="52"/>
  <c r="E150" i="52"/>
  <c r="E149" i="52"/>
  <c r="E148" i="52"/>
  <c r="E147" i="52"/>
  <c r="E146" i="52"/>
  <c r="E145" i="52"/>
  <c r="E140" i="52"/>
  <c r="E139" i="52"/>
  <c r="E138" i="52"/>
  <c r="E137" i="52"/>
  <c r="E136" i="52"/>
  <c r="E135" i="52"/>
  <c r="E134" i="52"/>
  <c r="E133" i="52"/>
  <c r="E132" i="52"/>
  <c r="E131" i="52"/>
  <c r="E130" i="52"/>
  <c r="E129" i="52"/>
  <c r="E128" i="52"/>
  <c r="E127" i="52"/>
  <c r="E126" i="52"/>
  <c r="E125" i="52"/>
  <c r="E124" i="52"/>
  <c r="E123" i="52"/>
  <c r="E122" i="52"/>
  <c r="E121" i="52"/>
  <c r="E120" i="52"/>
  <c r="E119" i="52"/>
  <c r="E118" i="52"/>
  <c r="E117" i="52"/>
  <c r="E116" i="52"/>
  <c r="E115" i="52"/>
  <c r="E114" i="52"/>
  <c r="E113" i="52"/>
  <c r="E112" i="52"/>
  <c r="E111" i="52"/>
  <c r="E110" i="52"/>
  <c r="E109" i="52"/>
  <c r="E108" i="52"/>
  <c r="E107" i="52"/>
  <c r="E106" i="52"/>
  <c r="E105" i="52"/>
  <c r="E104" i="52"/>
  <c r="E103" i="52"/>
  <c r="E102" i="52"/>
  <c r="E101" i="52"/>
  <c r="E100" i="52"/>
  <c r="E99" i="52"/>
  <c r="E98" i="52"/>
  <c r="E97" i="52"/>
  <c r="E96" i="52"/>
  <c r="E95" i="52"/>
  <c r="E94" i="52"/>
  <c r="E93" i="52"/>
  <c r="E92" i="52"/>
  <c r="E90" i="52"/>
  <c r="E89" i="52"/>
  <c r="E88" i="52"/>
  <c r="E87" i="52"/>
  <c r="E86" i="52"/>
  <c r="E85" i="52"/>
  <c r="E84" i="52"/>
  <c r="E83" i="52"/>
  <c r="E82" i="52"/>
  <c r="E81" i="52"/>
  <c r="E80" i="52"/>
  <c r="E79" i="52"/>
  <c r="E78" i="52"/>
  <c r="E77" i="52"/>
  <c r="E76" i="52"/>
  <c r="E75" i="52"/>
  <c r="E74" i="52"/>
  <c r="E73" i="52"/>
  <c r="E72" i="52"/>
  <c r="E71" i="52"/>
  <c r="E70" i="52"/>
  <c r="E69" i="52"/>
  <c r="E68" i="52"/>
  <c r="E67" i="52"/>
  <c r="E66" i="52"/>
  <c r="E65" i="52"/>
  <c r="E64" i="52"/>
  <c r="E63" i="52"/>
  <c r="E62" i="52"/>
  <c r="E61" i="52"/>
  <c r="E60" i="52"/>
  <c r="E59" i="52"/>
  <c r="E58" i="52"/>
  <c r="E57" i="52"/>
  <c r="E56" i="52"/>
  <c r="E55" i="52"/>
  <c r="E54" i="52"/>
  <c r="E53" i="52"/>
  <c r="E52" i="52"/>
  <c r="E51" i="52"/>
  <c r="E50" i="52"/>
  <c r="E49" i="52"/>
  <c r="E48" i="52"/>
  <c r="E47" i="52"/>
  <c r="E46" i="52"/>
  <c r="E45" i="52"/>
  <c r="E44" i="52"/>
  <c r="E43" i="52"/>
  <c r="E42" i="52"/>
  <c r="E41" i="52"/>
  <c r="E40" i="52"/>
  <c r="E39" i="52"/>
  <c r="E38" i="52"/>
  <c r="E37" i="52"/>
  <c r="E36" i="52"/>
  <c r="E35" i="52"/>
  <c r="E34" i="52"/>
  <c r="E33" i="52"/>
  <c r="E32" i="52"/>
  <c r="E31" i="52"/>
  <c r="E30" i="52"/>
  <c r="E29" i="52"/>
  <c r="E28" i="52"/>
  <c r="E27" i="52"/>
  <c r="E26" i="52"/>
  <c r="E25" i="52"/>
  <c r="E24" i="52"/>
  <c r="E23" i="52"/>
  <c r="E22" i="52"/>
  <c r="E21" i="52"/>
  <c r="E20" i="52"/>
  <c r="E19" i="52"/>
  <c r="E18" i="52"/>
  <c r="E17" i="52"/>
  <c r="E16" i="52"/>
  <c r="E15" i="52"/>
  <c r="E14" i="52"/>
  <c r="E13" i="52"/>
  <c r="E12" i="52"/>
  <c r="E11" i="52"/>
  <c r="E10" i="52"/>
  <c r="E9" i="52"/>
  <c r="E8" i="52"/>
  <c r="E7" i="52"/>
  <c r="E6" i="52"/>
  <c r="Y5" i="53"/>
  <c r="T111" i="37"/>
  <c r="A21" i="50"/>
  <c r="A20" i="50"/>
  <c r="A19" i="50"/>
  <c r="A18" i="50"/>
  <c r="A17" i="50"/>
  <c r="A16" i="50"/>
  <c r="A13" i="50"/>
  <c r="A11" i="50"/>
  <c r="A9" i="50"/>
  <c r="A8" i="50"/>
  <c r="A7" i="50"/>
  <c r="A6" i="50"/>
  <c r="A12" i="50"/>
  <c r="C21" i="50"/>
  <c r="C20" i="50"/>
  <c r="C19" i="50"/>
  <c r="C18" i="50"/>
  <c r="C17" i="50"/>
  <c r="C16" i="50"/>
  <c r="C15" i="50"/>
  <c r="C14" i="50"/>
  <c r="C13" i="50"/>
  <c r="C12" i="50"/>
  <c r="C11" i="50"/>
  <c r="C9" i="50"/>
  <c r="C8" i="50"/>
  <c r="C7" i="50"/>
  <c r="C6" i="50"/>
  <c r="A15" i="50"/>
  <c r="A14" i="50"/>
  <c r="C35" i="45" l="1"/>
  <c r="C15" i="45"/>
  <c r="C16" i="45"/>
  <c r="C20" i="20"/>
  <c r="C42" i="20"/>
  <c r="C14" i="20"/>
  <c r="C22" i="20"/>
  <c r="C16" i="20"/>
  <c r="C24" i="20"/>
  <c r="C18" i="20"/>
  <c r="C113" i="38"/>
  <c r="E324" i="38" l="1"/>
  <c r="E323" i="38"/>
  <c r="E322" i="38"/>
  <c r="E321" i="38"/>
  <c r="E320" i="38"/>
  <c r="E319" i="38"/>
  <c r="E318" i="38"/>
  <c r="E317" i="38"/>
  <c r="E316" i="38"/>
  <c r="E315" i="38"/>
  <c r="E314" i="38"/>
  <c r="E313" i="38"/>
  <c r="E312" i="38"/>
  <c r="E311" i="38"/>
  <c r="E310" i="38"/>
  <c r="E309" i="38"/>
  <c r="E308" i="38"/>
  <c r="E307" i="38"/>
  <c r="E306" i="38"/>
  <c r="E305" i="38"/>
  <c r="E304" i="38"/>
  <c r="E303" i="38"/>
  <c r="E302" i="38"/>
  <c r="E301" i="38"/>
  <c r="E300" i="38"/>
  <c r="E299" i="38"/>
  <c r="E298" i="38"/>
  <c r="E297" i="38"/>
  <c r="E296" i="38"/>
  <c r="E295" i="38"/>
  <c r="E294" i="38"/>
  <c r="E293" i="38"/>
  <c r="E292" i="38"/>
  <c r="E291" i="38"/>
  <c r="E290" i="38"/>
  <c r="E289" i="38"/>
  <c r="E288" i="38"/>
  <c r="E287" i="38"/>
  <c r="E286" i="38"/>
  <c r="E285" i="38"/>
  <c r="E284" i="38"/>
  <c r="E283" i="38"/>
  <c r="E282" i="38"/>
  <c r="E281" i="38"/>
  <c r="E280" i="38"/>
  <c r="E279" i="38"/>
  <c r="E278" i="38"/>
  <c r="E277" i="38"/>
  <c r="E276" i="38"/>
  <c r="E275" i="38"/>
  <c r="E274" i="38"/>
  <c r="E273" i="38"/>
  <c r="E272" i="38"/>
  <c r="E271" i="38"/>
  <c r="E270" i="38"/>
  <c r="E269" i="38"/>
  <c r="E268" i="38"/>
  <c r="E267" i="38"/>
  <c r="E266" i="38"/>
  <c r="E265" i="38"/>
  <c r="E264" i="38"/>
  <c r="E263" i="38"/>
  <c r="E262" i="38"/>
  <c r="E261" i="38"/>
  <c r="E260" i="38"/>
  <c r="E259" i="38"/>
  <c r="E258" i="38"/>
  <c r="E257" i="38"/>
  <c r="E256" i="38"/>
  <c r="E255" i="38"/>
  <c r="E254" i="38"/>
  <c r="E253" i="38"/>
  <c r="E252" i="38"/>
  <c r="E251" i="38"/>
  <c r="E250" i="38"/>
  <c r="E249" i="38"/>
  <c r="E248" i="38"/>
  <c r="E247" i="38"/>
  <c r="E246" i="38"/>
  <c r="E245" i="38"/>
  <c r="E244" i="38"/>
  <c r="E243" i="38"/>
  <c r="E242" i="38"/>
  <c r="E241" i="38"/>
  <c r="E240" i="38"/>
  <c r="E239" i="38"/>
  <c r="E238" i="38"/>
  <c r="E237" i="38"/>
  <c r="E236" i="38"/>
  <c r="E235" i="38"/>
  <c r="E234" i="38"/>
  <c r="E233" i="38"/>
  <c r="E232" i="38"/>
  <c r="E231" i="38"/>
  <c r="E230" i="38"/>
  <c r="E229" i="38"/>
  <c r="E228" i="38"/>
  <c r="E227" i="38"/>
  <c r="E226" i="38"/>
  <c r="E225" i="38"/>
  <c r="E224" i="38"/>
  <c r="E223" i="38"/>
  <c r="E222" i="38"/>
  <c r="E221" i="38"/>
  <c r="E220" i="38"/>
  <c r="E219" i="38"/>
  <c r="E218" i="38"/>
  <c r="E217" i="38"/>
  <c r="E216" i="38"/>
  <c r="E215" i="38"/>
  <c r="E214" i="38"/>
  <c r="E213" i="38"/>
  <c r="E212" i="38"/>
  <c r="E211" i="38"/>
  <c r="E210" i="38"/>
  <c r="E209" i="38"/>
  <c r="E204" i="38"/>
  <c r="E203" i="38"/>
  <c r="E202" i="38"/>
  <c r="E201" i="38"/>
  <c r="E200" i="38"/>
  <c r="E199" i="38"/>
  <c r="E198" i="38"/>
  <c r="E197" i="38"/>
  <c r="E196" i="38"/>
  <c r="E195" i="38"/>
  <c r="E194" i="38"/>
  <c r="E193" i="38"/>
  <c r="E192" i="38"/>
  <c r="E191" i="38"/>
  <c r="E190" i="38"/>
  <c r="E189" i="38"/>
  <c r="E188" i="38"/>
  <c r="E187" i="38"/>
  <c r="E186" i="38"/>
  <c r="E185" i="38"/>
  <c r="E184" i="38"/>
  <c r="E183" i="38"/>
  <c r="E182" i="38"/>
  <c r="E181" i="38"/>
  <c r="E180" i="38"/>
  <c r="E179" i="38"/>
  <c r="E177" i="38"/>
  <c r="E176" i="38"/>
  <c r="E175" i="38"/>
  <c r="E174" i="38"/>
  <c r="E173" i="38"/>
  <c r="E172" i="38"/>
  <c r="E171" i="38"/>
  <c r="E170" i="38"/>
  <c r="E169" i="38"/>
  <c r="E168" i="38"/>
  <c r="E167" i="38"/>
  <c r="E166" i="38"/>
  <c r="E165" i="38"/>
  <c r="E164" i="38"/>
  <c r="E163" i="38"/>
  <c r="E162" i="38"/>
  <c r="E161" i="38"/>
  <c r="E160" i="38"/>
  <c r="E159" i="38"/>
  <c r="E158" i="38"/>
  <c r="E157" i="38"/>
  <c r="E156" i="38"/>
  <c r="E155" i="38"/>
  <c r="E154" i="38"/>
  <c r="E153" i="38"/>
  <c r="E152" i="38"/>
  <c r="E151" i="38"/>
  <c r="E150" i="38"/>
  <c r="E149" i="38"/>
  <c r="E148" i="38"/>
  <c r="E147" i="38"/>
  <c r="E146" i="38"/>
  <c r="E145" i="38"/>
  <c r="E140" i="38"/>
  <c r="E139" i="38"/>
  <c r="E138" i="38"/>
  <c r="E137" i="38"/>
  <c r="E136" i="38"/>
  <c r="E135" i="38"/>
  <c r="E134" i="38"/>
  <c r="E133" i="38"/>
  <c r="E132" i="38"/>
  <c r="E131" i="38"/>
  <c r="E130" i="38"/>
  <c r="E129" i="38"/>
  <c r="E128" i="38"/>
  <c r="E127" i="38"/>
  <c r="E126" i="38"/>
  <c r="E125" i="38"/>
  <c r="E124" i="38"/>
  <c r="E123" i="38"/>
  <c r="E122" i="38"/>
  <c r="E121" i="38"/>
  <c r="E120" i="38"/>
  <c r="E119" i="38"/>
  <c r="E118" i="38"/>
  <c r="E117" i="38"/>
  <c r="E116" i="38"/>
  <c r="E115" i="38"/>
  <c r="E114" i="38"/>
  <c r="E113" i="38"/>
  <c r="E112" i="38"/>
  <c r="E111" i="38"/>
  <c r="E110" i="38"/>
  <c r="E109" i="38"/>
  <c r="E108" i="38"/>
  <c r="E107" i="38"/>
  <c r="E106" i="38"/>
  <c r="E105" i="38"/>
  <c r="E104" i="38"/>
  <c r="E103" i="38"/>
  <c r="E102" i="38"/>
  <c r="E101" i="38"/>
  <c r="E100" i="38"/>
  <c r="E99" i="38"/>
  <c r="E98" i="38"/>
  <c r="E97" i="38"/>
  <c r="E96" i="38"/>
  <c r="E95" i="38"/>
  <c r="E94" i="38"/>
  <c r="E93" i="38"/>
  <c r="E92" i="38"/>
  <c r="E90" i="38"/>
  <c r="E89" i="38"/>
  <c r="E88" i="38"/>
  <c r="E87" i="38"/>
  <c r="E86" i="38"/>
  <c r="E85" i="38"/>
  <c r="E84" i="38"/>
  <c r="E83" i="38"/>
  <c r="E82" i="38"/>
  <c r="E81" i="38"/>
  <c r="E80" i="38"/>
  <c r="E79" i="38"/>
  <c r="E78" i="38"/>
  <c r="E77" i="38"/>
  <c r="E76" i="38"/>
  <c r="E75" i="38"/>
  <c r="E74" i="38"/>
  <c r="E73" i="38"/>
  <c r="E72" i="38"/>
  <c r="E71" i="38"/>
  <c r="E70" i="38"/>
  <c r="E69" i="38"/>
  <c r="E68" i="38"/>
  <c r="E67" i="38"/>
  <c r="E66" i="38"/>
  <c r="E65" i="38"/>
  <c r="E64" i="38"/>
  <c r="E63" i="38"/>
  <c r="E62" i="38"/>
  <c r="E61" i="38"/>
  <c r="E60" i="38"/>
  <c r="E59" i="38"/>
  <c r="E58" i="38"/>
  <c r="E57" i="38"/>
  <c r="E56" i="38"/>
  <c r="E55" i="38"/>
  <c r="E54" i="38"/>
  <c r="E53" i="38"/>
  <c r="E52" i="38"/>
  <c r="E51" i="38"/>
  <c r="E50" i="38"/>
  <c r="E49" i="38"/>
  <c r="E48" i="38"/>
  <c r="E47" i="38"/>
  <c r="E46" i="38"/>
  <c r="E45" i="38"/>
  <c r="E44" i="38"/>
  <c r="E43" i="38"/>
  <c r="E42" i="38"/>
  <c r="E41" i="38"/>
  <c r="E40" i="38"/>
  <c r="E39" i="38"/>
  <c r="E38" i="38"/>
  <c r="E37" i="38"/>
  <c r="E36" i="38"/>
  <c r="E35" i="38"/>
  <c r="E34" i="38"/>
  <c r="E33" i="38"/>
  <c r="E32" i="38"/>
  <c r="E31" i="38"/>
  <c r="E30" i="38"/>
  <c r="E29" i="38"/>
  <c r="E28" i="38"/>
  <c r="E27" i="38"/>
  <c r="E26" i="38"/>
  <c r="E25" i="38"/>
  <c r="E24" i="38"/>
  <c r="E23" i="38"/>
  <c r="E22" i="38"/>
  <c r="E21" i="38"/>
  <c r="E20" i="38"/>
  <c r="E19" i="38"/>
  <c r="E18" i="38"/>
  <c r="E17" i="38"/>
  <c r="E16" i="38"/>
  <c r="E15" i="38"/>
  <c r="E14" i="38"/>
  <c r="E13" i="38"/>
  <c r="E12" i="38"/>
  <c r="E11" i="38"/>
  <c r="E10" i="38"/>
  <c r="E9" i="38"/>
  <c r="E8" i="38"/>
  <c r="E7" i="38"/>
  <c r="E6" i="38"/>
  <c r="W5" i="37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AE2" i="63" l="1"/>
  <c r="AE2" i="66"/>
  <c r="C79" i="38" l="1"/>
  <c r="I96" i="44" l="1"/>
  <c r="I51" i="44"/>
  <c r="I96" i="17"/>
  <c r="I51" i="17"/>
  <c r="B53" i="63" l="1"/>
  <c r="B54" i="63"/>
  <c r="B53" i="66"/>
  <c r="B54" i="66"/>
  <c r="G27" i="47" l="1"/>
  <c r="G112" i="47"/>
  <c r="G108" i="47"/>
  <c r="E53" i="47"/>
  <c r="E35" i="47"/>
  <c r="E20" i="47"/>
  <c r="I112" i="48"/>
  <c r="G112" i="48"/>
  <c r="E112" i="48"/>
  <c r="E27" i="48"/>
  <c r="E26" i="48"/>
  <c r="E100" i="47" l="1"/>
  <c r="E36" i="47"/>
  <c r="E44" i="47"/>
  <c r="E40" i="47"/>
  <c r="E42" i="47"/>
  <c r="E27" i="47"/>
  <c r="E33" i="47"/>
  <c r="E108" i="47"/>
  <c r="E37" i="47"/>
  <c r="E45" i="47"/>
  <c r="E41" i="47"/>
  <c r="E99" i="47"/>
  <c r="E95" i="47"/>
  <c r="E102" i="47"/>
  <c r="E80" i="47"/>
  <c r="E43" i="47"/>
  <c r="E96" i="47"/>
  <c r="E92" i="47"/>
  <c r="E101" i="47"/>
  <c r="E109" i="47"/>
  <c r="E112" i="47"/>
  <c r="E76" i="47"/>
  <c r="E78" i="47"/>
  <c r="E77" i="47"/>
  <c r="E98" i="47"/>
  <c r="E113" i="47"/>
  <c r="E24" i="47"/>
  <c r="E50" i="47"/>
  <c r="E38" i="47"/>
  <c r="E51" i="47"/>
  <c r="E52" i="47"/>
  <c r="E110" i="47"/>
  <c r="E54" i="47"/>
  <c r="E28" i="47" l="1"/>
  <c r="E91" i="47"/>
  <c r="E47" i="47"/>
  <c r="E85" i="47"/>
  <c r="E31" i="47"/>
  <c r="E87" i="47"/>
  <c r="E82" i="47"/>
  <c r="E55" i="47"/>
  <c r="E103" i="47" l="1"/>
  <c r="E104" i="47"/>
  <c r="A120" i="68"/>
  <c r="A118" i="68"/>
  <c r="A64" i="68"/>
  <c r="A62" i="68"/>
  <c r="A4" i="68"/>
  <c r="A116" i="68" s="1"/>
  <c r="A7" i="68"/>
  <c r="A63" i="68" s="1"/>
  <c r="A2" i="68"/>
  <c r="A114" i="68" s="1"/>
  <c r="A1" i="68"/>
  <c r="A57" i="68" s="1"/>
  <c r="O151" i="68"/>
  <c r="M151" i="68"/>
  <c r="J151" i="68"/>
  <c r="O150" i="68"/>
  <c r="M150" i="68"/>
  <c r="J150" i="68"/>
  <c r="O149" i="68"/>
  <c r="M149" i="68"/>
  <c r="J149" i="68"/>
  <c r="O148" i="68"/>
  <c r="M148" i="68"/>
  <c r="J148" i="68"/>
  <c r="O147" i="68"/>
  <c r="M147" i="68"/>
  <c r="J147" i="68"/>
  <c r="O146" i="68"/>
  <c r="M146" i="68"/>
  <c r="J146" i="68"/>
  <c r="O145" i="68"/>
  <c r="M145" i="68"/>
  <c r="J145" i="68"/>
  <c r="O144" i="68"/>
  <c r="M144" i="68"/>
  <c r="J144" i="68"/>
  <c r="O143" i="68"/>
  <c r="M143" i="68"/>
  <c r="J143" i="68"/>
  <c r="O142" i="68"/>
  <c r="M142" i="68"/>
  <c r="J142" i="68"/>
  <c r="O141" i="68"/>
  <c r="M141" i="68"/>
  <c r="J141" i="68"/>
  <c r="O140" i="68"/>
  <c r="M140" i="68"/>
  <c r="J140" i="68"/>
  <c r="O139" i="68"/>
  <c r="M139" i="68"/>
  <c r="J139" i="68"/>
  <c r="O138" i="68"/>
  <c r="M138" i="68"/>
  <c r="J138" i="68"/>
  <c r="O137" i="68"/>
  <c r="M137" i="68"/>
  <c r="J137" i="68"/>
  <c r="O136" i="68"/>
  <c r="M136" i="68"/>
  <c r="J136" i="68"/>
  <c r="O135" i="68"/>
  <c r="M135" i="68"/>
  <c r="J135" i="68"/>
  <c r="O134" i="68"/>
  <c r="M134" i="68"/>
  <c r="J134" i="68"/>
  <c r="O133" i="68"/>
  <c r="M133" i="68"/>
  <c r="J133" i="68"/>
  <c r="O132" i="68"/>
  <c r="M132" i="68"/>
  <c r="J132" i="68"/>
  <c r="O131" i="68"/>
  <c r="M131" i="68"/>
  <c r="J131" i="68"/>
  <c r="O130" i="68"/>
  <c r="M130" i="68"/>
  <c r="J130" i="68"/>
  <c r="O129" i="68"/>
  <c r="M129" i="68"/>
  <c r="J129" i="68"/>
  <c r="O128" i="68"/>
  <c r="M128" i="68"/>
  <c r="J128" i="68"/>
  <c r="O127" i="68"/>
  <c r="M127" i="68"/>
  <c r="J127" i="68"/>
  <c r="O126" i="68"/>
  <c r="M126" i="68"/>
  <c r="J126" i="68"/>
  <c r="O125" i="68"/>
  <c r="M125" i="68"/>
  <c r="J125" i="68"/>
  <c r="O112" i="68"/>
  <c r="M112" i="68"/>
  <c r="J112" i="68"/>
  <c r="O111" i="68"/>
  <c r="M111" i="68"/>
  <c r="J111" i="68"/>
  <c r="O110" i="68"/>
  <c r="M110" i="68"/>
  <c r="J110" i="68"/>
  <c r="O109" i="68"/>
  <c r="M109" i="68"/>
  <c r="J109" i="68"/>
  <c r="O108" i="68"/>
  <c r="M108" i="68"/>
  <c r="J108" i="68"/>
  <c r="O107" i="68"/>
  <c r="M107" i="68"/>
  <c r="J107" i="68"/>
  <c r="O106" i="68"/>
  <c r="M106" i="68"/>
  <c r="J106" i="68"/>
  <c r="O105" i="68"/>
  <c r="M105" i="68"/>
  <c r="J105" i="68"/>
  <c r="O104" i="68"/>
  <c r="M104" i="68"/>
  <c r="J104" i="68"/>
  <c r="O103" i="68"/>
  <c r="M103" i="68"/>
  <c r="J103" i="68"/>
  <c r="O102" i="68"/>
  <c r="M102" i="68"/>
  <c r="J102" i="68"/>
  <c r="O101" i="68"/>
  <c r="M101" i="68"/>
  <c r="J101" i="68"/>
  <c r="O100" i="68"/>
  <c r="M100" i="68"/>
  <c r="J100" i="68"/>
  <c r="O99" i="68"/>
  <c r="M99" i="68"/>
  <c r="J99" i="68"/>
  <c r="O98" i="68"/>
  <c r="M98" i="68"/>
  <c r="J98" i="68"/>
  <c r="O97" i="68"/>
  <c r="M97" i="68"/>
  <c r="J97" i="68"/>
  <c r="O96" i="68"/>
  <c r="M96" i="68"/>
  <c r="J96" i="68"/>
  <c r="O95" i="68"/>
  <c r="M95" i="68"/>
  <c r="J95" i="68"/>
  <c r="O94" i="68"/>
  <c r="M94" i="68"/>
  <c r="J94" i="68"/>
  <c r="O93" i="68"/>
  <c r="M93" i="68"/>
  <c r="J93" i="68"/>
  <c r="O92" i="68"/>
  <c r="M92" i="68"/>
  <c r="J92" i="68"/>
  <c r="O91" i="68"/>
  <c r="M91" i="68"/>
  <c r="J91" i="68"/>
  <c r="O90" i="68"/>
  <c r="M90" i="68"/>
  <c r="J90" i="68"/>
  <c r="O89" i="68"/>
  <c r="M89" i="68"/>
  <c r="J89" i="68"/>
  <c r="O88" i="68"/>
  <c r="M88" i="68"/>
  <c r="J88" i="68"/>
  <c r="O87" i="68"/>
  <c r="M87" i="68"/>
  <c r="J87" i="68"/>
  <c r="O86" i="68"/>
  <c r="M86" i="68"/>
  <c r="J86" i="68"/>
  <c r="O85" i="68"/>
  <c r="M85" i="68"/>
  <c r="J85" i="68"/>
  <c r="O84" i="68"/>
  <c r="M84" i="68"/>
  <c r="J84" i="68"/>
  <c r="O83" i="68"/>
  <c r="M83" i="68"/>
  <c r="J83" i="68"/>
  <c r="O82" i="68"/>
  <c r="M82" i="68"/>
  <c r="J82" i="68"/>
  <c r="O81" i="68"/>
  <c r="M81" i="68"/>
  <c r="J81" i="68"/>
  <c r="O80" i="68"/>
  <c r="M80" i="68"/>
  <c r="J80" i="68"/>
  <c r="O79" i="68"/>
  <c r="M79" i="68"/>
  <c r="J79" i="68"/>
  <c r="O78" i="68"/>
  <c r="M78" i="68"/>
  <c r="J78" i="68"/>
  <c r="O77" i="68"/>
  <c r="M77" i="68"/>
  <c r="J77" i="68"/>
  <c r="O76" i="68"/>
  <c r="M76" i="68"/>
  <c r="J76" i="68"/>
  <c r="O75" i="68"/>
  <c r="M75" i="68"/>
  <c r="J75" i="68"/>
  <c r="O74" i="68"/>
  <c r="M74" i="68"/>
  <c r="J74" i="68"/>
  <c r="O73" i="68"/>
  <c r="M73" i="68"/>
  <c r="J73" i="68"/>
  <c r="O72" i="68"/>
  <c r="M72" i="68"/>
  <c r="J72" i="68"/>
  <c r="O71" i="68"/>
  <c r="M71" i="68"/>
  <c r="J71" i="68"/>
  <c r="O70" i="68"/>
  <c r="M70" i="68"/>
  <c r="J70" i="68"/>
  <c r="O69" i="68"/>
  <c r="M69" i="68"/>
  <c r="J69" i="68"/>
  <c r="O56" i="68"/>
  <c r="M56" i="68"/>
  <c r="J56" i="68"/>
  <c r="O55" i="68"/>
  <c r="M55" i="68"/>
  <c r="J55" i="68"/>
  <c r="O54" i="68"/>
  <c r="M54" i="68"/>
  <c r="J54" i="68"/>
  <c r="O53" i="68"/>
  <c r="M53" i="68"/>
  <c r="J53" i="68"/>
  <c r="O52" i="68"/>
  <c r="M52" i="68"/>
  <c r="J52" i="68"/>
  <c r="O51" i="68"/>
  <c r="M51" i="68"/>
  <c r="J51" i="68"/>
  <c r="O50" i="68"/>
  <c r="M50" i="68"/>
  <c r="J50" i="68"/>
  <c r="O49" i="68"/>
  <c r="M49" i="68"/>
  <c r="J49" i="68"/>
  <c r="O48" i="68"/>
  <c r="M48" i="68"/>
  <c r="J48" i="68"/>
  <c r="O47" i="68"/>
  <c r="M47" i="68"/>
  <c r="J47" i="68"/>
  <c r="O46" i="68"/>
  <c r="M46" i="68"/>
  <c r="J46" i="68"/>
  <c r="O45" i="68"/>
  <c r="M45" i="68"/>
  <c r="J45" i="68"/>
  <c r="O44" i="68"/>
  <c r="M44" i="68"/>
  <c r="J44" i="68"/>
  <c r="O43" i="68"/>
  <c r="M43" i="68"/>
  <c r="J43" i="68"/>
  <c r="O42" i="68"/>
  <c r="M42" i="68"/>
  <c r="J42" i="68"/>
  <c r="O41" i="68"/>
  <c r="M41" i="68"/>
  <c r="J41" i="68"/>
  <c r="O40" i="68"/>
  <c r="M40" i="68"/>
  <c r="J40" i="68"/>
  <c r="O39" i="68"/>
  <c r="M39" i="68"/>
  <c r="J39" i="68"/>
  <c r="O38" i="68"/>
  <c r="M38" i="68"/>
  <c r="J38" i="68"/>
  <c r="O37" i="68"/>
  <c r="M37" i="68"/>
  <c r="J37" i="68"/>
  <c r="O36" i="68"/>
  <c r="M36" i="68"/>
  <c r="J36" i="68"/>
  <c r="O35" i="68"/>
  <c r="M35" i="68"/>
  <c r="J35" i="68"/>
  <c r="O34" i="68"/>
  <c r="M34" i="68"/>
  <c r="J34" i="68"/>
  <c r="O33" i="68"/>
  <c r="M33" i="68"/>
  <c r="J33" i="68"/>
  <c r="O32" i="68"/>
  <c r="M32" i="68"/>
  <c r="J32" i="68"/>
  <c r="O31" i="68"/>
  <c r="M31" i="68"/>
  <c r="J31" i="68"/>
  <c r="O30" i="68"/>
  <c r="M30" i="68"/>
  <c r="J30" i="68"/>
  <c r="O29" i="68"/>
  <c r="M29" i="68"/>
  <c r="J29" i="68"/>
  <c r="O28" i="68"/>
  <c r="M28" i="68"/>
  <c r="J28" i="68"/>
  <c r="O27" i="68"/>
  <c r="M27" i="68"/>
  <c r="J27" i="68"/>
  <c r="O26" i="68"/>
  <c r="M26" i="68"/>
  <c r="J26" i="68"/>
  <c r="O25" i="68"/>
  <c r="M25" i="68"/>
  <c r="J25" i="68"/>
  <c r="O24" i="68"/>
  <c r="M24" i="68"/>
  <c r="J24" i="68"/>
  <c r="O23" i="68"/>
  <c r="M23" i="68"/>
  <c r="J23" i="68"/>
  <c r="O22" i="68"/>
  <c r="M22" i="68"/>
  <c r="J22" i="68"/>
  <c r="O21" i="68"/>
  <c r="M21" i="68"/>
  <c r="J21" i="68"/>
  <c r="O20" i="68"/>
  <c r="M20" i="68"/>
  <c r="J20" i="68"/>
  <c r="O19" i="68"/>
  <c r="M19" i="68"/>
  <c r="J19" i="68"/>
  <c r="O18" i="68"/>
  <c r="M18" i="68"/>
  <c r="J18" i="68"/>
  <c r="O17" i="68"/>
  <c r="M17" i="68"/>
  <c r="J17" i="68"/>
  <c r="O16" i="68"/>
  <c r="M16" i="68"/>
  <c r="J16" i="68"/>
  <c r="O15" i="68"/>
  <c r="M15" i="68"/>
  <c r="J15" i="68"/>
  <c r="O14" i="68"/>
  <c r="M14" i="68"/>
  <c r="J14" i="68"/>
  <c r="A14" i="68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A53" i="68" s="1"/>
  <c r="A54" i="68" s="1"/>
  <c r="A55" i="68" s="1"/>
  <c r="A56" i="68" s="1"/>
  <c r="A69" i="68" s="1"/>
  <c r="A70" i="68" s="1"/>
  <c r="A71" i="68" s="1"/>
  <c r="A72" i="68" s="1"/>
  <c r="A73" i="68" s="1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96" i="68" s="1"/>
  <c r="A97" i="68" s="1"/>
  <c r="A98" i="68" s="1"/>
  <c r="A99" i="68" s="1"/>
  <c r="A100" i="68" s="1"/>
  <c r="A101" i="68" s="1"/>
  <c r="A102" i="68" s="1"/>
  <c r="A103" i="68" s="1"/>
  <c r="A104" i="68" s="1"/>
  <c r="A105" i="68" s="1"/>
  <c r="A106" i="68" s="1"/>
  <c r="A107" i="68" s="1"/>
  <c r="A108" i="68" s="1"/>
  <c r="A109" i="68" s="1"/>
  <c r="A110" i="68" s="1"/>
  <c r="A111" i="68" s="1"/>
  <c r="A112" i="68" s="1"/>
  <c r="A125" i="68" s="1"/>
  <c r="A126" i="68" s="1"/>
  <c r="A127" i="68" s="1"/>
  <c r="A128" i="68" s="1"/>
  <c r="A129" i="68" s="1"/>
  <c r="A130" i="68" s="1"/>
  <c r="A131" i="68" s="1"/>
  <c r="A132" i="68" s="1"/>
  <c r="A133" i="68" s="1"/>
  <c r="A134" i="68" s="1"/>
  <c r="A135" i="68" s="1"/>
  <c r="A136" i="68" s="1"/>
  <c r="A137" i="68" s="1"/>
  <c r="A138" i="68" s="1"/>
  <c r="A139" i="68" s="1"/>
  <c r="A140" i="68" s="1"/>
  <c r="A141" i="68" s="1"/>
  <c r="A142" i="68" s="1"/>
  <c r="A143" i="68" s="1"/>
  <c r="A144" i="68" s="1"/>
  <c r="A145" i="68" s="1"/>
  <c r="A146" i="68" s="1"/>
  <c r="A147" i="68" s="1"/>
  <c r="A148" i="68" s="1"/>
  <c r="A149" i="68" s="1"/>
  <c r="A150" i="68" s="1"/>
  <c r="A151" i="68" s="1"/>
  <c r="A152" i="68" s="1"/>
  <c r="A153" i="68" s="1"/>
  <c r="O13" i="68"/>
  <c r="M13" i="68"/>
  <c r="J13" i="68"/>
  <c r="A64" i="67"/>
  <c r="A62" i="67"/>
  <c r="A7" i="67"/>
  <c r="A63" i="67" s="1"/>
  <c r="A4" i="67"/>
  <c r="A60" i="67" s="1"/>
  <c r="A2" i="67"/>
  <c r="A1" i="67"/>
  <c r="A57" i="67" s="1"/>
  <c r="O94" i="67"/>
  <c r="M94" i="67"/>
  <c r="J94" i="67"/>
  <c r="O93" i="67"/>
  <c r="M93" i="67"/>
  <c r="J93" i="67"/>
  <c r="O92" i="67"/>
  <c r="M92" i="67"/>
  <c r="J92" i="67"/>
  <c r="O91" i="67"/>
  <c r="M91" i="67"/>
  <c r="J91" i="67"/>
  <c r="O90" i="67"/>
  <c r="M90" i="67"/>
  <c r="J90" i="67"/>
  <c r="O89" i="67"/>
  <c r="M89" i="67"/>
  <c r="J89" i="67"/>
  <c r="O88" i="67"/>
  <c r="M88" i="67"/>
  <c r="J88" i="67"/>
  <c r="O87" i="67"/>
  <c r="M87" i="67"/>
  <c r="J87" i="67"/>
  <c r="O86" i="67"/>
  <c r="M86" i="67"/>
  <c r="J86" i="67"/>
  <c r="O85" i="67"/>
  <c r="M85" i="67"/>
  <c r="J85" i="67"/>
  <c r="O84" i="67"/>
  <c r="M84" i="67"/>
  <c r="J84" i="67"/>
  <c r="O83" i="67"/>
  <c r="M83" i="67"/>
  <c r="J83" i="67"/>
  <c r="O82" i="67"/>
  <c r="M82" i="67"/>
  <c r="J82" i="67"/>
  <c r="O81" i="67"/>
  <c r="M81" i="67"/>
  <c r="J81" i="67"/>
  <c r="O80" i="67"/>
  <c r="M80" i="67"/>
  <c r="J80" i="67"/>
  <c r="O79" i="67"/>
  <c r="M79" i="67"/>
  <c r="J79" i="67"/>
  <c r="O78" i="67"/>
  <c r="M78" i="67"/>
  <c r="J78" i="67"/>
  <c r="O77" i="67"/>
  <c r="M77" i="67"/>
  <c r="J77" i="67"/>
  <c r="O76" i="67"/>
  <c r="M76" i="67"/>
  <c r="J76" i="67"/>
  <c r="O75" i="67"/>
  <c r="M75" i="67"/>
  <c r="J75" i="67"/>
  <c r="O74" i="67"/>
  <c r="M74" i="67"/>
  <c r="J74" i="67"/>
  <c r="O73" i="67"/>
  <c r="M73" i="67"/>
  <c r="J73" i="67"/>
  <c r="O72" i="67"/>
  <c r="M72" i="67"/>
  <c r="J72" i="67"/>
  <c r="O71" i="67"/>
  <c r="M71" i="67"/>
  <c r="J71" i="67"/>
  <c r="O70" i="67"/>
  <c r="M70" i="67"/>
  <c r="J70" i="67"/>
  <c r="O69" i="67"/>
  <c r="M69" i="67"/>
  <c r="J69" i="67"/>
  <c r="O56" i="67"/>
  <c r="M56" i="67"/>
  <c r="J56" i="67"/>
  <c r="O55" i="67"/>
  <c r="M55" i="67"/>
  <c r="J55" i="67"/>
  <c r="O54" i="67"/>
  <c r="M54" i="67"/>
  <c r="J54" i="67"/>
  <c r="O53" i="67"/>
  <c r="M53" i="67"/>
  <c r="J53" i="67"/>
  <c r="O52" i="67"/>
  <c r="M52" i="67"/>
  <c r="J52" i="67"/>
  <c r="O51" i="67"/>
  <c r="M51" i="67"/>
  <c r="J51" i="67"/>
  <c r="O50" i="67"/>
  <c r="M50" i="67"/>
  <c r="J50" i="67"/>
  <c r="O49" i="67"/>
  <c r="M49" i="67"/>
  <c r="J49" i="67"/>
  <c r="O48" i="67"/>
  <c r="M48" i="67"/>
  <c r="J48" i="67"/>
  <c r="O47" i="67"/>
  <c r="M47" i="67"/>
  <c r="J47" i="67"/>
  <c r="O46" i="67"/>
  <c r="M46" i="67"/>
  <c r="J46" i="67"/>
  <c r="O45" i="67"/>
  <c r="M45" i="67"/>
  <c r="J45" i="67"/>
  <c r="O44" i="67"/>
  <c r="M44" i="67"/>
  <c r="J44" i="67"/>
  <c r="O43" i="67"/>
  <c r="M43" i="67"/>
  <c r="J43" i="67"/>
  <c r="O42" i="67"/>
  <c r="M42" i="67"/>
  <c r="J42" i="67"/>
  <c r="O41" i="67"/>
  <c r="M41" i="67"/>
  <c r="J41" i="67"/>
  <c r="O40" i="67"/>
  <c r="M40" i="67"/>
  <c r="J40" i="67"/>
  <c r="O39" i="67"/>
  <c r="M39" i="67"/>
  <c r="J39" i="67"/>
  <c r="O38" i="67"/>
  <c r="M38" i="67"/>
  <c r="J38" i="67"/>
  <c r="O37" i="67"/>
  <c r="M37" i="67"/>
  <c r="J37" i="67"/>
  <c r="O36" i="67"/>
  <c r="M36" i="67"/>
  <c r="J36" i="67"/>
  <c r="O35" i="67"/>
  <c r="M35" i="67"/>
  <c r="J35" i="67"/>
  <c r="O34" i="67"/>
  <c r="M34" i="67"/>
  <c r="J34" i="67"/>
  <c r="O33" i="67"/>
  <c r="M33" i="67"/>
  <c r="J33" i="67"/>
  <c r="O32" i="67"/>
  <c r="M32" i="67"/>
  <c r="J32" i="67"/>
  <c r="O31" i="67"/>
  <c r="M31" i="67"/>
  <c r="J31" i="67"/>
  <c r="O30" i="67"/>
  <c r="M30" i="67"/>
  <c r="J30" i="67"/>
  <c r="O29" i="67"/>
  <c r="M29" i="67"/>
  <c r="J29" i="67"/>
  <c r="O28" i="67"/>
  <c r="M28" i="67"/>
  <c r="J28" i="67"/>
  <c r="O27" i="67"/>
  <c r="M27" i="67"/>
  <c r="J27" i="67"/>
  <c r="O26" i="67"/>
  <c r="M26" i="67"/>
  <c r="J26" i="67"/>
  <c r="O25" i="67"/>
  <c r="M25" i="67"/>
  <c r="J25" i="67"/>
  <c r="O24" i="67"/>
  <c r="M24" i="67"/>
  <c r="J24" i="67"/>
  <c r="O23" i="67"/>
  <c r="M23" i="67"/>
  <c r="J23" i="67"/>
  <c r="O22" i="67"/>
  <c r="M22" i="67"/>
  <c r="J22" i="67"/>
  <c r="O21" i="67"/>
  <c r="M21" i="67"/>
  <c r="J21" i="67"/>
  <c r="O20" i="67"/>
  <c r="M20" i="67"/>
  <c r="J20" i="67"/>
  <c r="O19" i="67"/>
  <c r="M19" i="67"/>
  <c r="J19" i="67"/>
  <c r="O18" i="67"/>
  <c r="M18" i="67"/>
  <c r="J18" i="67"/>
  <c r="O17" i="67"/>
  <c r="M17" i="67"/>
  <c r="J17" i="67"/>
  <c r="O16" i="67"/>
  <c r="M16" i="67"/>
  <c r="J16" i="67"/>
  <c r="O15" i="67"/>
  <c r="M15" i="67"/>
  <c r="J15" i="67"/>
  <c r="O14" i="67"/>
  <c r="M14" i="67"/>
  <c r="J14" i="67"/>
  <c r="O13" i="67"/>
  <c r="M13" i="67"/>
  <c r="J13" i="67"/>
  <c r="A13" i="67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A51" i="67" s="1"/>
  <c r="A52" i="67" s="1"/>
  <c r="A53" i="67" s="1"/>
  <c r="A54" i="67" s="1"/>
  <c r="A55" i="67" s="1"/>
  <c r="A56" i="67" s="1"/>
  <c r="A69" i="67" s="1"/>
  <c r="A70" i="67" s="1"/>
  <c r="A71" i="67" s="1"/>
  <c r="A72" i="67" s="1"/>
  <c r="A73" i="67" s="1"/>
  <c r="A74" i="67" s="1"/>
  <c r="A75" i="67" s="1"/>
  <c r="A76" i="67" s="1"/>
  <c r="A77" i="67" s="1"/>
  <c r="A78" i="67" s="1"/>
  <c r="A79" i="67" s="1"/>
  <c r="A80" i="67" s="1"/>
  <c r="A81" i="67" s="1"/>
  <c r="A82" i="67" s="1"/>
  <c r="A83" i="67" s="1"/>
  <c r="A84" i="67" s="1"/>
  <c r="A85" i="67" s="1"/>
  <c r="A86" i="67" s="1"/>
  <c r="A87" i="67" s="1"/>
  <c r="A88" i="67" s="1"/>
  <c r="A89" i="67" s="1"/>
  <c r="A90" i="67" s="1"/>
  <c r="A91" i="67" s="1"/>
  <c r="A92" i="67" s="1"/>
  <c r="A93" i="67" s="1"/>
  <c r="A94" i="67" s="1"/>
  <c r="P20" i="68" l="1"/>
  <c r="F20" i="68" s="1"/>
  <c r="P32" i="68"/>
  <c r="F32" i="68" s="1"/>
  <c r="P40" i="68"/>
  <c r="F40" i="68" s="1"/>
  <c r="P44" i="68"/>
  <c r="F44" i="68" s="1"/>
  <c r="P52" i="68"/>
  <c r="F52" i="68" s="1"/>
  <c r="P72" i="68"/>
  <c r="F72" i="68" s="1"/>
  <c r="P89" i="67"/>
  <c r="F89" i="67" s="1"/>
  <c r="P93" i="67"/>
  <c r="F93" i="67" s="1"/>
  <c r="P15" i="68"/>
  <c r="F15" i="68" s="1"/>
  <c r="P23" i="68"/>
  <c r="F23" i="68" s="1"/>
  <c r="P47" i="67"/>
  <c r="F47" i="67" s="1"/>
  <c r="P55" i="67"/>
  <c r="F55" i="67" s="1"/>
  <c r="P75" i="67"/>
  <c r="F75" i="67" s="1"/>
  <c r="P83" i="67"/>
  <c r="F83" i="67" s="1"/>
  <c r="P46" i="67"/>
  <c r="F46" i="67" s="1"/>
  <c r="P50" i="67"/>
  <c r="F50" i="67" s="1"/>
  <c r="P54" i="67"/>
  <c r="F54" i="67" s="1"/>
  <c r="P70" i="67"/>
  <c r="F70" i="67" s="1"/>
  <c r="P74" i="67"/>
  <c r="F74" i="67" s="1"/>
  <c r="P78" i="67"/>
  <c r="F78" i="67" s="1"/>
  <c r="P82" i="67"/>
  <c r="F82" i="67" s="1"/>
  <c r="P90" i="67"/>
  <c r="F90" i="67" s="1"/>
  <c r="P16" i="67"/>
  <c r="F16" i="67" s="1"/>
  <c r="P20" i="67"/>
  <c r="F20" i="67" s="1"/>
  <c r="P24" i="67"/>
  <c r="F24" i="67" s="1"/>
  <c r="P28" i="67"/>
  <c r="F28" i="67" s="1"/>
  <c r="P32" i="67"/>
  <c r="F32" i="67" s="1"/>
  <c r="P88" i="67"/>
  <c r="F88" i="67" s="1"/>
  <c r="P89" i="68"/>
  <c r="F89" i="68" s="1"/>
  <c r="P14" i="67"/>
  <c r="F14" i="67" s="1"/>
  <c r="P18" i="67"/>
  <c r="F18" i="67" s="1"/>
  <c r="P22" i="67"/>
  <c r="F22" i="67" s="1"/>
  <c r="P26" i="67"/>
  <c r="F26" i="67" s="1"/>
  <c r="P30" i="67"/>
  <c r="F30" i="67" s="1"/>
  <c r="P34" i="67"/>
  <c r="F34" i="67" s="1"/>
  <c r="P38" i="67"/>
  <c r="F38" i="67" s="1"/>
  <c r="P94" i="67"/>
  <c r="F94" i="67" s="1"/>
  <c r="P70" i="68"/>
  <c r="F70" i="68" s="1"/>
  <c r="P78" i="68"/>
  <c r="F78" i="68" s="1"/>
  <c r="P86" i="68"/>
  <c r="F86" i="68" s="1"/>
  <c r="P76" i="68"/>
  <c r="F76" i="68" s="1"/>
  <c r="P80" i="68"/>
  <c r="F80" i="68" s="1"/>
  <c r="P84" i="68"/>
  <c r="F84" i="68" s="1"/>
  <c r="P27" i="68"/>
  <c r="F27" i="68" s="1"/>
  <c r="P35" i="68"/>
  <c r="F35" i="68" s="1"/>
  <c r="P43" i="68"/>
  <c r="F43" i="68" s="1"/>
  <c r="P55" i="68"/>
  <c r="F55" i="68" s="1"/>
  <c r="P75" i="68"/>
  <c r="F75" i="68" s="1"/>
  <c r="P95" i="68"/>
  <c r="F95" i="68" s="1"/>
  <c r="P99" i="68"/>
  <c r="F99" i="68" s="1"/>
  <c r="P103" i="68"/>
  <c r="F103" i="68" s="1"/>
  <c r="P107" i="68"/>
  <c r="F107" i="68" s="1"/>
  <c r="P111" i="68"/>
  <c r="F111" i="68" s="1"/>
  <c r="P127" i="68"/>
  <c r="F127" i="68" s="1"/>
  <c r="P131" i="68"/>
  <c r="F131" i="68" s="1"/>
  <c r="P135" i="68"/>
  <c r="F135" i="68" s="1"/>
  <c r="P139" i="68"/>
  <c r="F139" i="68" s="1"/>
  <c r="P143" i="68"/>
  <c r="F143" i="68" s="1"/>
  <c r="P147" i="68"/>
  <c r="F147" i="68" s="1"/>
  <c r="P151" i="68"/>
  <c r="F151" i="68" s="1"/>
  <c r="A113" i="68"/>
  <c r="P33" i="68"/>
  <c r="F33" i="68" s="1"/>
  <c r="P41" i="68"/>
  <c r="F41" i="68" s="1"/>
  <c r="P53" i="68"/>
  <c r="F53" i="68" s="1"/>
  <c r="P73" i="68"/>
  <c r="F73" i="68" s="1"/>
  <c r="P90" i="68"/>
  <c r="F90" i="68" s="1"/>
  <c r="P93" i="68"/>
  <c r="F93" i="68" s="1"/>
  <c r="P97" i="68"/>
  <c r="F97" i="68" s="1"/>
  <c r="P109" i="68"/>
  <c r="F109" i="68" s="1"/>
  <c r="P129" i="68"/>
  <c r="F129" i="68" s="1"/>
  <c r="P133" i="68"/>
  <c r="F133" i="68" s="1"/>
  <c r="P149" i="68"/>
  <c r="F149" i="68" s="1"/>
  <c r="A58" i="68"/>
  <c r="A119" i="68"/>
  <c r="P13" i="68"/>
  <c r="F13" i="68" s="1"/>
  <c r="P24" i="68"/>
  <c r="F24" i="68" s="1"/>
  <c r="P28" i="68"/>
  <c r="F28" i="68" s="1"/>
  <c r="P36" i="68"/>
  <c r="F36" i="68" s="1"/>
  <c r="A60" i="68"/>
  <c r="P87" i="68"/>
  <c r="F87" i="68" s="1"/>
  <c r="P101" i="68"/>
  <c r="F101" i="68" s="1"/>
  <c r="P105" i="68"/>
  <c r="F105" i="68" s="1"/>
  <c r="P125" i="68"/>
  <c r="F125" i="68" s="1"/>
  <c r="P137" i="68"/>
  <c r="F137" i="68" s="1"/>
  <c r="P141" i="68"/>
  <c r="F141" i="68" s="1"/>
  <c r="P145" i="68"/>
  <c r="F145" i="68" s="1"/>
  <c r="P21" i="68"/>
  <c r="F21" i="68" s="1"/>
  <c r="P26" i="68"/>
  <c r="F26" i="68" s="1"/>
  <c r="P38" i="68"/>
  <c r="F38" i="68" s="1"/>
  <c r="P47" i="68"/>
  <c r="F47" i="68" s="1"/>
  <c r="P56" i="68"/>
  <c r="F56" i="68" s="1"/>
  <c r="P48" i="68"/>
  <c r="F48" i="68" s="1"/>
  <c r="P71" i="68"/>
  <c r="F71" i="68" s="1"/>
  <c r="P82" i="68"/>
  <c r="F82" i="68" s="1"/>
  <c r="P18" i="68"/>
  <c r="F18" i="68" s="1"/>
  <c r="P19" i="68"/>
  <c r="F19" i="68" s="1"/>
  <c r="P31" i="68"/>
  <c r="F31" i="68" s="1"/>
  <c r="P45" i="68"/>
  <c r="F45" i="68" s="1"/>
  <c r="P50" i="68"/>
  <c r="F50" i="68" s="1"/>
  <c r="P51" i="68"/>
  <c r="F51" i="68" s="1"/>
  <c r="P88" i="68"/>
  <c r="F88" i="68" s="1"/>
  <c r="P16" i="68"/>
  <c r="F16" i="68" s="1"/>
  <c r="P39" i="68"/>
  <c r="F39" i="68" s="1"/>
  <c r="P29" i="68"/>
  <c r="F29" i="68" s="1"/>
  <c r="P17" i="68"/>
  <c r="F17" i="68" s="1"/>
  <c r="P30" i="68"/>
  <c r="F30" i="68" s="1"/>
  <c r="P34" i="68"/>
  <c r="F34" i="68" s="1"/>
  <c r="P37" i="68"/>
  <c r="F37" i="68" s="1"/>
  <c r="P54" i="68"/>
  <c r="F54" i="68" s="1"/>
  <c r="P69" i="68"/>
  <c r="F69" i="68" s="1"/>
  <c r="P79" i="68"/>
  <c r="F79" i="68" s="1"/>
  <c r="P81" i="68"/>
  <c r="F81" i="68" s="1"/>
  <c r="P83" i="68"/>
  <c r="F83" i="68" s="1"/>
  <c r="P85" i="68"/>
  <c r="F85" i="68" s="1"/>
  <c r="P94" i="68"/>
  <c r="F94" i="68" s="1"/>
  <c r="P96" i="68"/>
  <c r="F96" i="68" s="1"/>
  <c r="P102" i="68"/>
  <c r="F102" i="68" s="1"/>
  <c r="P104" i="68"/>
  <c r="F104" i="68" s="1"/>
  <c r="P110" i="68"/>
  <c r="F110" i="68" s="1"/>
  <c r="P112" i="68"/>
  <c r="F112" i="68" s="1"/>
  <c r="P130" i="68"/>
  <c r="F130" i="68" s="1"/>
  <c r="P132" i="68"/>
  <c r="F132" i="68" s="1"/>
  <c r="P138" i="68"/>
  <c r="F138" i="68" s="1"/>
  <c r="P140" i="68"/>
  <c r="F140" i="68" s="1"/>
  <c r="P146" i="68"/>
  <c r="F146" i="68" s="1"/>
  <c r="P148" i="68"/>
  <c r="F148" i="68" s="1"/>
  <c r="P14" i="68"/>
  <c r="F14" i="68" s="1"/>
  <c r="P22" i="68"/>
  <c r="F22" i="68" s="1"/>
  <c r="P25" i="68"/>
  <c r="F25" i="68" s="1"/>
  <c r="P42" i="68"/>
  <c r="F42" i="68" s="1"/>
  <c r="P46" i="68"/>
  <c r="F46" i="68" s="1"/>
  <c r="P49" i="68"/>
  <c r="F49" i="68" s="1"/>
  <c r="P74" i="68"/>
  <c r="F74" i="68" s="1"/>
  <c r="P77" i="68"/>
  <c r="F77" i="68" s="1"/>
  <c r="P91" i="68"/>
  <c r="F91" i="68" s="1"/>
  <c r="P92" i="68"/>
  <c r="F92" i="68" s="1"/>
  <c r="P98" i="68"/>
  <c r="F98" i="68" s="1"/>
  <c r="P100" i="68"/>
  <c r="F100" i="68" s="1"/>
  <c r="P106" i="68"/>
  <c r="F106" i="68" s="1"/>
  <c r="P108" i="68"/>
  <c r="F108" i="68" s="1"/>
  <c r="P126" i="68"/>
  <c r="F126" i="68" s="1"/>
  <c r="P128" i="68"/>
  <c r="F128" i="68" s="1"/>
  <c r="P134" i="68"/>
  <c r="F134" i="68" s="1"/>
  <c r="P136" i="68"/>
  <c r="F136" i="68" s="1"/>
  <c r="P142" i="68"/>
  <c r="F142" i="68" s="1"/>
  <c r="P144" i="68"/>
  <c r="F144" i="68" s="1"/>
  <c r="P150" i="68"/>
  <c r="F150" i="68" s="1"/>
  <c r="P52" i="67"/>
  <c r="F52" i="67" s="1"/>
  <c r="P72" i="67"/>
  <c r="F72" i="67" s="1"/>
  <c r="A58" i="67"/>
  <c r="P15" i="67"/>
  <c r="F15" i="67" s="1"/>
  <c r="P19" i="67"/>
  <c r="F19" i="67" s="1"/>
  <c r="P23" i="67"/>
  <c r="F23" i="67" s="1"/>
  <c r="P27" i="67"/>
  <c r="F27" i="67" s="1"/>
  <c r="P31" i="67"/>
  <c r="F31" i="67" s="1"/>
  <c r="P35" i="67"/>
  <c r="F35" i="67" s="1"/>
  <c r="P39" i="67"/>
  <c r="F39" i="67" s="1"/>
  <c r="P91" i="67"/>
  <c r="F91" i="67" s="1"/>
  <c r="P92" i="67"/>
  <c r="F92" i="67" s="1"/>
  <c r="P44" i="67"/>
  <c r="F44" i="67" s="1"/>
  <c r="P80" i="67"/>
  <c r="F80" i="67" s="1"/>
  <c r="P86" i="67"/>
  <c r="F86" i="67" s="1"/>
  <c r="P42" i="67"/>
  <c r="F42" i="67" s="1"/>
  <c r="P48" i="67"/>
  <c r="F48" i="67" s="1"/>
  <c r="P56" i="67"/>
  <c r="F56" i="67" s="1"/>
  <c r="P76" i="67"/>
  <c r="F76" i="67" s="1"/>
  <c r="P84" i="67"/>
  <c r="F84" i="67" s="1"/>
  <c r="P13" i="67"/>
  <c r="F13" i="67" s="1"/>
  <c r="P17" i="67"/>
  <c r="F17" i="67" s="1"/>
  <c r="P21" i="67"/>
  <c r="F21" i="67" s="1"/>
  <c r="P25" i="67"/>
  <c r="F25" i="67" s="1"/>
  <c r="P29" i="67"/>
  <c r="F29" i="67" s="1"/>
  <c r="P33" i="67"/>
  <c r="F33" i="67" s="1"/>
  <c r="P36" i="67"/>
  <c r="F36" i="67" s="1"/>
  <c r="P37" i="67"/>
  <c r="F37" i="67" s="1"/>
  <c r="P40" i="67"/>
  <c r="F40" i="67" s="1"/>
  <c r="P43" i="67"/>
  <c r="F43" i="67" s="1"/>
  <c r="P45" i="67"/>
  <c r="F45" i="67" s="1"/>
  <c r="P49" i="67"/>
  <c r="F49" i="67" s="1"/>
  <c r="P51" i="67"/>
  <c r="F51" i="67" s="1"/>
  <c r="P53" i="67"/>
  <c r="F53" i="67" s="1"/>
  <c r="P69" i="67"/>
  <c r="F69" i="67" s="1"/>
  <c r="P71" i="67"/>
  <c r="F71" i="67" s="1"/>
  <c r="P73" i="67"/>
  <c r="F73" i="67" s="1"/>
  <c r="P77" i="67"/>
  <c r="F77" i="67" s="1"/>
  <c r="P79" i="67"/>
  <c r="F79" i="67" s="1"/>
  <c r="P81" i="67"/>
  <c r="F81" i="67" s="1"/>
  <c r="P85" i="67"/>
  <c r="F85" i="67" s="1"/>
  <c r="P87" i="67"/>
  <c r="F87" i="67" s="1"/>
  <c r="P41" i="67"/>
  <c r="F41" i="67" s="1"/>
  <c r="AE40" i="66" l="1"/>
  <c r="AE40" i="63"/>
  <c r="AA77" i="66" l="1"/>
  <c r="Y77" i="66"/>
  <c r="Y33" i="66" s="1"/>
  <c r="Y36" i="66" s="1"/>
  <c r="W77" i="66"/>
  <c r="W33" i="66" s="1"/>
  <c r="W36" i="66" s="1"/>
  <c r="W38" i="66" s="1"/>
  <c r="W42" i="66" s="1"/>
  <c r="U77" i="66"/>
  <c r="U33" i="66" s="1"/>
  <c r="U36" i="66" s="1"/>
  <c r="O77" i="66"/>
  <c r="M77" i="66"/>
  <c r="K77" i="66"/>
  <c r="I77" i="66"/>
  <c r="G77" i="66"/>
  <c r="E77" i="66"/>
  <c r="AE71" i="66"/>
  <c r="AE54" i="66"/>
  <c r="AE53" i="66"/>
  <c r="A14" i="66"/>
  <c r="A16" i="66" s="1"/>
  <c r="A17" i="66" s="1"/>
  <c r="A19" i="66" s="1"/>
  <c r="A21" i="66" s="1"/>
  <c r="A22" i="66" s="1"/>
  <c r="A23" i="66" s="1"/>
  <c r="A25" i="66" s="1"/>
  <c r="A27" i="66" s="1"/>
  <c r="A29" i="66" s="1"/>
  <c r="A30" i="66" s="1"/>
  <c r="A31" i="66" s="1"/>
  <c r="A32" i="66" s="1"/>
  <c r="A33" i="66" s="1"/>
  <c r="A34" i="66" l="1"/>
  <c r="A36" i="66" s="1"/>
  <c r="A38" i="66" s="1"/>
  <c r="A40" i="66" s="1"/>
  <c r="A42" i="66" s="1"/>
  <c r="A44" i="66" s="1"/>
  <c r="Q77" i="66"/>
  <c r="U23" i="63" l="1"/>
  <c r="AA73" i="63" l="1"/>
  <c r="AA75" i="63" s="1"/>
  <c r="AA77" i="63" s="1"/>
  <c r="Y73" i="63"/>
  <c r="Y75" i="63" s="1"/>
  <c r="Y77" i="63" s="1"/>
  <c r="Y33" i="63" s="1"/>
  <c r="Y36" i="63" s="1"/>
  <c r="W73" i="63"/>
  <c r="U73" i="63"/>
  <c r="U75" i="63" s="1"/>
  <c r="U77" i="63" s="1"/>
  <c r="U33" i="63" s="1"/>
  <c r="AE71" i="63"/>
  <c r="AE54" i="63"/>
  <c r="AE53" i="63"/>
  <c r="AA36" i="63"/>
  <c r="AA25" i="63"/>
  <c r="Y25" i="63"/>
  <c r="AA19" i="63"/>
  <c r="A14" i="63"/>
  <c r="A16" i="63" s="1"/>
  <c r="A17" i="63" s="1"/>
  <c r="A19" i="63" s="1"/>
  <c r="A21" i="63" s="1"/>
  <c r="A22" i="63" s="1"/>
  <c r="A23" i="63" s="1"/>
  <c r="A25" i="63" s="1"/>
  <c r="A27" i="63" s="1"/>
  <c r="A29" i="63" s="1"/>
  <c r="A30" i="63" s="1"/>
  <c r="A31" i="63" s="1"/>
  <c r="A32" i="63" s="1"/>
  <c r="A33" i="63" s="1"/>
  <c r="A34" i="63" l="1"/>
  <c r="A36" i="63" s="1"/>
  <c r="A38" i="63" s="1"/>
  <c r="A40" i="63" s="1"/>
  <c r="A42" i="63" s="1"/>
  <c r="A44" i="63" s="1"/>
  <c r="AA27" i="63"/>
  <c r="AA38" i="63" s="1"/>
  <c r="AA42" i="63" s="1"/>
  <c r="U36" i="63"/>
  <c r="U25" i="63"/>
  <c r="W75" i="63"/>
  <c r="W77" i="63" s="1"/>
  <c r="W33" i="63" s="1"/>
  <c r="W36" i="63" s="1"/>
  <c r="D35" i="28" l="1"/>
  <c r="F35" i="28" s="1"/>
  <c r="S23" i="63" s="1"/>
  <c r="F33" i="28"/>
  <c r="F14" i="28"/>
  <c r="D16" i="28"/>
  <c r="F16" i="28" s="1"/>
  <c r="S23" i="66" s="1"/>
  <c r="AC23" i="66" s="1"/>
  <c r="W25" i="63" l="1"/>
  <c r="AE23" i="63"/>
  <c r="AE23" i="66"/>
  <c r="F15" i="16"/>
  <c r="E45" i="25"/>
  <c r="E19" i="25"/>
  <c r="AC37" i="59"/>
  <c r="AC35" i="59"/>
  <c r="AC34" i="59"/>
  <c r="AC33" i="59"/>
  <c r="AC27" i="59"/>
  <c r="O37" i="59"/>
  <c r="O35" i="59"/>
  <c r="O34" i="59"/>
  <c r="O33" i="59"/>
  <c r="O27" i="59"/>
  <c r="O23" i="59" l="1"/>
  <c r="AC25" i="59"/>
  <c r="AC39" i="59"/>
  <c r="C39" i="26" s="1"/>
  <c r="E39" i="25" s="1"/>
  <c r="AC23" i="63"/>
  <c r="AC23" i="59"/>
  <c r="O39" i="59"/>
  <c r="C14" i="26" s="1"/>
  <c r="E13" i="25" s="1"/>
  <c r="O25" i="59"/>
  <c r="E20" i="26"/>
  <c r="G19" i="25" s="1"/>
  <c r="E45" i="26"/>
  <c r="G45" i="25" s="1"/>
  <c r="AG272" i="58"/>
  <c r="C34" i="27" s="1"/>
  <c r="E34" i="27" s="1"/>
  <c r="S68" i="63" s="1"/>
  <c r="P272" i="58"/>
  <c r="C13" i="27" s="1"/>
  <c r="E13" i="27" s="1"/>
  <c r="S68" i="66" s="1"/>
  <c r="AC68" i="66" s="1"/>
  <c r="AG162" i="58"/>
  <c r="C36" i="27" s="1"/>
  <c r="E36" i="27" s="1"/>
  <c r="S72" i="63" s="1"/>
  <c r="P162" i="58"/>
  <c r="C15" i="27" s="1"/>
  <c r="E15" i="27" s="1"/>
  <c r="S72" i="66" s="1"/>
  <c r="AC72" i="66" l="1"/>
  <c r="AC73" i="66" s="1"/>
  <c r="AC75" i="66" s="1"/>
  <c r="S73" i="66"/>
  <c r="S75" i="66" s="1"/>
  <c r="S77" i="66" s="1"/>
  <c r="S33" i="66" s="1"/>
  <c r="E14" i="26"/>
  <c r="G13" i="25" s="1"/>
  <c r="E39" i="26"/>
  <c r="G39" i="25" s="1"/>
  <c r="S31" i="63" s="1"/>
  <c r="AC68" i="63"/>
  <c r="AE68" i="63"/>
  <c r="AE72" i="66"/>
  <c r="AE73" i="66" s="1"/>
  <c r="AC72" i="63"/>
  <c r="AC73" i="63" s="1"/>
  <c r="S73" i="63"/>
  <c r="S75" i="63" s="1"/>
  <c r="S77" i="63" s="1"/>
  <c r="AE72" i="63"/>
  <c r="AE73" i="63" s="1"/>
  <c r="AE68" i="66"/>
  <c r="S31" i="66" l="1"/>
  <c r="AC31" i="66" s="1"/>
  <c r="AC33" i="66"/>
  <c r="AE75" i="63"/>
  <c r="AC75" i="63"/>
  <c r="AC77" i="63" s="1"/>
  <c r="AC77" i="66"/>
  <c r="AE75" i="66"/>
  <c r="AC31" i="63"/>
  <c r="AE31" i="63"/>
  <c r="S33" i="63"/>
  <c r="AE77" i="63"/>
  <c r="AE77" i="66"/>
  <c r="AE31" i="66" l="1"/>
  <c r="AE33" i="66"/>
  <c r="AC33" i="63"/>
  <c r="AE33" i="63"/>
  <c r="O32" i="59" l="1"/>
  <c r="O44" i="59"/>
  <c r="O40" i="59"/>
  <c r="C18" i="26" s="1"/>
  <c r="O28" i="59"/>
  <c r="O43" i="59"/>
  <c r="O31" i="59"/>
  <c r="E17" i="25" l="1"/>
  <c r="E18" i="26"/>
  <c r="G17" i="25" s="1"/>
  <c r="S32" i="66" s="1"/>
  <c r="AC32" i="66" s="1"/>
  <c r="E111" i="47"/>
  <c r="O38" i="59"/>
  <c r="O36" i="59"/>
  <c r="O24" i="59"/>
  <c r="O26" i="59"/>
  <c r="C16" i="26" l="1"/>
  <c r="E15" i="25" s="1"/>
  <c r="AE32" i="66"/>
  <c r="E16" i="26" l="1"/>
  <c r="G15" i="25" s="1"/>
  <c r="S30" i="66" s="1"/>
  <c r="E114" i="47"/>
  <c r="E107" i="47"/>
  <c r="AC30" i="66" l="1"/>
  <c r="AC36" i="66" s="1"/>
  <c r="S36" i="66"/>
  <c r="AE30" i="66"/>
  <c r="AE36" i="66" s="1"/>
  <c r="AC40" i="59" l="1"/>
  <c r="C43" i="26" s="1"/>
  <c r="AC28" i="59"/>
  <c r="AC44" i="59"/>
  <c r="AC32" i="59"/>
  <c r="AC31" i="59"/>
  <c r="AC43" i="59"/>
  <c r="D31" i="28" l="1"/>
  <c r="F31" i="28" s="1"/>
  <c r="H31" i="28" s="1"/>
  <c r="F23" i="16" s="1"/>
  <c r="E43" i="25"/>
  <c r="E43" i="26"/>
  <c r="G43" i="25" s="1"/>
  <c r="S32" i="63" s="1"/>
  <c r="AC38" i="59"/>
  <c r="AC24" i="59"/>
  <c r="AC36" i="59"/>
  <c r="AC26" i="59"/>
  <c r="C41" i="26" l="1"/>
  <c r="E41" i="25" s="1"/>
  <c r="S22" i="63"/>
  <c r="AC22" i="63" s="1"/>
  <c r="AC25" i="63" s="1"/>
  <c r="AC32" i="63"/>
  <c r="AE32" i="63"/>
  <c r="E41" i="26" l="1"/>
  <c r="G41" i="25" s="1"/>
  <c r="S30" i="63" s="1"/>
  <c r="S25" i="63"/>
  <c r="AE22" i="63"/>
  <c r="AE25" i="63" s="1"/>
  <c r="F22" i="16" l="1"/>
  <c r="AC30" i="63"/>
  <c r="AC36" i="63" s="1"/>
  <c r="AE30" i="63"/>
  <c r="AE36" i="63" s="1"/>
  <c r="S36" i="63"/>
  <c r="E54" i="20"/>
  <c r="D54" i="20"/>
  <c r="F42" i="20"/>
  <c r="C35" i="18"/>
  <c r="B35" i="18"/>
  <c r="C32" i="18"/>
  <c r="B32" i="18"/>
  <c r="C31" i="18"/>
  <c r="B31" i="18"/>
  <c r="C16" i="18"/>
  <c r="B16" i="18"/>
  <c r="B13" i="18"/>
  <c r="C13" i="18"/>
  <c r="C12" i="18"/>
  <c r="B12" i="18"/>
  <c r="A32" i="18"/>
  <c r="A33" i="18" s="1"/>
  <c r="A34" i="18" s="1"/>
  <c r="A35" i="18" s="1"/>
  <c r="A37" i="18" s="1"/>
  <c r="A32" i="11"/>
  <c r="A33" i="11" s="1"/>
  <c r="A34" i="11" s="1"/>
  <c r="A35" i="11" s="1"/>
  <c r="A37" i="11" s="1"/>
  <c r="A13" i="11"/>
  <c r="A14" i="11" s="1"/>
  <c r="A15" i="11" s="1"/>
  <c r="A16" i="11" s="1"/>
  <c r="A18" i="11" s="1"/>
  <c r="H42" i="20" l="1"/>
  <c r="J42" i="20" l="1"/>
  <c r="A4" i="57" l="1"/>
  <c r="A59" i="57" s="1"/>
  <c r="A63" i="57"/>
  <c r="A61" i="57"/>
  <c r="A58" i="57"/>
  <c r="A16" i="57"/>
  <c r="A17" i="57" s="1"/>
  <c r="A18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5" i="57" s="1"/>
  <c r="A36" i="57" s="1"/>
  <c r="A37" i="57" s="1"/>
  <c r="A38" i="57" s="1"/>
  <c r="A39" i="57" s="1"/>
  <c r="A41" i="57" s="1"/>
  <c r="A42" i="57" s="1"/>
  <c r="A43" i="57" s="1"/>
  <c r="A44" i="57" s="1"/>
  <c r="A45" i="57" s="1"/>
  <c r="A46" i="57" s="1"/>
  <c r="A47" i="57" s="1"/>
  <c r="A48" i="57" s="1"/>
  <c r="A49" i="57" s="1"/>
  <c r="A50" i="57" s="1"/>
  <c r="A51" i="57" s="1"/>
  <c r="A52" i="57" s="1"/>
  <c r="A53" i="57" s="1"/>
  <c r="A54" i="57" s="1"/>
  <c r="A7" i="57"/>
  <c r="A62" i="57" s="1"/>
  <c r="A2" i="57"/>
  <c r="A57" i="57" s="1"/>
  <c r="A1" i="57"/>
  <c r="A56" i="57" s="1"/>
  <c r="F47" i="55"/>
  <c r="H47" i="55"/>
  <c r="I47" i="55"/>
  <c r="J47" i="55"/>
  <c r="J94" i="55"/>
  <c r="I94" i="55"/>
  <c r="H94" i="55"/>
  <c r="F94" i="55"/>
  <c r="J93" i="55"/>
  <c r="I93" i="55"/>
  <c r="H93" i="55"/>
  <c r="F93" i="55"/>
  <c r="J91" i="55"/>
  <c r="I91" i="55"/>
  <c r="H91" i="55"/>
  <c r="F91" i="55"/>
  <c r="J90" i="55"/>
  <c r="I90" i="55"/>
  <c r="H90" i="55"/>
  <c r="F90" i="55"/>
  <c r="J89" i="55"/>
  <c r="I89" i="55"/>
  <c r="H89" i="55"/>
  <c r="F89" i="55"/>
  <c r="J88" i="55"/>
  <c r="I88" i="55"/>
  <c r="H88" i="55"/>
  <c r="F88" i="55"/>
  <c r="J87" i="55"/>
  <c r="I87" i="55"/>
  <c r="H87" i="55"/>
  <c r="F87" i="55"/>
  <c r="J85" i="55"/>
  <c r="I85" i="55"/>
  <c r="H85" i="55"/>
  <c r="F85" i="55"/>
  <c r="J78" i="55"/>
  <c r="I78" i="55"/>
  <c r="H78" i="55"/>
  <c r="F78" i="55"/>
  <c r="J77" i="55"/>
  <c r="I77" i="55"/>
  <c r="H77" i="55"/>
  <c r="F77" i="55"/>
  <c r="J75" i="55"/>
  <c r="I75" i="55"/>
  <c r="H75" i="55"/>
  <c r="F75" i="55"/>
  <c r="J73" i="55"/>
  <c r="I73" i="55"/>
  <c r="H73" i="55"/>
  <c r="F73" i="55"/>
  <c r="J50" i="55"/>
  <c r="I50" i="55"/>
  <c r="H50" i="55"/>
  <c r="F50" i="55"/>
  <c r="J52" i="55"/>
  <c r="I52" i="55"/>
  <c r="H52" i="55"/>
  <c r="F52" i="55"/>
  <c r="J51" i="55"/>
  <c r="I51" i="55"/>
  <c r="H51" i="55"/>
  <c r="F51" i="55"/>
  <c r="J49" i="55"/>
  <c r="I49" i="55"/>
  <c r="H49" i="55"/>
  <c r="F49" i="55"/>
  <c r="J48" i="55"/>
  <c r="I48" i="55"/>
  <c r="H48" i="55"/>
  <c r="F48" i="55"/>
  <c r="J46" i="55"/>
  <c r="I46" i="55"/>
  <c r="H46" i="55"/>
  <c r="F46" i="55"/>
  <c r="J44" i="55"/>
  <c r="I44" i="55"/>
  <c r="H44" i="55"/>
  <c r="F44" i="55"/>
  <c r="J43" i="55"/>
  <c r="I43" i="55"/>
  <c r="H43" i="55"/>
  <c r="J42" i="55"/>
  <c r="I42" i="55"/>
  <c r="H42" i="55"/>
  <c r="J37" i="55"/>
  <c r="I37" i="55"/>
  <c r="H37" i="55"/>
  <c r="F37" i="55"/>
  <c r="J36" i="55"/>
  <c r="I36" i="55"/>
  <c r="H36" i="55"/>
  <c r="F36" i="55"/>
  <c r="H48" i="49"/>
  <c r="J31" i="55"/>
  <c r="I31" i="55"/>
  <c r="H31" i="55"/>
  <c r="F31" i="55"/>
  <c r="J30" i="55"/>
  <c r="I30" i="55"/>
  <c r="H30" i="55"/>
  <c r="F30" i="55"/>
  <c r="J29" i="55"/>
  <c r="I29" i="55"/>
  <c r="H29" i="55"/>
  <c r="F29" i="55"/>
  <c r="J28" i="55"/>
  <c r="I28" i="55"/>
  <c r="H28" i="55"/>
  <c r="F28" i="55"/>
  <c r="J27" i="55"/>
  <c r="I27" i="55"/>
  <c r="H27" i="55"/>
  <c r="F27" i="55"/>
  <c r="J26" i="55"/>
  <c r="I26" i="55"/>
  <c r="H26" i="55"/>
  <c r="F26" i="55"/>
  <c r="J25" i="55"/>
  <c r="I25" i="55"/>
  <c r="H25" i="55"/>
  <c r="J24" i="55"/>
  <c r="I24" i="55"/>
  <c r="H24" i="55"/>
  <c r="J23" i="55"/>
  <c r="I23" i="55"/>
  <c r="H23" i="55"/>
  <c r="J22" i="55"/>
  <c r="I22" i="55"/>
  <c r="H22" i="55"/>
  <c r="J16" i="55"/>
  <c r="I16" i="55"/>
  <c r="H16" i="55"/>
  <c r="F16" i="55"/>
  <c r="H21" i="55"/>
  <c r="J21" i="55"/>
  <c r="I21" i="55"/>
  <c r="F21" i="55"/>
  <c r="A63" i="55"/>
  <c r="A61" i="55"/>
  <c r="A58" i="55"/>
  <c r="A16" i="55"/>
  <c r="A17" i="55" s="1"/>
  <c r="A18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5" i="55" s="1"/>
  <c r="A36" i="55" s="1"/>
  <c r="A37" i="55" s="1"/>
  <c r="A38" i="55" s="1"/>
  <c r="A39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4" i="55" s="1"/>
  <c r="A7" i="55"/>
  <c r="A4" i="55"/>
  <c r="A59" i="55" s="1"/>
  <c r="A2" i="55"/>
  <c r="A1" i="55"/>
  <c r="A56" i="55" l="1"/>
  <c r="A57" i="55"/>
  <c r="A62" i="55"/>
  <c r="R11" i="53"/>
  <c r="P11" i="53"/>
  <c r="T11" i="53" l="1"/>
  <c r="A69" i="57"/>
  <c r="A70" i="57" s="1"/>
  <c r="A71" i="57" s="1"/>
  <c r="A72" i="57" s="1"/>
  <c r="A73" i="57" s="1"/>
  <c r="A74" i="57" s="1"/>
  <c r="A75" i="57" s="1"/>
  <c r="A76" i="57" s="1"/>
  <c r="A77" i="57" s="1"/>
  <c r="A78" i="57" s="1"/>
  <c r="A79" i="57" s="1"/>
  <c r="A80" i="57" s="1"/>
  <c r="A82" i="57" l="1"/>
  <c r="A83" i="57" s="1"/>
  <c r="A84" i="57" s="1"/>
  <c r="A85" i="57" s="1"/>
  <c r="A86" i="57" s="1"/>
  <c r="A87" i="57" s="1"/>
  <c r="A88" i="57" s="1"/>
  <c r="A89" i="57" s="1"/>
  <c r="A90" i="57" s="1"/>
  <c r="A91" i="57" s="1"/>
  <c r="A92" i="57" s="1"/>
  <c r="A93" i="57" s="1"/>
  <c r="A94" i="57" s="1"/>
  <c r="A95" i="57" s="1"/>
  <c r="A96" i="57" s="1"/>
  <c r="A97" i="57" s="1"/>
  <c r="A69" i="55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2" i="55" l="1"/>
  <c r="A83" i="55" s="1"/>
  <c r="A84" i="55" s="1"/>
  <c r="A85" i="55" s="1"/>
  <c r="A86" i="55" s="1"/>
  <c r="A87" i="55" s="1"/>
  <c r="A88" i="55" s="1"/>
  <c r="A89" i="55" s="1"/>
  <c r="A90" i="55" s="1"/>
  <c r="A91" i="55" s="1"/>
  <c r="A92" i="55" s="1"/>
  <c r="A99" i="57"/>
  <c r="A93" i="55" l="1"/>
  <c r="A94" i="55" s="1"/>
  <c r="A95" i="55" s="1"/>
  <c r="A96" i="55" s="1"/>
  <c r="A97" i="55" s="1"/>
  <c r="A99" i="55" s="1"/>
  <c r="J11" i="53"/>
  <c r="J11" i="37"/>
  <c r="Y11" i="53"/>
  <c r="X11" i="53"/>
  <c r="H11" i="53"/>
  <c r="F11" i="53"/>
  <c r="D11" i="53"/>
  <c r="T322" i="52"/>
  <c r="T321" i="52"/>
  <c r="T320" i="52"/>
  <c r="T319" i="52"/>
  <c r="T318" i="52"/>
  <c r="T317" i="52"/>
  <c r="T316" i="52"/>
  <c r="T315" i="52"/>
  <c r="T314" i="52"/>
  <c r="T313" i="52"/>
  <c r="T312" i="52"/>
  <c r="T311" i="52"/>
  <c r="T310" i="52"/>
  <c r="T309" i="52"/>
  <c r="T308" i="52"/>
  <c r="T307" i="52"/>
  <c r="T306" i="52"/>
  <c r="T305" i="52"/>
  <c r="T304" i="52"/>
  <c r="T303" i="52"/>
  <c r="T302" i="52"/>
  <c r="T301" i="52"/>
  <c r="T300" i="52"/>
  <c r="T299" i="52"/>
  <c r="T298" i="52"/>
  <c r="T297" i="52"/>
  <c r="T296" i="52"/>
  <c r="T295" i="52"/>
  <c r="T294" i="52"/>
  <c r="T293" i="52"/>
  <c r="T292" i="52"/>
  <c r="T291" i="52"/>
  <c r="T290" i="52"/>
  <c r="T289" i="52"/>
  <c r="T288" i="52"/>
  <c r="T287" i="52"/>
  <c r="T286" i="52"/>
  <c r="T285" i="52"/>
  <c r="T284" i="52"/>
  <c r="T283" i="52"/>
  <c r="T282" i="52"/>
  <c r="T281" i="52"/>
  <c r="T280" i="52"/>
  <c r="T279" i="52"/>
  <c r="T278" i="52"/>
  <c r="T277" i="52"/>
  <c r="T276" i="52"/>
  <c r="T274" i="52"/>
  <c r="T273" i="52"/>
  <c r="T272" i="52"/>
  <c r="T271" i="52"/>
  <c r="T270" i="52"/>
  <c r="T269" i="52"/>
  <c r="T268" i="52"/>
  <c r="T267" i="52"/>
  <c r="T266" i="52"/>
  <c r="T265" i="52"/>
  <c r="T262" i="52"/>
  <c r="T261" i="52"/>
  <c r="T258" i="52"/>
  <c r="T257" i="52"/>
  <c r="T256" i="52"/>
  <c r="T255" i="52"/>
  <c r="T254" i="52"/>
  <c r="T253" i="52"/>
  <c r="T252" i="52"/>
  <c r="T251" i="52"/>
  <c r="T250" i="52"/>
  <c r="T249" i="52"/>
  <c r="T248" i="52"/>
  <c r="T247" i="52"/>
  <c r="T246" i="52"/>
  <c r="T245" i="52"/>
  <c r="T244" i="52"/>
  <c r="T243" i="52"/>
  <c r="T242" i="52"/>
  <c r="T241" i="52"/>
  <c r="T240" i="52"/>
  <c r="T239" i="52"/>
  <c r="T238" i="52"/>
  <c r="T237" i="52"/>
  <c r="T236" i="52"/>
  <c r="T235" i="52"/>
  <c r="T234" i="52"/>
  <c r="T233" i="52"/>
  <c r="T232" i="52"/>
  <c r="T231" i="52"/>
  <c r="T230" i="52"/>
  <c r="T229" i="52"/>
  <c r="T228" i="52"/>
  <c r="T227" i="52"/>
  <c r="T226" i="52"/>
  <c r="T225" i="52"/>
  <c r="T224" i="52"/>
  <c r="T223" i="52"/>
  <c r="T222" i="52"/>
  <c r="T221" i="52"/>
  <c r="T220" i="52"/>
  <c r="T219" i="52"/>
  <c r="T218" i="52"/>
  <c r="T217" i="52"/>
  <c r="T216" i="52"/>
  <c r="T215" i="52"/>
  <c r="T214" i="52"/>
  <c r="T213" i="52"/>
  <c r="T212" i="52"/>
  <c r="T211" i="52"/>
  <c r="T210" i="52"/>
  <c r="T209" i="52"/>
  <c r="T204" i="52"/>
  <c r="T197" i="52"/>
  <c r="T196" i="52"/>
  <c r="T195" i="52"/>
  <c r="T194" i="52"/>
  <c r="T193" i="52"/>
  <c r="T192" i="52"/>
  <c r="T191" i="52"/>
  <c r="T190" i="52"/>
  <c r="T189" i="52"/>
  <c r="T188" i="52"/>
  <c r="T187" i="52"/>
  <c r="T186" i="52"/>
  <c r="T185" i="52"/>
  <c r="T184" i="52"/>
  <c r="T183" i="52"/>
  <c r="T182" i="52"/>
  <c r="T181" i="52"/>
  <c r="T180" i="52"/>
  <c r="T179" i="52"/>
  <c r="T177" i="52"/>
  <c r="T176" i="52"/>
  <c r="T175" i="52"/>
  <c r="T174" i="52"/>
  <c r="T173" i="52"/>
  <c r="T172" i="52"/>
  <c r="T171" i="52"/>
  <c r="T170" i="52"/>
  <c r="T169" i="52"/>
  <c r="T168" i="52"/>
  <c r="T167" i="52"/>
  <c r="T166" i="52"/>
  <c r="T165" i="52"/>
  <c r="T164" i="52"/>
  <c r="T163" i="52"/>
  <c r="T162" i="52"/>
  <c r="T161" i="52"/>
  <c r="T160" i="52"/>
  <c r="T159" i="52"/>
  <c r="T158" i="52"/>
  <c r="T157" i="52"/>
  <c r="T156" i="52"/>
  <c r="T155" i="52"/>
  <c r="T154" i="52"/>
  <c r="T153" i="52"/>
  <c r="T152" i="52"/>
  <c r="T151" i="52"/>
  <c r="T150" i="52"/>
  <c r="T149" i="52"/>
  <c r="T148" i="52"/>
  <c r="T147" i="52"/>
  <c r="T146" i="52"/>
  <c r="T145" i="52"/>
  <c r="T140" i="52"/>
  <c r="T139" i="52"/>
  <c r="T138" i="52"/>
  <c r="T137" i="52"/>
  <c r="T136" i="52"/>
  <c r="T135" i="52"/>
  <c r="T134" i="52"/>
  <c r="T133" i="52"/>
  <c r="T132" i="52"/>
  <c r="T131" i="52"/>
  <c r="T130" i="52"/>
  <c r="T129" i="52"/>
  <c r="T128" i="52"/>
  <c r="T127" i="52"/>
  <c r="T126" i="52"/>
  <c r="T125" i="52"/>
  <c r="T124" i="52"/>
  <c r="T123" i="52"/>
  <c r="T122" i="52"/>
  <c r="T121" i="52"/>
  <c r="T120" i="52"/>
  <c r="T119" i="52"/>
  <c r="T118" i="52"/>
  <c r="T117" i="52"/>
  <c r="T116" i="52"/>
  <c r="T115" i="52"/>
  <c r="T114" i="52"/>
  <c r="T113" i="52"/>
  <c r="T112" i="52"/>
  <c r="T111" i="52"/>
  <c r="T110" i="52"/>
  <c r="T109" i="52"/>
  <c r="T108" i="52"/>
  <c r="T107" i="52"/>
  <c r="T106" i="52"/>
  <c r="T105" i="52"/>
  <c r="T104" i="52"/>
  <c r="T103" i="52"/>
  <c r="T102" i="52"/>
  <c r="T101" i="52"/>
  <c r="T100" i="52"/>
  <c r="T99" i="52"/>
  <c r="T98" i="52"/>
  <c r="T97" i="52"/>
  <c r="T96" i="52"/>
  <c r="T95" i="52"/>
  <c r="T94" i="52"/>
  <c r="T93" i="52"/>
  <c r="T92" i="52"/>
  <c r="T90" i="52"/>
  <c r="T89" i="52"/>
  <c r="T88" i="52"/>
  <c r="T87" i="52"/>
  <c r="T86" i="52"/>
  <c r="T85" i="52"/>
  <c r="T84" i="52"/>
  <c r="T83" i="52"/>
  <c r="T82" i="52"/>
  <c r="T81" i="52"/>
  <c r="T80" i="52"/>
  <c r="T79" i="52"/>
  <c r="T78" i="52"/>
  <c r="T77" i="52"/>
  <c r="T76" i="52"/>
  <c r="T75" i="52"/>
  <c r="T74" i="52"/>
  <c r="T73" i="52"/>
  <c r="T72" i="52"/>
  <c r="T71" i="52"/>
  <c r="T70" i="52"/>
  <c r="T69" i="52"/>
  <c r="T68" i="52"/>
  <c r="T67" i="52"/>
  <c r="T66" i="52"/>
  <c r="T65" i="52"/>
  <c r="T64" i="52"/>
  <c r="T63" i="52"/>
  <c r="T62" i="52"/>
  <c r="T61" i="52"/>
  <c r="T60" i="52"/>
  <c r="T59" i="52"/>
  <c r="T58" i="52"/>
  <c r="T57" i="52"/>
  <c r="T56" i="52"/>
  <c r="T55" i="52"/>
  <c r="T54" i="52"/>
  <c r="T53" i="52"/>
  <c r="T52" i="52"/>
  <c r="T51" i="52"/>
  <c r="T50" i="52"/>
  <c r="T49" i="52"/>
  <c r="T48" i="52"/>
  <c r="T47" i="52"/>
  <c r="T46" i="52"/>
  <c r="T45" i="52"/>
  <c r="T44" i="52"/>
  <c r="T43" i="52"/>
  <c r="T42" i="52"/>
  <c r="T41" i="52"/>
  <c r="T40" i="52"/>
  <c r="T37" i="52"/>
  <c r="T36" i="52"/>
  <c r="T33" i="52"/>
  <c r="T32" i="52"/>
  <c r="T31" i="52"/>
  <c r="T30" i="52"/>
  <c r="T29" i="52"/>
  <c r="T28" i="52"/>
  <c r="T27" i="52"/>
  <c r="T26" i="52"/>
  <c r="T25" i="52"/>
  <c r="T24" i="52"/>
  <c r="T23" i="52"/>
  <c r="T22" i="52"/>
  <c r="T21" i="52"/>
  <c r="T20" i="52"/>
  <c r="T19" i="52"/>
  <c r="T18" i="52"/>
  <c r="T17" i="52"/>
  <c r="T16" i="52"/>
  <c r="T15" i="52"/>
  <c r="T14" i="52"/>
  <c r="T13" i="52"/>
  <c r="T12" i="52"/>
  <c r="T11" i="52"/>
  <c r="T10" i="52"/>
  <c r="T9" i="52"/>
  <c r="T8" i="52"/>
  <c r="T7" i="52"/>
  <c r="T6" i="52"/>
  <c r="B108" i="53"/>
  <c r="B107" i="53"/>
  <c r="B106" i="53"/>
  <c r="B105" i="53"/>
  <c r="B104" i="53"/>
  <c r="B102" i="53"/>
  <c r="B100" i="53"/>
  <c r="B99" i="53"/>
  <c r="B98" i="53"/>
  <c r="B97" i="53"/>
  <c r="B94" i="53"/>
  <c r="B88" i="53"/>
  <c r="B83" i="53"/>
  <c r="B81" i="53"/>
  <c r="B69" i="53"/>
  <c r="B67" i="53"/>
  <c r="B66" i="53"/>
  <c r="B65" i="53"/>
  <c r="B63" i="53"/>
  <c r="B62" i="53"/>
  <c r="B61" i="53"/>
  <c r="B59" i="53"/>
  <c r="B58" i="53"/>
  <c r="B57" i="53"/>
  <c r="B56" i="53"/>
  <c r="B55" i="53"/>
  <c r="B54" i="53"/>
  <c r="B47" i="53"/>
  <c r="B44" i="53"/>
  <c r="B42" i="53"/>
  <c r="B41" i="53"/>
  <c r="B40" i="53"/>
  <c r="B38" i="53"/>
  <c r="B37" i="53"/>
  <c r="B36" i="53"/>
  <c r="B34" i="53"/>
  <c r="B33" i="53"/>
  <c r="B32" i="53"/>
  <c r="B30" i="53"/>
  <c r="B28" i="53"/>
  <c r="B26" i="53"/>
  <c r="B24" i="53"/>
  <c r="B23" i="53"/>
  <c r="B22" i="53"/>
  <c r="B21" i="53"/>
  <c r="B19" i="53"/>
  <c r="B18" i="53"/>
  <c r="B17" i="53"/>
  <c r="B15" i="53"/>
  <c r="B14" i="53"/>
  <c r="B12" i="53"/>
  <c r="T68" i="37"/>
  <c r="T62" i="37"/>
  <c r="T37" i="37"/>
  <c r="T27" i="37"/>
  <c r="S337" i="52"/>
  <c r="A328" i="52"/>
  <c r="A323" i="52"/>
  <c r="A320" i="52"/>
  <c r="A319" i="52"/>
  <c r="A318" i="52"/>
  <c r="A317" i="52"/>
  <c r="A316" i="52"/>
  <c r="A315" i="52"/>
  <c r="A314" i="52"/>
  <c r="A313" i="52"/>
  <c r="A312" i="52"/>
  <c r="A311" i="52"/>
  <c r="A310" i="52"/>
  <c r="A309" i="52"/>
  <c r="A308" i="52"/>
  <c r="A307" i="52"/>
  <c r="A306" i="52"/>
  <c r="A305" i="52"/>
  <c r="C274" i="52"/>
  <c r="A274" i="52"/>
  <c r="C273" i="52"/>
  <c r="A273" i="52"/>
  <c r="C272" i="52"/>
  <c r="A272" i="52"/>
  <c r="C271" i="52"/>
  <c r="A271" i="52"/>
  <c r="C270" i="52"/>
  <c r="A270" i="52"/>
  <c r="C269" i="52"/>
  <c r="A269" i="52"/>
  <c r="C268" i="52"/>
  <c r="A268" i="52"/>
  <c r="C267" i="52"/>
  <c r="A267" i="52"/>
  <c r="C266" i="52"/>
  <c r="A266" i="52"/>
  <c r="C265" i="52"/>
  <c r="A265" i="52"/>
  <c r="C264" i="52"/>
  <c r="A264" i="52"/>
  <c r="C263" i="52"/>
  <c r="A263" i="52"/>
  <c r="C262" i="52"/>
  <c r="A262" i="52"/>
  <c r="C261" i="52"/>
  <c r="A261" i="52"/>
  <c r="C260" i="52"/>
  <c r="D34" i="18" s="1"/>
  <c r="A260" i="52"/>
  <c r="C259" i="52"/>
  <c r="A259" i="52"/>
  <c r="C258" i="52"/>
  <c r="A258" i="52"/>
  <c r="C257" i="52"/>
  <c r="A257" i="52"/>
  <c r="C256" i="52"/>
  <c r="A256" i="52"/>
  <c r="C255" i="52"/>
  <c r="A255" i="52"/>
  <c r="C254" i="52"/>
  <c r="A254" i="52"/>
  <c r="C253" i="52"/>
  <c r="A253" i="52"/>
  <c r="C252" i="52"/>
  <c r="A252" i="52"/>
  <c r="C251" i="52"/>
  <c r="A251" i="52"/>
  <c r="C250" i="52"/>
  <c r="A250" i="52"/>
  <c r="C249" i="52"/>
  <c r="A249" i="52"/>
  <c r="C248" i="52"/>
  <c r="A248" i="52"/>
  <c r="C247" i="52"/>
  <c r="A247" i="52"/>
  <c r="C246" i="52"/>
  <c r="A246" i="52"/>
  <c r="C245" i="52"/>
  <c r="A245" i="52"/>
  <c r="C244" i="52"/>
  <c r="A244" i="52"/>
  <c r="C243" i="52"/>
  <c r="A243" i="52"/>
  <c r="C242" i="52"/>
  <c r="A242" i="52"/>
  <c r="A241" i="52"/>
  <c r="A240" i="52"/>
  <c r="A239" i="52"/>
  <c r="C238" i="52"/>
  <c r="A238" i="52"/>
  <c r="C237" i="52"/>
  <c r="A237" i="52"/>
  <c r="C236" i="52"/>
  <c r="A236" i="52"/>
  <c r="C235" i="52"/>
  <c r="A235" i="52"/>
  <c r="C234" i="52"/>
  <c r="A234" i="52"/>
  <c r="S228" i="52"/>
  <c r="C228" i="52"/>
  <c r="A228" i="52"/>
  <c r="S227" i="52"/>
  <c r="C227" i="52"/>
  <c r="A227" i="52"/>
  <c r="S226" i="52"/>
  <c r="C226" i="52"/>
  <c r="A226" i="52"/>
  <c r="S225" i="52"/>
  <c r="C225" i="52"/>
  <c r="A225" i="52"/>
  <c r="S224" i="52"/>
  <c r="C224" i="52"/>
  <c r="A224" i="52"/>
  <c r="S223" i="52"/>
  <c r="C223" i="52"/>
  <c r="A223" i="52"/>
  <c r="S222" i="52"/>
  <c r="C222" i="52"/>
  <c r="A222" i="52"/>
  <c r="S221" i="52"/>
  <c r="S220" i="52"/>
  <c r="S204" i="52"/>
  <c r="C204" i="52"/>
  <c r="A204" i="52"/>
  <c r="S203" i="52"/>
  <c r="C203" i="52"/>
  <c r="A203" i="52"/>
  <c r="S202" i="52"/>
  <c r="C202" i="52"/>
  <c r="A202" i="52"/>
  <c r="S201" i="52"/>
  <c r="C201" i="52"/>
  <c r="A201" i="52"/>
  <c r="S200" i="52"/>
  <c r="C200" i="52"/>
  <c r="A200" i="52"/>
  <c r="S199" i="52"/>
  <c r="C199" i="52"/>
  <c r="A199" i="52"/>
  <c r="S198" i="52"/>
  <c r="C198" i="52"/>
  <c r="A198" i="52"/>
  <c r="S197" i="52"/>
  <c r="C197" i="52"/>
  <c r="A197" i="52"/>
  <c r="S196" i="52"/>
  <c r="C196" i="52"/>
  <c r="A196" i="52"/>
  <c r="S195" i="52"/>
  <c r="C195" i="52"/>
  <c r="A195" i="52"/>
  <c r="S194" i="52"/>
  <c r="C194" i="52"/>
  <c r="A194" i="52"/>
  <c r="S193" i="52"/>
  <c r="C193" i="52"/>
  <c r="A193" i="52"/>
  <c r="S192" i="52"/>
  <c r="C192" i="52"/>
  <c r="A192" i="52"/>
  <c r="S191" i="52"/>
  <c r="C191" i="52"/>
  <c r="A191" i="52"/>
  <c r="S190" i="52"/>
  <c r="C190" i="52"/>
  <c r="A190" i="52"/>
  <c r="S189" i="52"/>
  <c r="C189" i="52"/>
  <c r="A189" i="52"/>
  <c r="S188" i="52"/>
  <c r="C188" i="52"/>
  <c r="A188" i="52"/>
  <c r="S187" i="52"/>
  <c r="C187" i="52"/>
  <c r="A187" i="52"/>
  <c r="S186" i="52"/>
  <c r="S185" i="52"/>
  <c r="C185" i="52"/>
  <c r="B185" i="52"/>
  <c r="A185" i="52"/>
  <c r="S184" i="52"/>
  <c r="S183" i="52"/>
  <c r="S182" i="52"/>
  <c r="S181" i="52"/>
  <c r="S180" i="52"/>
  <c r="S179" i="52"/>
  <c r="S177" i="52"/>
  <c r="C177" i="52"/>
  <c r="A177" i="52"/>
  <c r="S176" i="52"/>
  <c r="C176" i="52"/>
  <c r="A176" i="52"/>
  <c r="S175" i="52"/>
  <c r="C175" i="52"/>
  <c r="A175" i="52"/>
  <c r="S174" i="52"/>
  <c r="C174" i="52"/>
  <c r="A174" i="52"/>
  <c r="S173" i="52"/>
  <c r="C173" i="52"/>
  <c r="A173" i="52"/>
  <c r="S172" i="52"/>
  <c r="C172" i="52"/>
  <c r="A172" i="52"/>
  <c r="S171" i="52"/>
  <c r="C171" i="52"/>
  <c r="A171" i="52"/>
  <c r="S170" i="52"/>
  <c r="C170" i="52"/>
  <c r="A170" i="52"/>
  <c r="S169" i="52"/>
  <c r="C169" i="52"/>
  <c r="A169" i="52"/>
  <c r="S168" i="52"/>
  <c r="C168" i="52"/>
  <c r="A168" i="52"/>
  <c r="S167" i="52"/>
  <c r="S166" i="52"/>
  <c r="S140" i="52"/>
  <c r="C140" i="52"/>
  <c r="A140" i="52"/>
  <c r="S139" i="52"/>
  <c r="C139" i="52"/>
  <c r="A139" i="52"/>
  <c r="S138" i="52"/>
  <c r="C138" i="52"/>
  <c r="A138" i="52"/>
  <c r="S137" i="52"/>
  <c r="C137" i="52"/>
  <c r="A137" i="52"/>
  <c r="S136" i="52"/>
  <c r="C136" i="52"/>
  <c r="A136" i="52"/>
  <c r="S135" i="52"/>
  <c r="C135" i="52"/>
  <c r="A135" i="52"/>
  <c r="S134" i="52"/>
  <c r="C134" i="52"/>
  <c r="A134" i="52"/>
  <c r="S133" i="52"/>
  <c r="C133" i="52"/>
  <c r="A133" i="52"/>
  <c r="S132" i="52"/>
  <c r="C132" i="52"/>
  <c r="A132" i="52"/>
  <c r="S131" i="52"/>
  <c r="C131" i="52"/>
  <c r="A131" i="52"/>
  <c r="S130" i="52"/>
  <c r="C130" i="52"/>
  <c r="A130" i="52"/>
  <c r="S129" i="52"/>
  <c r="C129" i="52"/>
  <c r="A129" i="52"/>
  <c r="S128" i="52"/>
  <c r="C128" i="52"/>
  <c r="A128" i="52"/>
  <c r="S127" i="52"/>
  <c r="C127" i="52"/>
  <c r="A127" i="52"/>
  <c r="S126" i="52"/>
  <c r="C126" i="52"/>
  <c r="A126" i="52"/>
  <c r="S125" i="52"/>
  <c r="C125" i="52"/>
  <c r="A125" i="52"/>
  <c r="S124" i="52"/>
  <c r="C124" i="52"/>
  <c r="A124" i="52"/>
  <c r="S123" i="52"/>
  <c r="C123" i="52"/>
  <c r="A123" i="52"/>
  <c r="S122" i="52"/>
  <c r="C122" i="52"/>
  <c r="A122" i="52"/>
  <c r="S121" i="52"/>
  <c r="C121" i="52"/>
  <c r="A121" i="52"/>
  <c r="S120" i="52"/>
  <c r="C120" i="52"/>
  <c r="A120" i="52"/>
  <c r="S119" i="52"/>
  <c r="C119" i="52"/>
  <c r="A119" i="52"/>
  <c r="S118" i="52"/>
  <c r="C118" i="52"/>
  <c r="A118" i="52"/>
  <c r="S117" i="52"/>
  <c r="C117" i="52"/>
  <c r="A117" i="52"/>
  <c r="S116" i="52"/>
  <c r="C116" i="52"/>
  <c r="A116" i="52"/>
  <c r="S115" i="52"/>
  <c r="C115" i="52"/>
  <c r="A115" i="52"/>
  <c r="S114" i="52"/>
  <c r="C114" i="52"/>
  <c r="A114" i="52"/>
  <c r="S113" i="52"/>
  <c r="C113" i="52"/>
  <c r="A113" i="52"/>
  <c r="C111" i="52"/>
  <c r="B111" i="52"/>
  <c r="A111" i="52"/>
  <c r="A90" i="52"/>
  <c r="A89" i="52"/>
  <c r="A88" i="52"/>
  <c r="A87" i="52"/>
  <c r="A86" i="52"/>
  <c r="A85" i="52"/>
  <c r="A84" i="52"/>
  <c r="A83" i="52"/>
  <c r="A82" i="52"/>
  <c r="A81" i="52"/>
  <c r="A80" i="52"/>
  <c r="A79" i="52"/>
  <c r="A78" i="52"/>
  <c r="A77" i="52"/>
  <c r="A76" i="52"/>
  <c r="A75" i="52"/>
  <c r="A74" i="52"/>
  <c r="C49" i="52"/>
  <c r="A49" i="52"/>
  <c r="C48" i="52"/>
  <c r="A48" i="52"/>
  <c r="C47" i="52"/>
  <c r="A47" i="52"/>
  <c r="C46" i="52"/>
  <c r="A46" i="52"/>
  <c r="C45" i="52"/>
  <c r="A45" i="52"/>
  <c r="C44" i="52"/>
  <c r="A44" i="52"/>
  <c r="C43" i="52"/>
  <c r="A43" i="52"/>
  <c r="C42" i="52"/>
  <c r="A42" i="52"/>
  <c r="C41" i="52"/>
  <c r="A41" i="52"/>
  <c r="C40" i="52"/>
  <c r="A40" i="52"/>
  <c r="C39" i="52"/>
  <c r="A39" i="52"/>
  <c r="C38" i="52"/>
  <c r="A38" i="52"/>
  <c r="C37" i="52"/>
  <c r="A37" i="52"/>
  <c r="C36" i="52"/>
  <c r="A36" i="52"/>
  <c r="C35" i="52"/>
  <c r="D34" i="11" s="1"/>
  <c r="A35" i="52"/>
  <c r="C34" i="52"/>
  <c r="A34" i="52"/>
  <c r="C33" i="52"/>
  <c r="A33" i="52"/>
  <c r="C32" i="52"/>
  <c r="A32" i="52"/>
  <c r="C31" i="52"/>
  <c r="A31" i="52"/>
  <c r="C30" i="52"/>
  <c r="A30" i="52"/>
  <c r="C29" i="52"/>
  <c r="A29" i="52"/>
  <c r="C28" i="52"/>
  <c r="A28" i="52"/>
  <c r="C27" i="52"/>
  <c r="A27" i="52"/>
  <c r="C26" i="52"/>
  <c r="A26" i="52"/>
  <c r="C25" i="52"/>
  <c r="A25" i="52"/>
  <c r="C24" i="52"/>
  <c r="A24" i="52"/>
  <c r="C23" i="52"/>
  <c r="A23" i="52"/>
  <c r="C22" i="52"/>
  <c r="A22" i="52"/>
  <c r="C21" i="52"/>
  <c r="A21" i="52"/>
  <c r="C20" i="52"/>
  <c r="A20" i="52"/>
  <c r="C19" i="52"/>
  <c r="A19" i="52"/>
  <c r="C18" i="52"/>
  <c r="A18" i="52"/>
  <c r="C17" i="52"/>
  <c r="A17" i="52"/>
  <c r="A16" i="52"/>
  <c r="A15" i="52"/>
  <c r="A14" i="52"/>
  <c r="C13" i="52"/>
  <c r="A13" i="52"/>
  <c r="C12" i="52"/>
  <c r="A12" i="52"/>
  <c r="C11" i="52"/>
  <c r="A11" i="52"/>
  <c r="C10" i="52"/>
  <c r="A10" i="52"/>
  <c r="C9" i="52"/>
  <c r="A9" i="52"/>
  <c r="C8" i="52"/>
  <c r="A8" i="52"/>
  <c r="C7" i="52"/>
  <c r="A7" i="52"/>
  <c r="A6" i="52"/>
  <c r="Q22" i="51"/>
  <c r="Q21" i="51"/>
  <c r="V62" i="53" s="1"/>
  <c r="Q20" i="51"/>
  <c r="V37" i="53" s="1"/>
  <c r="Q19" i="51"/>
  <c r="Q17" i="51"/>
  <c r="Q16" i="51"/>
  <c r="Q15" i="51"/>
  <c r="Q14" i="51"/>
  <c r="Q13" i="51"/>
  <c r="Q12" i="51"/>
  <c r="C44" i="20" s="1"/>
  <c r="Q11" i="51"/>
  <c r="Q9" i="51"/>
  <c r="C36" i="45" s="1"/>
  <c r="Q8" i="51"/>
  <c r="Q7" i="51"/>
  <c r="Q6" i="51"/>
  <c r="V68" i="53" l="1"/>
  <c r="V27" i="53"/>
  <c r="V71" i="53" s="1"/>
  <c r="D31" i="18"/>
  <c r="D32" i="18"/>
  <c r="D35" i="18"/>
  <c r="D35" i="11"/>
  <c r="D32" i="11"/>
  <c r="D31" i="11"/>
  <c r="F34" i="18"/>
  <c r="D33" i="18"/>
  <c r="D33" i="11"/>
  <c r="V111" i="53"/>
  <c r="V114" i="53" s="1"/>
  <c r="C48" i="20"/>
  <c r="F48" i="20" s="1"/>
  <c r="H48" i="20" s="1"/>
  <c r="C46" i="20"/>
  <c r="F46" i="20" s="1"/>
  <c r="H46" i="20" s="1"/>
  <c r="C52" i="20"/>
  <c r="F52" i="20" s="1"/>
  <c r="H52" i="20" s="1"/>
  <c r="J52" i="20" s="1"/>
  <c r="C50" i="20"/>
  <c r="F50" i="20" s="1"/>
  <c r="H50" i="20" s="1"/>
  <c r="J50" i="20" s="1"/>
  <c r="F109" i="53"/>
  <c r="H35" i="53"/>
  <c r="J96" i="53"/>
  <c r="J103" i="53"/>
  <c r="F49" i="53"/>
  <c r="E22" i="5" s="1"/>
  <c r="F100" i="53"/>
  <c r="E100" i="5" s="1"/>
  <c r="F17" i="53"/>
  <c r="E44" i="5" s="1"/>
  <c r="F25" i="53"/>
  <c r="F53" i="53"/>
  <c r="F93" i="53"/>
  <c r="J86" i="53"/>
  <c r="J95" i="53"/>
  <c r="F105" i="53"/>
  <c r="E103" i="5" s="1"/>
  <c r="F81" i="53"/>
  <c r="E82" i="5" s="1"/>
  <c r="F97" i="53"/>
  <c r="E86" i="5" s="1"/>
  <c r="J87" i="53"/>
  <c r="J53" i="53"/>
  <c r="J109" i="53"/>
  <c r="F32" i="53"/>
  <c r="E71" i="5" s="1"/>
  <c r="F13" i="53"/>
  <c r="F45" i="53"/>
  <c r="F85" i="53"/>
  <c r="F101" i="53"/>
  <c r="J46" i="53"/>
  <c r="J90" i="53"/>
  <c r="J110" i="53"/>
  <c r="D33" i="53"/>
  <c r="D72" i="5" s="1"/>
  <c r="F110" i="53"/>
  <c r="J50" i="53"/>
  <c r="G23" i="5" s="1"/>
  <c r="F61" i="53"/>
  <c r="E30" i="5" s="1"/>
  <c r="F21" i="53"/>
  <c r="E58" i="5" s="1"/>
  <c r="F89" i="53"/>
  <c r="J82" i="53"/>
  <c r="J91" i="53"/>
  <c r="P40" i="53"/>
  <c r="I14" i="5" s="1"/>
  <c r="R40" i="53"/>
  <c r="X40" i="53" s="1"/>
  <c r="E15" i="44" s="1"/>
  <c r="D40" i="53"/>
  <c r="D14" i="5" s="1"/>
  <c r="Y40" i="53"/>
  <c r="H40" i="53"/>
  <c r="F14" i="5" s="1"/>
  <c r="R47" i="53"/>
  <c r="P47" i="53"/>
  <c r="D47" i="53"/>
  <c r="D20" i="5" s="1"/>
  <c r="Y47" i="53"/>
  <c r="H47" i="53"/>
  <c r="F20" i="5" s="1"/>
  <c r="R57" i="53"/>
  <c r="P57" i="53"/>
  <c r="I27" i="5" s="1"/>
  <c r="D57" i="53"/>
  <c r="D27" i="5" s="1"/>
  <c r="Y57" i="53"/>
  <c r="H57" i="53"/>
  <c r="F27" i="5" s="1"/>
  <c r="P67" i="53"/>
  <c r="R67" i="53"/>
  <c r="D67" i="53"/>
  <c r="D36" i="5" s="1"/>
  <c r="Y67" i="53"/>
  <c r="H67" i="53"/>
  <c r="R83" i="53"/>
  <c r="P83" i="53"/>
  <c r="I83" i="5" s="1"/>
  <c r="D83" i="53"/>
  <c r="D83" i="5" s="1"/>
  <c r="Y83" i="53"/>
  <c r="H83" i="53"/>
  <c r="F83" i="5" s="1"/>
  <c r="R98" i="53"/>
  <c r="P98" i="53"/>
  <c r="D98" i="53"/>
  <c r="D87" i="5" s="1"/>
  <c r="Y98" i="53"/>
  <c r="H98" i="53"/>
  <c r="F87" i="5" s="1"/>
  <c r="P104" i="53"/>
  <c r="I102" i="5" s="1"/>
  <c r="R104" i="53"/>
  <c r="D104" i="53"/>
  <c r="D102" i="5" s="1"/>
  <c r="Y104" i="53"/>
  <c r="H104" i="53"/>
  <c r="F102" i="5" s="1"/>
  <c r="R108" i="53"/>
  <c r="P108" i="53"/>
  <c r="D108" i="53"/>
  <c r="D81" i="5" s="1"/>
  <c r="Y108" i="53"/>
  <c r="H108" i="53"/>
  <c r="F81" i="5" s="1"/>
  <c r="F57" i="53"/>
  <c r="E27" i="5" s="1"/>
  <c r="P109" i="53"/>
  <c r="P101" i="53"/>
  <c r="P96" i="53"/>
  <c r="P93" i="53"/>
  <c r="P85" i="53"/>
  <c r="P103" i="53"/>
  <c r="P95" i="53"/>
  <c r="P90" i="53"/>
  <c r="P87" i="53"/>
  <c r="P82" i="53"/>
  <c r="P92" i="53"/>
  <c r="P89" i="53"/>
  <c r="P84" i="53"/>
  <c r="P110" i="53"/>
  <c r="P86" i="53"/>
  <c r="P91" i="53"/>
  <c r="D110" i="53"/>
  <c r="D109" i="53"/>
  <c r="D103" i="53"/>
  <c r="D101" i="53"/>
  <c r="D96" i="53"/>
  <c r="D95" i="53"/>
  <c r="D93" i="53"/>
  <c r="D92" i="53"/>
  <c r="D91" i="53"/>
  <c r="D90" i="53"/>
  <c r="D89" i="53"/>
  <c r="D87" i="53"/>
  <c r="D86" i="53"/>
  <c r="D85" i="53"/>
  <c r="D84" i="53"/>
  <c r="D82" i="53"/>
  <c r="Y110" i="53"/>
  <c r="Y109" i="53"/>
  <c r="Y107" i="53"/>
  <c r="Y103" i="53"/>
  <c r="Y102" i="53"/>
  <c r="Y101" i="53"/>
  <c r="Y97" i="53"/>
  <c r="Y96" i="53"/>
  <c r="Y95" i="53"/>
  <c r="Y93" i="53"/>
  <c r="Y92" i="53"/>
  <c r="Y91" i="53"/>
  <c r="Y90" i="53"/>
  <c r="Y89" i="53"/>
  <c r="Y87" i="53"/>
  <c r="Y86" i="53"/>
  <c r="Y85" i="53"/>
  <c r="Y84" i="53"/>
  <c r="Y82" i="53"/>
  <c r="Y81" i="53"/>
  <c r="F35" i="53"/>
  <c r="F34" i="53"/>
  <c r="E73" i="5" s="1"/>
  <c r="F33" i="53"/>
  <c r="E72" i="5" s="1"/>
  <c r="R53" i="53"/>
  <c r="R48" i="53"/>
  <c r="R45" i="53"/>
  <c r="R31" i="53"/>
  <c r="X31" i="53" s="1"/>
  <c r="R20" i="53"/>
  <c r="R50" i="53"/>
  <c r="R25" i="53"/>
  <c r="R60" i="53"/>
  <c r="R52" i="53"/>
  <c r="R49" i="53"/>
  <c r="R35" i="53"/>
  <c r="X35" i="53" s="1"/>
  <c r="R16" i="53"/>
  <c r="R46" i="53"/>
  <c r="R13" i="53"/>
  <c r="P15" i="53"/>
  <c r="I42" i="5" s="1"/>
  <c r="R15" i="53"/>
  <c r="D15" i="53"/>
  <c r="D42" i="5" s="1"/>
  <c r="Y15" i="53"/>
  <c r="H15" i="53"/>
  <c r="F42" i="5" s="1"/>
  <c r="P21" i="53"/>
  <c r="I58" i="5" s="1"/>
  <c r="R21" i="53"/>
  <c r="D21" i="53"/>
  <c r="D58" i="5" s="1"/>
  <c r="Y21" i="53"/>
  <c r="H21" i="53"/>
  <c r="F58" i="5" s="1"/>
  <c r="P26" i="53"/>
  <c r="R26" i="53"/>
  <c r="D26" i="53"/>
  <c r="D62" i="5" s="1"/>
  <c r="Y26" i="53"/>
  <c r="H26" i="53"/>
  <c r="F62" i="5" s="1"/>
  <c r="P32" i="53"/>
  <c r="R32" i="53"/>
  <c r="X32" i="53" s="1"/>
  <c r="E73" i="44" s="1"/>
  <c r="Y32" i="53"/>
  <c r="D32" i="53"/>
  <c r="D71" i="5" s="1"/>
  <c r="H32" i="53"/>
  <c r="F71" i="5" s="1"/>
  <c r="P36" i="53"/>
  <c r="I74" i="5" s="1"/>
  <c r="R36" i="53"/>
  <c r="X36" i="53" s="1"/>
  <c r="E76" i="44" s="1"/>
  <c r="F36" i="53"/>
  <c r="E74" i="5" s="1"/>
  <c r="Y36" i="53"/>
  <c r="D36" i="53"/>
  <c r="D74" i="5" s="1"/>
  <c r="P54" i="53"/>
  <c r="I21" i="5" s="1"/>
  <c r="R54" i="53"/>
  <c r="D54" i="53"/>
  <c r="D21" i="5" s="1"/>
  <c r="Y54" i="53"/>
  <c r="H54" i="53"/>
  <c r="F21" i="5" s="1"/>
  <c r="P58" i="53"/>
  <c r="I28" i="5" s="1"/>
  <c r="R58" i="53"/>
  <c r="D58" i="53"/>
  <c r="D28" i="5" s="1"/>
  <c r="Y58" i="53"/>
  <c r="H58" i="53"/>
  <c r="F28" i="5" s="1"/>
  <c r="P88" i="53"/>
  <c r="R88" i="53"/>
  <c r="D88" i="53"/>
  <c r="D84" i="5" s="1"/>
  <c r="Y88" i="53"/>
  <c r="H88" i="53"/>
  <c r="F84" i="5" s="1"/>
  <c r="R99" i="53"/>
  <c r="P99" i="53"/>
  <c r="D99" i="53"/>
  <c r="D88" i="5" s="1"/>
  <c r="Y99" i="53"/>
  <c r="H99" i="53"/>
  <c r="F88" i="5" s="1"/>
  <c r="R105" i="53"/>
  <c r="P105" i="53"/>
  <c r="D105" i="53"/>
  <c r="D103" i="5" s="1"/>
  <c r="Y105" i="53"/>
  <c r="H105" i="53"/>
  <c r="F103" i="5" s="1"/>
  <c r="F14" i="53"/>
  <c r="E41" i="5" s="1"/>
  <c r="F18" i="53"/>
  <c r="E56" i="5" s="1"/>
  <c r="F22" i="53"/>
  <c r="E59" i="5" s="1"/>
  <c r="F26" i="53"/>
  <c r="E62" i="5" s="1"/>
  <c r="H36" i="53"/>
  <c r="F74" i="5" s="1"/>
  <c r="F46" i="53"/>
  <c r="F50" i="53"/>
  <c r="E23" i="5" s="1"/>
  <c r="F54" i="53"/>
  <c r="E21" i="5" s="1"/>
  <c r="F58" i="53"/>
  <c r="E28" i="5" s="1"/>
  <c r="F65" i="53"/>
  <c r="E34" i="5" s="1"/>
  <c r="F82" i="53"/>
  <c r="F86" i="53"/>
  <c r="F90" i="53"/>
  <c r="F94" i="53"/>
  <c r="E85" i="5" s="1"/>
  <c r="F98" i="53"/>
  <c r="E87" i="5" s="1"/>
  <c r="F102" i="53"/>
  <c r="E101" i="5" s="1"/>
  <c r="F106" i="53"/>
  <c r="E79" i="5" s="1"/>
  <c r="J25" i="53"/>
  <c r="P60" i="53"/>
  <c r="P52" i="53"/>
  <c r="P50" i="53"/>
  <c r="P48" i="53"/>
  <c r="P46" i="53"/>
  <c r="P25" i="53"/>
  <c r="P13" i="53"/>
  <c r="P53" i="53"/>
  <c r="P45" i="53"/>
  <c r="T45" i="53" s="1"/>
  <c r="P31" i="53"/>
  <c r="T31" i="53" s="1"/>
  <c r="P20" i="53"/>
  <c r="T20" i="53" s="1"/>
  <c r="P35" i="53"/>
  <c r="P49" i="53"/>
  <c r="I22" i="5" s="1"/>
  <c r="P16" i="53"/>
  <c r="T16" i="53" s="1"/>
  <c r="D60" i="53"/>
  <c r="D53" i="53"/>
  <c r="D52" i="53"/>
  <c r="D51" i="53"/>
  <c r="D24" i="5" s="1"/>
  <c r="D50" i="53"/>
  <c r="D23" i="5" s="1"/>
  <c r="D49" i="53"/>
  <c r="D22" i="5" s="1"/>
  <c r="D48" i="53"/>
  <c r="D46" i="53"/>
  <c r="D45" i="53"/>
  <c r="D31" i="53"/>
  <c r="D25" i="53"/>
  <c r="D20" i="53"/>
  <c r="D16" i="53"/>
  <c r="D13" i="53"/>
  <c r="Y66" i="53"/>
  <c r="Y61" i="53"/>
  <c r="Y60" i="53"/>
  <c r="Y56" i="53"/>
  <c r="Y53" i="53"/>
  <c r="Y52" i="53"/>
  <c r="Y51" i="53"/>
  <c r="Y50" i="53"/>
  <c r="Y49" i="53"/>
  <c r="Y48" i="53"/>
  <c r="Y46" i="53"/>
  <c r="Y45" i="53"/>
  <c r="Y44" i="53"/>
  <c r="D35" i="53"/>
  <c r="Y31" i="53"/>
  <c r="Y25" i="53"/>
  <c r="Y24" i="53"/>
  <c r="Y20" i="53"/>
  <c r="Y19" i="53"/>
  <c r="Y16" i="53"/>
  <c r="Y14" i="53"/>
  <c r="Y13" i="53"/>
  <c r="Y35" i="53"/>
  <c r="Y34" i="53"/>
  <c r="D34" i="53"/>
  <c r="D73" i="5" s="1"/>
  <c r="H66" i="53"/>
  <c r="F35" i="5" s="1"/>
  <c r="H65" i="53"/>
  <c r="F34" i="5" s="1"/>
  <c r="H61" i="53"/>
  <c r="F30" i="5" s="1"/>
  <c r="H60" i="53"/>
  <c r="H59" i="53"/>
  <c r="F29" i="5" s="1"/>
  <c r="H56" i="53"/>
  <c r="F26" i="5" s="1"/>
  <c r="H55" i="53"/>
  <c r="F25" i="5" s="1"/>
  <c r="H53" i="53"/>
  <c r="H52" i="53"/>
  <c r="H51" i="53"/>
  <c r="H50" i="53"/>
  <c r="F23" i="5" s="1"/>
  <c r="H49" i="53"/>
  <c r="F22" i="5" s="1"/>
  <c r="H48" i="53"/>
  <c r="H46" i="53"/>
  <c r="H45" i="53"/>
  <c r="H44" i="53"/>
  <c r="F19" i="5" s="1"/>
  <c r="H31" i="53"/>
  <c r="H30" i="53"/>
  <c r="F69" i="5" s="1"/>
  <c r="H25" i="53"/>
  <c r="H24" i="53"/>
  <c r="F61" i="5" s="1"/>
  <c r="H23" i="53"/>
  <c r="F60" i="5" s="1"/>
  <c r="H20" i="53"/>
  <c r="H19" i="53"/>
  <c r="F57" i="5" s="1"/>
  <c r="H18" i="53"/>
  <c r="F56" i="5" s="1"/>
  <c r="H16" i="53"/>
  <c r="H14" i="53"/>
  <c r="F41" i="5" s="1"/>
  <c r="H13" i="53"/>
  <c r="H12" i="53"/>
  <c r="F40" i="5" s="1"/>
  <c r="H110" i="53"/>
  <c r="H109" i="53"/>
  <c r="H107" i="53"/>
  <c r="F80" i="5" s="1"/>
  <c r="H106" i="53"/>
  <c r="F79" i="5" s="1"/>
  <c r="H103" i="53"/>
  <c r="H102" i="53"/>
  <c r="F101" i="5" s="1"/>
  <c r="H101" i="53"/>
  <c r="H100" i="53"/>
  <c r="F100" i="5" s="1"/>
  <c r="H97" i="53"/>
  <c r="F86" i="5" s="1"/>
  <c r="H96" i="53"/>
  <c r="H95" i="53"/>
  <c r="H94" i="53"/>
  <c r="F85" i="5" s="1"/>
  <c r="H93" i="53"/>
  <c r="H92" i="53"/>
  <c r="H91" i="53"/>
  <c r="H90" i="53"/>
  <c r="H89" i="53"/>
  <c r="H87" i="53"/>
  <c r="H86" i="53"/>
  <c r="H85" i="53"/>
  <c r="H84" i="53"/>
  <c r="H82" i="53"/>
  <c r="H81" i="53"/>
  <c r="F82" i="5" s="1"/>
  <c r="J51" i="53"/>
  <c r="G24" i="5" s="1"/>
  <c r="P17" i="53"/>
  <c r="I44" i="5" s="1"/>
  <c r="R17" i="53"/>
  <c r="D17" i="53"/>
  <c r="D44" i="5" s="1"/>
  <c r="Y17" i="53"/>
  <c r="H17" i="53"/>
  <c r="F44" i="5" s="1"/>
  <c r="R22" i="53"/>
  <c r="P22" i="53"/>
  <c r="D22" i="53"/>
  <c r="D59" i="5" s="1"/>
  <c r="Y22" i="53"/>
  <c r="H22" i="53"/>
  <c r="F59" i="5" s="1"/>
  <c r="F15" i="53"/>
  <c r="E42" i="5" s="1"/>
  <c r="F19" i="53"/>
  <c r="E57" i="5" s="1"/>
  <c r="F23" i="53"/>
  <c r="E60" i="5" s="1"/>
  <c r="F30" i="53"/>
  <c r="E69" i="5" s="1"/>
  <c r="Y33" i="53"/>
  <c r="F40" i="53"/>
  <c r="F41" i="53" s="1"/>
  <c r="F47" i="53"/>
  <c r="E20" i="5" s="1"/>
  <c r="F51" i="53"/>
  <c r="E24" i="5" s="1"/>
  <c r="F55" i="53"/>
  <c r="E25" i="5" s="1"/>
  <c r="F59" i="53"/>
  <c r="E29" i="5" s="1"/>
  <c r="F66" i="53"/>
  <c r="E35" i="5" s="1"/>
  <c r="F83" i="53"/>
  <c r="E83" i="5" s="1"/>
  <c r="F87" i="53"/>
  <c r="F91" i="53"/>
  <c r="F95" i="53"/>
  <c r="F99" i="53"/>
  <c r="E88" i="5" s="1"/>
  <c r="F103" i="53"/>
  <c r="F107" i="53"/>
  <c r="E80" i="5" s="1"/>
  <c r="J13" i="53"/>
  <c r="J60" i="53"/>
  <c r="F12" i="53"/>
  <c r="E40" i="5" s="1"/>
  <c r="F16" i="53"/>
  <c r="F20" i="53"/>
  <c r="F24" i="53"/>
  <c r="E61" i="5" s="1"/>
  <c r="F31" i="53"/>
  <c r="F44" i="53"/>
  <c r="E19" i="5" s="1"/>
  <c r="F48" i="53"/>
  <c r="F52" i="53"/>
  <c r="F56" i="53"/>
  <c r="E26" i="5" s="1"/>
  <c r="F60" i="53"/>
  <c r="F67" i="53"/>
  <c r="E36" i="5" s="1"/>
  <c r="F84" i="53"/>
  <c r="F88" i="53"/>
  <c r="E84" i="5" s="1"/>
  <c r="F92" i="53"/>
  <c r="F96" i="53"/>
  <c r="F104" i="53"/>
  <c r="E102" i="5" s="1"/>
  <c r="F108" i="53"/>
  <c r="E81" i="5" s="1"/>
  <c r="E70" i="44"/>
  <c r="E16" i="44"/>
  <c r="I68" i="5"/>
  <c r="I15" i="5"/>
  <c r="E75" i="5"/>
  <c r="E70" i="5"/>
  <c r="G68" i="5"/>
  <c r="G67" i="5"/>
  <c r="G66" i="5"/>
  <c r="G43" i="5"/>
  <c r="F24" i="5"/>
  <c r="F15" i="5"/>
  <c r="D13" i="5"/>
  <c r="E69" i="44"/>
  <c r="E14" i="44"/>
  <c r="I67" i="5"/>
  <c r="I13" i="5"/>
  <c r="E44" i="44"/>
  <c r="I43" i="5"/>
  <c r="F75" i="5"/>
  <c r="G70" i="5"/>
  <c r="F67" i="5"/>
  <c r="E66" i="5"/>
  <c r="D43" i="5"/>
  <c r="E15" i="5"/>
  <c r="F13" i="5"/>
  <c r="R12" i="53"/>
  <c r="E77" i="44"/>
  <c r="I75" i="5"/>
  <c r="D75" i="5"/>
  <c r="F70" i="5"/>
  <c r="F68" i="5"/>
  <c r="E67" i="5"/>
  <c r="D66" i="5"/>
  <c r="D15" i="5"/>
  <c r="E13" i="5"/>
  <c r="P12" i="53"/>
  <c r="E72" i="44"/>
  <c r="I70" i="5"/>
  <c r="D70" i="5"/>
  <c r="E68" i="5"/>
  <c r="D67" i="5"/>
  <c r="F43" i="5"/>
  <c r="E68" i="44"/>
  <c r="I66" i="5"/>
  <c r="G75" i="5"/>
  <c r="D68" i="5"/>
  <c r="F66" i="5"/>
  <c r="G15" i="5"/>
  <c r="E43" i="5"/>
  <c r="G13" i="5"/>
  <c r="P18" i="53"/>
  <c r="R18" i="53"/>
  <c r="P23" i="53"/>
  <c r="R23" i="53"/>
  <c r="P30" i="53"/>
  <c r="I69" i="5" s="1"/>
  <c r="R30" i="53"/>
  <c r="X30" i="53" s="1"/>
  <c r="E71" i="44" s="1"/>
  <c r="R33" i="53"/>
  <c r="X33" i="53" s="1"/>
  <c r="E74" i="44" s="1"/>
  <c r="P33" i="53"/>
  <c r="R55" i="53"/>
  <c r="P55" i="53"/>
  <c r="P59" i="53"/>
  <c r="R59" i="53"/>
  <c r="P65" i="53"/>
  <c r="R65" i="53"/>
  <c r="R94" i="53"/>
  <c r="P94" i="53"/>
  <c r="I85" i="5" s="1"/>
  <c r="R100" i="53"/>
  <c r="P100" i="53"/>
  <c r="I100" i="5" s="1"/>
  <c r="R106" i="53"/>
  <c r="P106" i="53"/>
  <c r="I79" i="5" s="1"/>
  <c r="P51" i="53"/>
  <c r="Y12" i="53"/>
  <c r="Y18" i="53"/>
  <c r="Y23" i="53"/>
  <c r="Y30" i="53"/>
  <c r="H33" i="53"/>
  <c r="Y55" i="53"/>
  <c r="Y59" i="53"/>
  <c r="Y65" i="53"/>
  <c r="Y94" i="53"/>
  <c r="Y100" i="53"/>
  <c r="Y106" i="53"/>
  <c r="J48" i="53"/>
  <c r="J52" i="53"/>
  <c r="J84" i="53"/>
  <c r="J92" i="53"/>
  <c r="F44" i="20"/>
  <c r="R109" i="53"/>
  <c r="R103" i="53"/>
  <c r="R101" i="53"/>
  <c r="R95" i="53"/>
  <c r="R93" i="53"/>
  <c r="R91" i="53"/>
  <c r="R89" i="53"/>
  <c r="R87" i="53"/>
  <c r="R85" i="53"/>
  <c r="R90" i="53"/>
  <c r="R82" i="53"/>
  <c r="R92" i="53"/>
  <c r="R84" i="53"/>
  <c r="R110" i="53"/>
  <c r="R86" i="53"/>
  <c r="R96" i="53"/>
  <c r="R14" i="53"/>
  <c r="P14" i="53"/>
  <c r="P19" i="53"/>
  <c r="R19" i="53"/>
  <c r="R24" i="53"/>
  <c r="P24" i="53"/>
  <c r="I61" i="5" s="1"/>
  <c r="P34" i="53"/>
  <c r="R34" i="53"/>
  <c r="X34" i="53" s="1"/>
  <c r="E75" i="44" s="1"/>
  <c r="P44" i="53"/>
  <c r="R44" i="53"/>
  <c r="P56" i="53"/>
  <c r="R56" i="53"/>
  <c r="R61" i="53"/>
  <c r="P61" i="53"/>
  <c r="I30" i="5" s="1"/>
  <c r="R66" i="53"/>
  <c r="P66" i="53"/>
  <c r="R81" i="53"/>
  <c r="P81" i="53"/>
  <c r="R97" i="53"/>
  <c r="P97" i="53"/>
  <c r="R102" i="53"/>
  <c r="P102" i="53"/>
  <c r="R107" i="53"/>
  <c r="P107" i="53"/>
  <c r="R51" i="53"/>
  <c r="D12" i="53"/>
  <c r="D40" i="5" s="1"/>
  <c r="D14" i="53"/>
  <c r="D41" i="5" s="1"/>
  <c r="D18" i="53"/>
  <c r="D56" i="5" s="1"/>
  <c r="D19" i="53"/>
  <c r="D57" i="5" s="1"/>
  <c r="D23" i="53"/>
  <c r="D60" i="5" s="1"/>
  <c r="D24" i="53"/>
  <c r="D61" i="5" s="1"/>
  <c r="D30" i="53"/>
  <c r="D69" i="5" s="1"/>
  <c r="H34" i="53"/>
  <c r="F73" i="5" s="1"/>
  <c r="D44" i="53"/>
  <c r="D19" i="5" s="1"/>
  <c r="D55" i="53"/>
  <c r="D25" i="5" s="1"/>
  <c r="D56" i="53"/>
  <c r="D26" i="5" s="1"/>
  <c r="D59" i="53"/>
  <c r="D29" i="5" s="1"/>
  <c r="D61" i="53"/>
  <c r="D30" i="5" s="1"/>
  <c r="D65" i="53"/>
  <c r="D34" i="5" s="1"/>
  <c r="D66" i="53"/>
  <c r="D35" i="5" s="1"/>
  <c r="D81" i="53"/>
  <c r="D82" i="5" s="1"/>
  <c r="D94" i="53"/>
  <c r="D85" i="5" s="1"/>
  <c r="D97" i="53"/>
  <c r="D86" i="5" s="1"/>
  <c r="D100" i="53"/>
  <c r="D100" i="5" s="1"/>
  <c r="D102" i="53"/>
  <c r="D101" i="5" s="1"/>
  <c r="D106" i="53"/>
  <c r="D79" i="5" s="1"/>
  <c r="D107" i="53"/>
  <c r="D80" i="5" s="1"/>
  <c r="J16" i="53"/>
  <c r="J20" i="53"/>
  <c r="J31" i="53"/>
  <c r="J35" i="53"/>
  <c r="J45" i="53"/>
  <c r="J49" i="53"/>
  <c r="G22" i="5" s="1"/>
  <c r="J85" i="53"/>
  <c r="J89" i="53"/>
  <c r="J93" i="53"/>
  <c r="J101" i="53"/>
  <c r="L11" i="53"/>
  <c r="N11" i="53" s="1"/>
  <c r="T324" i="38"/>
  <c r="C324" i="38"/>
  <c r="A324" i="38"/>
  <c r="T323" i="38"/>
  <c r="C323" i="38"/>
  <c r="A323" i="38"/>
  <c r="C320" i="38"/>
  <c r="A320" i="38"/>
  <c r="C319" i="38"/>
  <c r="A319" i="38"/>
  <c r="C318" i="38"/>
  <c r="A318" i="38"/>
  <c r="C317" i="38"/>
  <c r="A317" i="38"/>
  <c r="C316" i="38"/>
  <c r="A316" i="38"/>
  <c r="C315" i="38"/>
  <c r="A315" i="38"/>
  <c r="C314" i="38"/>
  <c r="A314" i="38"/>
  <c r="C313" i="38"/>
  <c r="A313" i="38"/>
  <c r="C312" i="38"/>
  <c r="A312" i="38"/>
  <c r="C311" i="38"/>
  <c r="A311" i="38"/>
  <c r="C310" i="38"/>
  <c r="A310" i="38"/>
  <c r="C309" i="38"/>
  <c r="A309" i="38"/>
  <c r="C308" i="38"/>
  <c r="A308" i="38"/>
  <c r="C307" i="38"/>
  <c r="A307" i="38"/>
  <c r="C306" i="38"/>
  <c r="A306" i="38"/>
  <c r="C305" i="38"/>
  <c r="A305" i="38"/>
  <c r="T228" i="38"/>
  <c r="C228" i="38"/>
  <c r="A228" i="38"/>
  <c r="T227" i="38"/>
  <c r="C227" i="38"/>
  <c r="A227" i="38"/>
  <c r="T226" i="38"/>
  <c r="C226" i="38"/>
  <c r="A226" i="38"/>
  <c r="T225" i="38"/>
  <c r="C225" i="38"/>
  <c r="A225" i="38"/>
  <c r="T224" i="38"/>
  <c r="C224" i="38"/>
  <c r="A224" i="38"/>
  <c r="T223" i="38"/>
  <c r="C223" i="38"/>
  <c r="A223" i="38"/>
  <c r="T222" i="38"/>
  <c r="C222" i="38"/>
  <c r="A222" i="38"/>
  <c r="C201" i="38"/>
  <c r="T177" i="38"/>
  <c r="C177" i="38"/>
  <c r="A177" i="38"/>
  <c r="T176" i="38"/>
  <c r="C176" i="38"/>
  <c r="A176" i="38"/>
  <c r="T175" i="38"/>
  <c r="C175" i="38"/>
  <c r="A175" i="38"/>
  <c r="T174" i="38"/>
  <c r="C174" i="38"/>
  <c r="A174" i="38"/>
  <c r="T173" i="38"/>
  <c r="C173" i="38"/>
  <c r="A173" i="38"/>
  <c r="T172" i="38"/>
  <c r="C172" i="38"/>
  <c r="A172" i="38"/>
  <c r="T171" i="38"/>
  <c r="C171" i="38"/>
  <c r="A171" i="38"/>
  <c r="T170" i="38"/>
  <c r="C170" i="38"/>
  <c r="A170" i="38"/>
  <c r="T169" i="38"/>
  <c r="C169" i="38"/>
  <c r="A169" i="38"/>
  <c r="T168" i="38"/>
  <c r="C168" i="38"/>
  <c r="A168" i="38"/>
  <c r="T167" i="38"/>
  <c r="C90" i="38"/>
  <c r="A90" i="38"/>
  <c r="C89" i="38"/>
  <c r="A89" i="38"/>
  <c r="C88" i="38"/>
  <c r="A88" i="38"/>
  <c r="C87" i="38"/>
  <c r="A87" i="38"/>
  <c r="C86" i="38"/>
  <c r="A86" i="38"/>
  <c r="C85" i="38"/>
  <c r="A85" i="38"/>
  <c r="C84" i="38"/>
  <c r="A84" i="38"/>
  <c r="C83" i="38"/>
  <c r="A83" i="38"/>
  <c r="C82" i="38"/>
  <c r="A82" i="38"/>
  <c r="C81" i="38"/>
  <c r="A81" i="38"/>
  <c r="C80" i="38"/>
  <c r="A80" i="38"/>
  <c r="A79" i="38"/>
  <c r="C78" i="38"/>
  <c r="A78" i="38"/>
  <c r="C77" i="38"/>
  <c r="A77" i="38"/>
  <c r="C76" i="38"/>
  <c r="A76" i="38"/>
  <c r="C75" i="38"/>
  <c r="A75" i="38"/>
  <c r="C74" i="38"/>
  <c r="A74" i="38"/>
  <c r="C32" i="38"/>
  <c r="C19" i="38"/>
  <c r="A19" i="38"/>
  <c r="F33" i="18" l="1"/>
  <c r="H43" i="44" s="1"/>
  <c r="H41" i="53"/>
  <c r="F34" i="11"/>
  <c r="G57" i="43" s="1"/>
  <c r="V116" i="53"/>
  <c r="F33" i="11"/>
  <c r="C54" i="20"/>
  <c r="T35" i="53"/>
  <c r="T32" i="53"/>
  <c r="R41" i="53"/>
  <c r="X41" i="53" s="1"/>
  <c r="L103" i="53"/>
  <c r="N103" i="53" s="1"/>
  <c r="Z103" i="53" s="1"/>
  <c r="H68" i="53"/>
  <c r="L110" i="53"/>
  <c r="N110" i="53" s="1"/>
  <c r="Z110" i="53" s="1"/>
  <c r="F36" i="5"/>
  <c r="L96" i="53"/>
  <c r="N96" i="53" s="1"/>
  <c r="Z96" i="53" s="1"/>
  <c r="L109" i="53"/>
  <c r="N109" i="53" s="1"/>
  <c r="Z109" i="53" s="1"/>
  <c r="L85" i="53"/>
  <c r="N85" i="53" s="1"/>
  <c r="Z85" i="53" s="1"/>
  <c r="L31" i="53"/>
  <c r="N31" i="53" s="1"/>
  <c r="Z31" i="53" s="1"/>
  <c r="L20" i="53"/>
  <c r="T34" i="53"/>
  <c r="T19" i="53"/>
  <c r="L92" i="53"/>
  <c r="N92" i="53" s="1"/>
  <c r="Z92" i="53" s="1"/>
  <c r="L82" i="53"/>
  <c r="N82" i="53" s="1"/>
  <c r="Z82" i="53" s="1"/>
  <c r="L53" i="53"/>
  <c r="N53" i="53" s="1"/>
  <c r="Z53" i="53" s="1"/>
  <c r="L93" i="53"/>
  <c r="N93" i="53" s="1"/>
  <c r="Z93" i="53" s="1"/>
  <c r="L89" i="53"/>
  <c r="N89" i="53" s="1"/>
  <c r="Z89" i="53" s="1"/>
  <c r="E14" i="5"/>
  <c r="F68" i="53"/>
  <c r="V67" i="53" s="1"/>
  <c r="X67" i="53" s="1"/>
  <c r="E37" i="44" s="1"/>
  <c r="F32" i="18" s="1"/>
  <c r="H37" i="44" s="1"/>
  <c r="L48" i="53"/>
  <c r="N48" i="53" s="1"/>
  <c r="Z48" i="53" s="1"/>
  <c r="L86" i="53"/>
  <c r="N86" i="53" s="1"/>
  <c r="Z86" i="53" s="1"/>
  <c r="N20" i="53"/>
  <c r="Z20" i="53" s="1"/>
  <c r="L101" i="53"/>
  <c r="N101" i="53" s="1"/>
  <c r="Z101" i="53" s="1"/>
  <c r="L25" i="53"/>
  <c r="N25" i="53" s="1"/>
  <c r="Z25" i="53" s="1"/>
  <c r="L91" i="53"/>
  <c r="N91" i="53" s="1"/>
  <c r="Z91" i="53" s="1"/>
  <c r="H111" i="53"/>
  <c r="H114" i="53" s="1"/>
  <c r="L50" i="53"/>
  <c r="N50" i="53" s="1"/>
  <c r="Z50" i="53" s="1"/>
  <c r="L45" i="53"/>
  <c r="N45" i="53" s="1"/>
  <c r="Z45" i="53" s="1"/>
  <c r="H37" i="53"/>
  <c r="L35" i="53"/>
  <c r="N35" i="53" s="1"/>
  <c r="Z35" i="53" s="1"/>
  <c r="T67" i="53"/>
  <c r="H59" i="44"/>
  <c r="U17" i="63"/>
  <c r="T88" i="53"/>
  <c r="L84" i="53"/>
  <c r="N84" i="53" s="1"/>
  <c r="Z84" i="53" s="1"/>
  <c r="L52" i="53"/>
  <c r="N52" i="53" s="1"/>
  <c r="Z52" i="53" s="1"/>
  <c r="L60" i="53"/>
  <c r="N60" i="53" s="1"/>
  <c r="Z60" i="53" s="1"/>
  <c r="L90" i="53"/>
  <c r="N90" i="53" s="1"/>
  <c r="Z90" i="53" s="1"/>
  <c r="R111" i="53"/>
  <c r="R114" i="53" s="1"/>
  <c r="F37" i="53"/>
  <c r="H27" i="53"/>
  <c r="T100" i="53"/>
  <c r="L87" i="53"/>
  <c r="N87" i="53" s="1"/>
  <c r="Z87" i="53" s="1"/>
  <c r="T22" i="53"/>
  <c r="L13" i="53"/>
  <c r="N13" i="53" s="1"/>
  <c r="Z13" i="53" s="1"/>
  <c r="T53" i="53"/>
  <c r="L46" i="53"/>
  <c r="N46" i="53" s="1"/>
  <c r="Z46" i="53" s="1"/>
  <c r="L16" i="53"/>
  <c r="N16" i="53" s="1"/>
  <c r="Z16" i="53" s="1"/>
  <c r="L49" i="53"/>
  <c r="N49" i="53" s="1"/>
  <c r="Z49" i="53" s="1"/>
  <c r="I84" i="5"/>
  <c r="T84" i="53"/>
  <c r="T85" i="53"/>
  <c r="T109" i="53"/>
  <c r="T57" i="53"/>
  <c r="T61" i="53"/>
  <c r="T24" i="53"/>
  <c r="T14" i="53"/>
  <c r="T13" i="53"/>
  <c r="T50" i="53"/>
  <c r="T93" i="53"/>
  <c r="T98" i="53"/>
  <c r="R68" i="53"/>
  <c r="X68" i="53" s="1"/>
  <c r="T48" i="53"/>
  <c r="T23" i="53"/>
  <c r="T60" i="53"/>
  <c r="T36" i="53"/>
  <c r="T15" i="53"/>
  <c r="I25" i="5"/>
  <c r="T55" i="53"/>
  <c r="T87" i="53"/>
  <c r="T81" i="53"/>
  <c r="P111" i="53"/>
  <c r="P114" i="53" s="1"/>
  <c r="I26" i="5"/>
  <c r="T56" i="53"/>
  <c r="I24" i="5"/>
  <c r="T51" i="53"/>
  <c r="I56" i="5"/>
  <c r="T18" i="53"/>
  <c r="I73" i="5"/>
  <c r="I41" i="5"/>
  <c r="I103" i="5"/>
  <c r="T105" i="53"/>
  <c r="T58" i="53"/>
  <c r="T26" i="53"/>
  <c r="T91" i="53"/>
  <c r="T89" i="53"/>
  <c r="T90" i="53"/>
  <c r="T104" i="53"/>
  <c r="I20" i="5"/>
  <c r="T47" i="53"/>
  <c r="J51" i="37"/>
  <c r="D68" i="53"/>
  <c r="R37" i="53"/>
  <c r="X37" i="53" s="1"/>
  <c r="L51" i="53"/>
  <c r="N51" i="53" s="1"/>
  <c r="Z51" i="53" s="1"/>
  <c r="I80" i="5"/>
  <c r="T107" i="53"/>
  <c r="T97" i="53"/>
  <c r="I87" i="5"/>
  <c r="I86" i="5"/>
  <c r="I19" i="5"/>
  <c r="P62" i="53"/>
  <c r="T44" i="53"/>
  <c r="T106" i="53"/>
  <c r="T94" i="53"/>
  <c r="I72" i="5"/>
  <c r="T33" i="53"/>
  <c r="I36" i="5"/>
  <c r="I71" i="5"/>
  <c r="I23" i="5"/>
  <c r="I62" i="5"/>
  <c r="F72" i="5"/>
  <c r="I40" i="5"/>
  <c r="P27" i="53"/>
  <c r="T12" i="53"/>
  <c r="L95" i="53"/>
  <c r="N95" i="53" s="1"/>
  <c r="Z95" i="53" s="1"/>
  <c r="T17" i="53"/>
  <c r="T25" i="53"/>
  <c r="T52" i="53"/>
  <c r="I88" i="5"/>
  <c r="T99" i="53"/>
  <c r="T54" i="53"/>
  <c r="T21" i="53"/>
  <c r="T86" i="53"/>
  <c r="T92" i="53"/>
  <c r="T95" i="53"/>
  <c r="T96" i="53"/>
  <c r="T83" i="53"/>
  <c r="I101" i="5"/>
  <c r="T102" i="53"/>
  <c r="J60" i="37"/>
  <c r="J53" i="37"/>
  <c r="J48" i="37"/>
  <c r="J52" i="37"/>
  <c r="J50" i="37"/>
  <c r="J46" i="37"/>
  <c r="J25" i="37"/>
  <c r="J13" i="37"/>
  <c r="J31" i="37"/>
  <c r="J49" i="37"/>
  <c r="J45" i="37"/>
  <c r="J20" i="37"/>
  <c r="J35" i="37"/>
  <c r="J16" i="37"/>
  <c r="J96" i="37"/>
  <c r="J92" i="37"/>
  <c r="J84" i="37"/>
  <c r="J103" i="37"/>
  <c r="J95" i="37"/>
  <c r="J91" i="37"/>
  <c r="J87" i="37"/>
  <c r="J110" i="37"/>
  <c r="J90" i="37"/>
  <c r="J86" i="37"/>
  <c r="J82" i="37"/>
  <c r="J89" i="37"/>
  <c r="J101" i="37"/>
  <c r="J85" i="37"/>
  <c r="J109" i="37"/>
  <c r="J93" i="37"/>
  <c r="I82" i="5"/>
  <c r="H44" i="20"/>
  <c r="F54" i="20"/>
  <c r="I34" i="5"/>
  <c r="P68" i="53"/>
  <c r="T65" i="53"/>
  <c r="T30" i="53"/>
  <c r="P37" i="53"/>
  <c r="D111" i="53"/>
  <c r="D114" i="53" s="1"/>
  <c r="I35" i="5"/>
  <c r="T66" i="53"/>
  <c r="I29" i="5"/>
  <c r="T59" i="53"/>
  <c r="I57" i="5"/>
  <c r="I60" i="5"/>
  <c r="I59" i="5"/>
  <c r="I16" i="5"/>
  <c r="T49" i="53"/>
  <c r="T46" i="53"/>
  <c r="T110" i="53"/>
  <c r="T82" i="53"/>
  <c r="T103" i="53"/>
  <c r="T101" i="53"/>
  <c r="I81" i="5"/>
  <c r="T108" i="53"/>
  <c r="T40" i="53"/>
  <c r="P41" i="53"/>
  <c r="Z11" i="53"/>
  <c r="R27" i="53"/>
  <c r="X27" i="53" s="1"/>
  <c r="H62" i="53"/>
  <c r="R62" i="53"/>
  <c r="X62" i="53" s="1"/>
  <c r="F27" i="53"/>
  <c r="V18" i="53" s="1"/>
  <c r="X18" i="53" s="1"/>
  <c r="E58" i="44" s="1"/>
  <c r="D62" i="53"/>
  <c r="D41" i="53"/>
  <c r="F62" i="53"/>
  <c r="V44" i="53" s="1"/>
  <c r="X44" i="53" s="1"/>
  <c r="E20" i="44" s="1"/>
  <c r="F111" i="53"/>
  <c r="V94" i="53" s="1"/>
  <c r="X94" i="53" s="1"/>
  <c r="E87" i="44" s="1"/>
  <c r="D27" i="53"/>
  <c r="D37" i="53"/>
  <c r="G42" i="43" l="1"/>
  <c r="H71" i="53"/>
  <c r="H116" i="53" s="1"/>
  <c r="X111" i="53"/>
  <c r="X114" i="53" s="1"/>
  <c r="V65" i="53"/>
  <c r="X65" i="53" s="1"/>
  <c r="E35" i="44" s="1"/>
  <c r="V66" i="53"/>
  <c r="X66" i="53" s="1"/>
  <c r="E36" i="44" s="1"/>
  <c r="I76" i="5"/>
  <c r="I104" i="5"/>
  <c r="J44" i="20"/>
  <c r="H54" i="20"/>
  <c r="D18" i="47" s="1"/>
  <c r="D17" i="47" s="1"/>
  <c r="D19" i="47" s="1"/>
  <c r="D21" i="47" s="1"/>
  <c r="I63" i="5"/>
  <c r="I31" i="5"/>
  <c r="P71" i="53"/>
  <c r="P116" i="53" s="1"/>
  <c r="I110" i="5" s="1"/>
  <c r="I37" i="5"/>
  <c r="V58" i="53"/>
  <c r="X58" i="53" s="1"/>
  <c r="E29" i="44" s="1"/>
  <c r="R71" i="53"/>
  <c r="R116" i="53" s="1"/>
  <c r="V107" i="53"/>
  <c r="X107" i="53" s="1"/>
  <c r="E82" i="44" s="1"/>
  <c r="V23" i="53"/>
  <c r="X23" i="53" s="1"/>
  <c r="E62" i="44" s="1"/>
  <c r="V12" i="53"/>
  <c r="X12" i="53" s="1"/>
  <c r="E41" i="44" s="1"/>
  <c r="V19" i="53"/>
  <c r="X19" i="53" s="1"/>
  <c r="E59" i="44" s="1"/>
  <c r="V105" i="53"/>
  <c r="X105" i="53" s="1"/>
  <c r="E106" i="44" s="1"/>
  <c r="D71" i="53"/>
  <c r="D116" i="53" s="1"/>
  <c r="D110" i="5" s="1"/>
  <c r="T68" i="53"/>
  <c r="V57" i="53"/>
  <c r="X57" i="53" s="1"/>
  <c r="E28" i="44" s="1"/>
  <c r="V54" i="53"/>
  <c r="X54" i="53" s="1"/>
  <c r="E22" i="44" s="1"/>
  <c r="V56" i="53"/>
  <c r="X56" i="53" s="1"/>
  <c r="E27" i="44" s="1"/>
  <c r="F114" i="53"/>
  <c r="V103" i="53"/>
  <c r="X103" i="53" s="1"/>
  <c r="V90" i="53"/>
  <c r="X90" i="53" s="1"/>
  <c r="V109" i="53"/>
  <c r="X109" i="53" s="1"/>
  <c r="V93" i="53"/>
  <c r="X93" i="53" s="1"/>
  <c r="V89" i="53"/>
  <c r="X89" i="53" s="1"/>
  <c r="V84" i="53"/>
  <c r="X84" i="53" s="1"/>
  <c r="V95" i="53"/>
  <c r="X95" i="53" s="1"/>
  <c r="V85" i="53"/>
  <c r="X85" i="53" s="1"/>
  <c r="V82" i="53"/>
  <c r="X82" i="53" s="1"/>
  <c r="V100" i="53"/>
  <c r="X100" i="53" s="1"/>
  <c r="E103" i="44" s="1"/>
  <c r="V99" i="53"/>
  <c r="X99" i="53" s="1"/>
  <c r="E90" i="44" s="1"/>
  <c r="V88" i="53"/>
  <c r="X88" i="53" s="1"/>
  <c r="E86" i="44" s="1"/>
  <c r="V101" i="53"/>
  <c r="X101" i="53" s="1"/>
  <c r="V97" i="53"/>
  <c r="X97" i="53" s="1"/>
  <c r="E88" i="44" s="1"/>
  <c r="V81" i="53"/>
  <c r="X81" i="53" s="1"/>
  <c r="E84" i="44" s="1"/>
  <c r="V96" i="53"/>
  <c r="X96" i="53" s="1"/>
  <c r="V91" i="53"/>
  <c r="X91" i="53" s="1"/>
  <c r="V102" i="53"/>
  <c r="X102" i="53" s="1"/>
  <c r="E104" i="44" s="1"/>
  <c r="V86" i="53"/>
  <c r="X86" i="53" s="1"/>
  <c r="V98" i="53"/>
  <c r="X98" i="53" s="1"/>
  <c r="E89" i="44" s="1"/>
  <c r="V92" i="53"/>
  <c r="X92" i="53" s="1"/>
  <c r="V110" i="53"/>
  <c r="X110" i="53" s="1"/>
  <c r="V87" i="53"/>
  <c r="X87" i="53" s="1"/>
  <c r="V20" i="53"/>
  <c r="X20" i="53" s="1"/>
  <c r="V16" i="53"/>
  <c r="X16" i="53" s="1"/>
  <c r="V15" i="53"/>
  <c r="X15" i="53" s="1"/>
  <c r="E43" i="44" s="1"/>
  <c r="V14" i="53"/>
  <c r="X14" i="53" s="1"/>
  <c r="E42" i="44" s="1"/>
  <c r="V17" i="53"/>
  <c r="X17" i="53" s="1"/>
  <c r="E45" i="44" s="1"/>
  <c r="V25" i="53"/>
  <c r="X25" i="53" s="1"/>
  <c r="V13" i="53"/>
  <c r="X13" i="53" s="1"/>
  <c r="X71" i="53"/>
  <c r="V21" i="53"/>
  <c r="X21" i="53" s="1"/>
  <c r="E60" i="44" s="1"/>
  <c r="V22" i="53"/>
  <c r="X22" i="53" s="1"/>
  <c r="E61" i="44" s="1"/>
  <c r="V108" i="53"/>
  <c r="X108" i="53" s="1"/>
  <c r="E83" i="44" s="1"/>
  <c r="V24" i="53"/>
  <c r="X24" i="53" s="1"/>
  <c r="E63" i="44" s="1"/>
  <c r="V106" i="53"/>
  <c r="X106" i="53" s="1"/>
  <c r="E81" i="44" s="1"/>
  <c r="V53" i="53"/>
  <c r="X53" i="53" s="1"/>
  <c r="V49" i="53"/>
  <c r="X49" i="53" s="1"/>
  <c r="E23" i="44" s="1"/>
  <c r="V50" i="53"/>
  <c r="X50" i="53" s="1"/>
  <c r="E24" i="44" s="1"/>
  <c r="V52" i="53"/>
  <c r="X52" i="53" s="1"/>
  <c r="V47" i="53"/>
  <c r="X47" i="53" s="1"/>
  <c r="E21" i="44" s="1"/>
  <c r="V45" i="53"/>
  <c r="X45" i="53" s="1"/>
  <c r="V51" i="53"/>
  <c r="X51" i="53" s="1"/>
  <c r="E25" i="44" s="1"/>
  <c r="V48" i="53"/>
  <c r="X48" i="53" s="1"/>
  <c r="V61" i="53"/>
  <c r="X61" i="53" s="1"/>
  <c r="E31" i="44" s="1"/>
  <c r="V46" i="53"/>
  <c r="X46" i="53" s="1"/>
  <c r="V60" i="53"/>
  <c r="X60" i="53" s="1"/>
  <c r="V83" i="53"/>
  <c r="X83" i="53" s="1"/>
  <c r="E85" i="44" s="1"/>
  <c r="V26" i="53"/>
  <c r="X26" i="53" s="1"/>
  <c r="E64" i="44" s="1"/>
  <c r="F35" i="18" s="1"/>
  <c r="H64" i="44" s="1"/>
  <c r="F71" i="53"/>
  <c r="V104" i="53"/>
  <c r="X104" i="53" s="1"/>
  <c r="E105" i="44" s="1"/>
  <c r="V55" i="53"/>
  <c r="X55" i="53" s="1"/>
  <c r="E26" i="44" s="1"/>
  <c r="V59" i="53"/>
  <c r="X59" i="53" s="1"/>
  <c r="E30" i="44" s="1"/>
  <c r="X116" i="53" l="1"/>
  <c r="E113" i="44" s="1"/>
  <c r="I106" i="5"/>
  <c r="I111" i="5" s="1"/>
  <c r="F31" i="18"/>
  <c r="H31" i="44" s="1"/>
  <c r="D37" i="18"/>
  <c r="F116" i="53"/>
  <c r="T111" i="53"/>
  <c r="T114" i="53" s="1"/>
  <c r="T37" i="53"/>
  <c r="T27" i="53"/>
  <c r="T62" i="53"/>
  <c r="T41" i="53"/>
  <c r="Y17" i="63" l="1"/>
  <c r="F37" i="18"/>
  <c r="T71" i="53"/>
  <c r="T116" i="53" s="1"/>
  <c r="H77" i="49" l="1"/>
  <c r="F23" i="55"/>
  <c r="H44" i="49"/>
  <c r="A44" i="20"/>
  <c r="A46" i="20" s="1"/>
  <c r="A48" i="20" s="1"/>
  <c r="A50" i="20" s="1"/>
  <c r="A52" i="20" s="1"/>
  <c r="A54" i="20" s="1"/>
  <c r="A16" i="20"/>
  <c r="A18" i="20" s="1"/>
  <c r="A20" i="20" s="1"/>
  <c r="A22" i="20" s="1"/>
  <c r="A24" i="20" s="1"/>
  <c r="A26" i="20" s="1"/>
  <c r="F16" i="20"/>
  <c r="H16" i="20" s="1"/>
  <c r="J16" i="20" s="1"/>
  <c r="F43" i="55" l="1"/>
  <c r="F22" i="55"/>
  <c r="H67" i="10"/>
  <c r="E67" i="10"/>
  <c r="G67" i="10" s="1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A49" i="10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H33" i="10"/>
  <c r="E33" i="10"/>
  <c r="G33" i="10" s="1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A15" i="10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E38" i="45"/>
  <c r="E37" i="45"/>
  <c r="E36" i="45"/>
  <c r="I48" i="20" s="1"/>
  <c r="E35" i="45"/>
  <c r="I46" i="20" s="1"/>
  <c r="J46" i="20" s="1"/>
  <c r="E34" i="45"/>
  <c r="A34" i="45"/>
  <c r="A35" i="45" s="1"/>
  <c r="A36" i="45" s="1"/>
  <c r="A37" i="45" s="1"/>
  <c r="A38" i="45" s="1"/>
  <c r="E33" i="45"/>
  <c r="A14" i="45"/>
  <c r="A15" i="45" s="1"/>
  <c r="E14" i="45"/>
  <c r="I54" i="20" l="1"/>
  <c r="U14" i="63" s="1"/>
  <c r="U19" i="63" s="1"/>
  <c r="U27" i="63" s="1"/>
  <c r="U38" i="63" s="1"/>
  <c r="U42" i="63" s="1"/>
  <c r="J48" i="20"/>
  <c r="J54" i="20" s="1"/>
  <c r="F18" i="16" s="1"/>
  <c r="A2" i="48"/>
  <c r="A1" i="48"/>
  <c r="A2" i="47"/>
  <c r="A1" i="47"/>
  <c r="O112" i="48" l="1"/>
  <c r="M95" i="48"/>
  <c r="M95" i="47"/>
  <c r="O112" i="47"/>
  <c r="K112" i="47"/>
  <c r="K112" i="48"/>
  <c r="O113" i="48"/>
  <c r="O110" i="48"/>
  <c r="O109" i="48"/>
  <c r="O103" i="48"/>
  <c r="O100" i="48"/>
  <c r="O99" i="48"/>
  <c r="O98" i="48"/>
  <c r="O96" i="48"/>
  <c r="O87" i="48"/>
  <c r="O80" i="48"/>
  <c r="M77" i="48"/>
  <c r="I112" i="47"/>
  <c r="M113" i="48"/>
  <c r="M80" i="48"/>
  <c r="E114" i="48"/>
  <c r="K113" i="48"/>
  <c r="I113" i="48"/>
  <c r="G113" i="48"/>
  <c r="E113" i="48"/>
  <c r="O111" i="48"/>
  <c r="M111" i="48"/>
  <c r="K111" i="48"/>
  <c r="I111" i="48"/>
  <c r="E111" i="48"/>
  <c r="M110" i="48"/>
  <c r="K110" i="48"/>
  <c r="I110" i="48"/>
  <c r="G110" i="48"/>
  <c r="E110" i="48"/>
  <c r="M109" i="48"/>
  <c r="K109" i="48"/>
  <c r="G109" i="48"/>
  <c r="E109" i="48"/>
  <c r="K108" i="48"/>
  <c r="I108" i="48"/>
  <c r="G108" i="48"/>
  <c r="E108" i="48"/>
  <c r="O107" i="48"/>
  <c r="M107" i="48"/>
  <c r="K107" i="48"/>
  <c r="I107" i="48"/>
  <c r="E107" i="48"/>
  <c r="E104" i="48"/>
  <c r="M103" i="48"/>
  <c r="K103" i="48"/>
  <c r="I103" i="48"/>
  <c r="E103" i="48"/>
  <c r="E102" i="48"/>
  <c r="O101" i="48"/>
  <c r="M101" i="48"/>
  <c r="K101" i="48"/>
  <c r="G101" i="48"/>
  <c r="E101" i="48"/>
  <c r="M100" i="48"/>
  <c r="K100" i="48"/>
  <c r="I100" i="48"/>
  <c r="G100" i="48"/>
  <c r="E100" i="48"/>
  <c r="M99" i="48"/>
  <c r="K99" i="48"/>
  <c r="I99" i="48"/>
  <c r="E99" i="48"/>
  <c r="K98" i="48"/>
  <c r="I98" i="48"/>
  <c r="G98" i="48"/>
  <c r="E98" i="48"/>
  <c r="M96" i="48"/>
  <c r="K96" i="48"/>
  <c r="I96" i="48"/>
  <c r="G96" i="48"/>
  <c r="E96" i="48"/>
  <c r="I95" i="48"/>
  <c r="G95" i="48"/>
  <c r="E95" i="48"/>
  <c r="P116" i="48"/>
  <c r="F116" i="48"/>
  <c r="E92" i="48"/>
  <c r="O91" i="48"/>
  <c r="M91" i="48"/>
  <c r="K91" i="48"/>
  <c r="I91" i="48"/>
  <c r="G91" i="48"/>
  <c r="E91" i="48"/>
  <c r="E87" i="48"/>
  <c r="O85" i="48"/>
  <c r="M85" i="48"/>
  <c r="E85" i="48"/>
  <c r="E82" i="48"/>
  <c r="K80" i="48"/>
  <c r="I80" i="48"/>
  <c r="G80" i="48"/>
  <c r="E80" i="48"/>
  <c r="O78" i="48"/>
  <c r="M78" i="48"/>
  <c r="E78" i="48"/>
  <c r="O77" i="48"/>
  <c r="K77" i="48"/>
  <c r="I77" i="48"/>
  <c r="G77" i="48"/>
  <c r="E77" i="48"/>
  <c r="O76" i="48"/>
  <c r="M76" i="48"/>
  <c r="K76" i="48"/>
  <c r="E76" i="48"/>
  <c r="A75" i="48"/>
  <c r="A76" i="48" s="1"/>
  <c r="A77" i="48" s="1"/>
  <c r="A78" i="48" s="1"/>
  <c r="A79" i="48" s="1"/>
  <c r="A80" i="48" s="1"/>
  <c r="A81" i="48" s="1"/>
  <c r="A82" i="48" s="1"/>
  <c r="A84" i="48" s="1"/>
  <c r="A85" i="48" s="1"/>
  <c r="A86" i="48" s="1"/>
  <c r="A87" i="48" s="1"/>
  <c r="A89" i="48" s="1"/>
  <c r="A90" i="48" s="1"/>
  <c r="A91" i="48" s="1"/>
  <c r="A92" i="48" s="1"/>
  <c r="A94" i="48" s="1"/>
  <c r="A95" i="48" s="1"/>
  <c r="A96" i="48" s="1"/>
  <c r="A97" i="48" s="1"/>
  <c r="A98" i="48" s="1"/>
  <c r="A99" i="48" s="1"/>
  <c r="A100" i="48" s="1"/>
  <c r="A101" i="48" s="1"/>
  <c r="A102" i="48" s="1"/>
  <c r="A103" i="48" s="1"/>
  <c r="A104" i="48" s="1"/>
  <c r="A106" i="48" s="1"/>
  <c r="A107" i="48" s="1"/>
  <c r="A108" i="48" s="1"/>
  <c r="A109" i="48" s="1"/>
  <c r="A110" i="48" s="1"/>
  <c r="A111" i="48" s="1"/>
  <c r="A112" i="48" s="1"/>
  <c r="A113" i="48" s="1"/>
  <c r="A114" i="48" s="1"/>
  <c r="A116" i="48" s="1"/>
  <c r="P71" i="48"/>
  <c r="N71" i="48"/>
  <c r="L71" i="48"/>
  <c r="J71" i="48"/>
  <c r="H71" i="48"/>
  <c r="A67" i="48"/>
  <c r="A65" i="48"/>
  <c r="A63" i="48"/>
  <c r="A62" i="48"/>
  <c r="M55" i="48"/>
  <c r="G55" i="48"/>
  <c r="E55" i="48"/>
  <c r="O54" i="48"/>
  <c r="M54" i="48"/>
  <c r="K54" i="48"/>
  <c r="I54" i="48"/>
  <c r="G54" i="48"/>
  <c r="E54" i="48"/>
  <c r="O53" i="48"/>
  <c r="M53" i="48"/>
  <c r="K53" i="48"/>
  <c r="I53" i="48"/>
  <c r="G53" i="48"/>
  <c r="E53" i="48"/>
  <c r="O52" i="48"/>
  <c r="M52" i="48"/>
  <c r="K52" i="48"/>
  <c r="I52" i="48"/>
  <c r="G52" i="48"/>
  <c r="E52" i="48"/>
  <c r="O51" i="48"/>
  <c r="M51" i="48"/>
  <c r="K51" i="48"/>
  <c r="I51" i="48"/>
  <c r="G51" i="48"/>
  <c r="E51" i="48"/>
  <c r="O50" i="48"/>
  <c r="M50" i="48"/>
  <c r="K50" i="48"/>
  <c r="I50" i="48"/>
  <c r="G50" i="48"/>
  <c r="E50" i="48"/>
  <c r="M47" i="48"/>
  <c r="G47" i="48"/>
  <c r="E47" i="48"/>
  <c r="O46" i="48"/>
  <c r="M46" i="48"/>
  <c r="K46" i="48"/>
  <c r="I46" i="48"/>
  <c r="G46" i="48"/>
  <c r="O45" i="48"/>
  <c r="M45" i="48"/>
  <c r="K45" i="48"/>
  <c r="I45" i="48"/>
  <c r="G45" i="48"/>
  <c r="E45" i="48"/>
  <c r="O44" i="48"/>
  <c r="M44" i="48"/>
  <c r="K44" i="48"/>
  <c r="I44" i="48"/>
  <c r="G44" i="48"/>
  <c r="E44" i="48"/>
  <c r="O43" i="48"/>
  <c r="M43" i="48"/>
  <c r="K43" i="48"/>
  <c r="I43" i="48"/>
  <c r="G43" i="48"/>
  <c r="E43" i="48"/>
  <c r="O42" i="48"/>
  <c r="M42" i="48"/>
  <c r="K42" i="48"/>
  <c r="I42" i="48"/>
  <c r="G42" i="48"/>
  <c r="E42" i="48"/>
  <c r="O41" i="48"/>
  <c r="M41" i="48"/>
  <c r="K41" i="48"/>
  <c r="I41" i="48"/>
  <c r="G41" i="48"/>
  <c r="E41" i="48"/>
  <c r="O40" i="48"/>
  <c r="M40" i="48"/>
  <c r="K40" i="48"/>
  <c r="I40" i="48"/>
  <c r="G40" i="48"/>
  <c r="E40" i="48"/>
  <c r="O39" i="48"/>
  <c r="M39" i="48"/>
  <c r="K39" i="48"/>
  <c r="I39" i="48"/>
  <c r="G39" i="48"/>
  <c r="E39" i="48"/>
  <c r="O38" i="48"/>
  <c r="M38" i="48"/>
  <c r="K38" i="48"/>
  <c r="I38" i="48"/>
  <c r="G38" i="48"/>
  <c r="E38" i="48"/>
  <c r="O37" i="48"/>
  <c r="M37" i="48"/>
  <c r="K37" i="48"/>
  <c r="I37" i="48"/>
  <c r="G37" i="48"/>
  <c r="E37" i="48"/>
  <c r="O36" i="48"/>
  <c r="M36" i="48"/>
  <c r="K36" i="48"/>
  <c r="I36" i="48"/>
  <c r="G36" i="48"/>
  <c r="E36" i="48"/>
  <c r="O35" i="48"/>
  <c r="M35" i="48"/>
  <c r="K35" i="48"/>
  <c r="I35" i="48"/>
  <c r="G35" i="48"/>
  <c r="E35" i="48"/>
  <c r="O34" i="48"/>
  <c r="M34" i="48"/>
  <c r="K34" i="48"/>
  <c r="I34" i="48"/>
  <c r="G34" i="48"/>
  <c r="O33" i="48"/>
  <c r="M33" i="48"/>
  <c r="K33" i="48"/>
  <c r="E33" i="48"/>
  <c r="O32" i="48"/>
  <c r="O31" i="48"/>
  <c r="M31" i="48"/>
  <c r="K31" i="48"/>
  <c r="I31" i="48"/>
  <c r="G31" i="48"/>
  <c r="E31" i="48"/>
  <c r="G28" i="48"/>
  <c r="E28" i="48"/>
  <c r="O27" i="48"/>
  <c r="M27" i="48"/>
  <c r="K27" i="48"/>
  <c r="I27" i="48"/>
  <c r="G27" i="48"/>
  <c r="M26" i="48"/>
  <c r="K26" i="48"/>
  <c r="I26" i="48"/>
  <c r="G26" i="48"/>
  <c r="O24" i="48"/>
  <c r="M24" i="48"/>
  <c r="K24" i="48"/>
  <c r="I24" i="48"/>
  <c r="G24" i="48"/>
  <c r="E24" i="48"/>
  <c r="O20" i="48"/>
  <c r="M20" i="48"/>
  <c r="K20" i="48"/>
  <c r="I20" i="48"/>
  <c r="G20" i="48"/>
  <c r="E20" i="48"/>
  <c r="O18" i="48"/>
  <c r="M18" i="48"/>
  <c r="K18" i="48"/>
  <c r="I18" i="48"/>
  <c r="G18" i="48"/>
  <c r="E18" i="48"/>
  <c r="O17" i="48"/>
  <c r="M17" i="48"/>
  <c r="K17" i="48"/>
  <c r="I17" i="48"/>
  <c r="G17" i="48"/>
  <c r="E17" i="48"/>
  <c r="A16" i="48"/>
  <c r="A17" i="48" s="1"/>
  <c r="A18" i="48" s="1"/>
  <c r="A19" i="48" s="1"/>
  <c r="A20" i="48" s="1"/>
  <c r="A21" i="48" s="1"/>
  <c r="A23" i="48" s="1"/>
  <c r="A24" i="48" s="1"/>
  <c r="A25" i="48" s="1"/>
  <c r="A26" i="48" s="1"/>
  <c r="A27" i="48" s="1"/>
  <c r="A28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9" i="48" s="1"/>
  <c r="A50" i="48" s="1"/>
  <c r="A51" i="48" s="1"/>
  <c r="A52" i="48" s="1"/>
  <c r="A53" i="48" s="1"/>
  <c r="A54" i="48" s="1"/>
  <c r="A55" i="48" s="1"/>
  <c r="A57" i="48" s="1"/>
  <c r="A66" i="48"/>
  <c r="A61" i="48"/>
  <c r="A60" i="48"/>
  <c r="O27" i="47"/>
  <c r="M27" i="47"/>
  <c r="K27" i="47"/>
  <c r="I27" i="47"/>
  <c r="I19" i="48" l="1"/>
  <c r="J57" i="48"/>
  <c r="M28" i="48"/>
  <c r="K47" i="48"/>
  <c r="I47" i="48"/>
  <c r="K28" i="48"/>
  <c r="O114" i="48"/>
  <c r="G19" i="48"/>
  <c r="I28" i="48"/>
  <c r="O87" i="47"/>
  <c r="M82" i="47"/>
  <c r="M92" i="47"/>
  <c r="O108" i="48"/>
  <c r="M92" i="48"/>
  <c r="M98" i="48"/>
  <c r="O104" i="48"/>
  <c r="M87" i="48"/>
  <c r="M108" i="48"/>
  <c r="M112" i="48"/>
  <c r="K87" i="47"/>
  <c r="M87" i="47"/>
  <c r="K104" i="48"/>
  <c r="M114" i="48"/>
  <c r="K87" i="48"/>
  <c r="K85" i="48"/>
  <c r="M21" i="48"/>
  <c r="K19" i="48"/>
  <c r="I55" i="48"/>
  <c r="O55" i="48"/>
  <c r="I78" i="48"/>
  <c r="G78" i="48"/>
  <c r="I104" i="48"/>
  <c r="G104" i="48"/>
  <c r="G76" i="48"/>
  <c r="I76" i="48"/>
  <c r="O26" i="48"/>
  <c r="O28" i="48"/>
  <c r="E19" i="48"/>
  <c r="M19" i="48"/>
  <c r="K21" i="48"/>
  <c r="O47" i="48"/>
  <c r="K55" i="48"/>
  <c r="D57" i="48"/>
  <c r="L57" i="48"/>
  <c r="K78" i="48"/>
  <c r="I85" i="48"/>
  <c r="G85" i="48"/>
  <c r="K92" i="48"/>
  <c r="D116" i="48"/>
  <c r="E116" i="48" s="1"/>
  <c r="O92" i="48"/>
  <c r="G99" i="48"/>
  <c r="I101" i="48"/>
  <c r="G103" i="48"/>
  <c r="G107" i="48"/>
  <c r="I109" i="48"/>
  <c r="G111" i="48"/>
  <c r="G41" i="47"/>
  <c r="I54" i="47"/>
  <c r="K53" i="47"/>
  <c r="I51" i="47"/>
  <c r="I50" i="47"/>
  <c r="K45" i="47"/>
  <c r="K44" i="47"/>
  <c r="K43" i="47"/>
  <c r="K42" i="47"/>
  <c r="K41" i="47"/>
  <c r="K40" i="47"/>
  <c r="K36" i="47"/>
  <c r="K35" i="47"/>
  <c r="K34" i="47"/>
  <c r="K31" i="47"/>
  <c r="K17" i="47"/>
  <c r="O113" i="47"/>
  <c r="M113" i="47"/>
  <c r="K113" i="47"/>
  <c r="I113" i="47"/>
  <c r="G113" i="47"/>
  <c r="M112" i="47"/>
  <c r="O111" i="47"/>
  <c r="M111" i="47"/>
  <c r="K111" i="47"/>
  <c r="I111" i="47"/>
  <c r="G111" i="47"/>
  <c r="O110" i="47"/>
  <c r="M110" i="47"/>
  <c r="K110" i="47"/>
  <c r="I110" i="47"/>
  <c r="G110" i="47"/>
  <c r="O109" i="47"/>
  <c r="M109" i="47"/>
  <c r="K109" i="47"/>
  <c r="I109" i="47"/>
  <c r="G109" i="47"/>
  <c r="O108" i="47"/>
  <c r="O107" i="47"/>
  <c r="M107" i="47"/>
  <c r="K107" i="47"/>
  <c r="I107" i="47"/>
  <c r="G107" i="47"/>
  <c r="G104" i="47"/>
  <c r="O103" i="47"/>
  <c r="M103" i="47"/>
  <c r="K103" i="47"/>
  <c r="I103" i="47"/>
  <c r="G103" i="47"/>
  <c r="O101" i="47"/>
  <c r="M101" i="47"/>
  <c r="K101" i="47"/>
  <c r="I101" i="47"/>
  <c r="G101" i="47"/>
  <c r="O100" i="47"/>
  <c r="M100" i="47"/>
  <c r="K100" i="47"/>
  <c r="I100" i="47"/>
  <c r="G100" i="47"/>
  <c r="O99" i="47"/>
  <c r="M99" i="47"/>
  <c r="K99" i="47"/>
  <c r="I99" i="47"/>
  <c r="G99" i="47"/>
  <c r="O98" i="47"/>
  <c r="M98" i="47"/>
  <c r="K98" i="47"/>
  <c r="I98" i="47"/>
  <c r="G98" i="47"/>
  <c r="O96" i="47"/>
  <c r="M96" i="47"/>
  <c r="K96" i="47"/>
  <c r="I96" i="47"/>
  <c r="G96" i="47"/>
  <c r="I95" i="47"/>
  <c r="G95" i="47"/>
  <c r="K92" i="47"/>
  <c r="O91" i="47"/>
  <c r="M91" i="47"/>
  <c r="K91" i="47"/>
  <c r="I91" i="47"/>
  <c r="G91" i="47"/>
  <c r="O85" i="47"/>
  <c r="M85" i="47"/>
  <c r="K85" i="47"/>
  <c r="I85" i="47"/>
  <c r="G85" i="47"/>
  <c r="O80" i="47"/>
  <c r="M80" i="47"/>
  <c r="K80" i="47"/>
  <c r="I80" i="47"/>
  <c r="G80" i="47"/>
  <c r="O78" i="47"/>
  <c r="M78" i="47"/>
  <c r="K78" i="47"/>
  <c r="I78" i="47"/>
  <c r="G78" i="47"/>
  <c r="O77" i="47"/>
  <c r="M77" i="47"/>
  <c r="K77" i="47"/>
  <c r="I77" i="47"/>
  <c r="G77" i="47"/>
  <c r="O76" i="47"/>
  <c r="M76" i="47"/>
  <c r="K76" i="47"/>
  <c r="I76" i="47"/>
  <c r="G76" i="47"/>
  <c r="A75" i="47"/>
  <c r="A76" i="47" s="1"/>
  <c r="A77" i="47" s="1"/>
  <c r="A78" i="47" s="1"/>
  <c r="A79" i="47" s="1"/>
  <c r="A80" i="47" s="1"/>
  <c r="A81" i="47" s="1"/>
  <c r="A82" i="47" s="1"/>
  <c r="A84" i="47" s="1"/>
  <c r="A85" i="47" s="1"/>
  <c r="A86" i="47" s="1"/>
  <c r="P71" i="47"/>
  <c r="N71" i="47"/>
  <c r="L71" i="47"/>
  <c r="J71" i="47"/>
  <c r="H71" i="47"/>
  <c r="A67" i="47"/>
  <c r="A65" i="47"/>
  <c r="A63" i="47"/>
  <c r="A62" i="47"/>
  <c r="O54" i="47"/>
  <c r="M54" i="47"/>
  <c r="K54" i="47"/>
  <c r="G54" i="47"/>
  <c r="O53" i="47"/>
  <c r="M53" i="47"/>
  <c r="G53" i="47"/>
  <c r="O52" i="47"/>
  <c r="M52" i="47"/>
  <c r="K52" i="47"/>
  <c r="I52" i="47"/>
  <c r="G52" i="47"/>
  <c r="O51" i="47"/>
  <c r="M51" i="47"/>
  <c r="O50" i="47"/>
  <c r="M50" i="47"/>
  <c r="K50" i="47"/>
  <c r="G50" i="47"/>
  <c r="O45" i="47"/>
  <c r="M45" i="47"/>
  <c r="G45" i="47"/>
  <c r="O44" i="47"/>
  <c r="M44" i="47"/>
  <c r="G44" i="47"/>
  <c r="O43" i="47"/>
  <c r="M43" i="47"/>
  <c r="G43" i="47"/>
  <c r="O42" i="47"/>
  <c r="M42" i="47"/>
  <c r="O41" i="47"/>
  <c r="M41" i="47"/>
  <c r="O40" i="47"/>
  <c r="M40" i="47"/>
  <c r="G40" i="47"/>
  <c r="O38" i="47"/>
  <c r="M38" i="47"/>
  <c r="K38" i="47"/>
  <c r="O37" i="47"/>
  <c r="M37" i="47"/>
  <c r="K37" i="47"/>
  <c r="G37" i="47"/>
  <c r="O36" i="47"/>
  <c r="M36" i="47"/>
  <c r="G36" i="47"/>
  <c r="O35" i="47"/>
  <c r="M35" i="47"/>
  <c r="G35" i="47"/>
  <c r="O34" i="47"/>
  <c r="M34" i="47"/>
  <c r="O33" i="47"/>
  <c r="M33" i="47"/>
  <c r="K33" i="47"/>
  <c r="O31" i="47"/>
  <c r="M31" i="47"/>
  <c r="G31" i="47"/>
  <c r="O24" i="47"/>
  <c r="M24" i="47"/>
  <c r="O20" i="47"/>
  <c r="M20" i="47"/>
  <c r="K20" i="47"/>
  <c r="G20" i="47"/>
  <c r="O18" i="47"/>
  <c r="M18" i="47"/>
  <c r="O17" i="47"/>
  <c r="M17" i="47"/>
  <c r="A16" i="47"/>
  <c r="A17" i="47" s="1"/>
  <c r="A18" i="47" s="1"/>
  <c r="A19" i="47" s="1"/>
  <c r="A20" i="47" s="1"/>
  <c r="A21" i="47" s="1"/>
  <c r="A23" i="47" s="1"/>
  <c r="A24" i="47" s="1"/>
  <c r="A25" i="47" s="1"/>
  <c r="A26" i="47" s="1"/>
  <c r="A27" i="47" s="1"/>
  <c r="A28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A45" i="47" s="1"/>
  <c r="A46" i="47" s="1"/>
  <c r="A47" i="47" s="1"/>
  <c r="A49" i="47" s="1"/>
  <c r="A50" i="47" s="1"/>
  <c r="A51" i="47" s="1"/>
  <c r="A52" i="47" s="1"/>
  <c r="A53" i="47" s="1"/>
  <c r="A54" i="47" s="1"/>
  <c r="A55" i="47" s="1"/>
  <c r="A57" i="47" s="1"/>
  <c r="A66" i="47"/>
  <c r="A61" i="47"/>
  <c r="A60" i="47"/>
  <c r="H116" i="47" l="1"/>
  <c r="I114" i="48"/>
  <c r="I114" i="47"/>
  <c r="A87" i="47"/>
  <c r="A89" i="47" s="1"/>
  <c r="A90" i="47" s="1"/>
  <c r="A91" i="47" s="1"/>
  <c r="A92" i="47" s="1"/>
  <c r="A94" i="47" s="1"/>
  <c r="A95" i="47" s="1"/>
  <c r="A96" i="47" s="1"/>
  <c r="A97" i="47" s="1"/>
  <c r="A98" i="47" s="1"/>
  <c r="A99" i="47" s="1"/>
  <c r="A100" i="47" s="1"/>
  <c r="A101" i="47" s="1"/>
  <c r="A102" i="47" s="1"/>
  <c r="A103" i="47" s="1"/>
  <c r="A104" i="47" s="1"/>
  <c r="A106" i="47" s="1"/>
  <c r="A107" i="47" s="1"/>
  <c r="A108" i="47" s="1"/>
  <c r="A109" i="47" s="1"/>
  <c r="A110" i="47" s="1"/>
  <c r="A111" i="47" s="1"/>
  <c r="A112" i="47" s="1"/>
  <c r="A113" i="47" s="1"/>
  <c r="A114" i="47" s="1"/>
  <c r="A116" i="47" s="1"/>
  <c r="A118" i="47" s="1"/>
  <c r="L116" i="48"/>
  <c r="L118" i="48" s="1"/>
  <c r="K114" i="48"/>
  <c r="O28" i="47"/>
  <c r="O114" i="47"/>
  <c r="O104" i="47"/>
  <c r="N116" i="48"/>
  <c r="O116" i="48" s="1"/>
  <c r="O82" i="48"/>
  <c r="M82" i="48"/>
  <c r="M104" i="48"/>
  <c r="G114" i="48"/>
  <c r="I87" i="47"/>
  <c r="G92" i="47"/>
  <c r="M114" i="47"/>
  <c r="M28" i="47"/>
  <c r="I82" i="47"/>
  <c r="I92" i="47"/>
  <c r="O92" i="47"/>
  <c r="K114" i="47"/>
  <c r="G21" i="48"/>
  <c r="F57" i="48"/>
  <c r="E21" i="48"/>
  <c r="J116" i="48"/>
  <c r="K82" i="48"/>
  <c r="O19" i="48"/>
  <c r="I87" i="48"/>
  <c r="G87" i="48"/>
  <c r="H116" i="48"/>
  <c r="G82" i="48"/>
  <c r="I82" i="48"/>
  <c r="I21" i="48"/>
  <c r="H57" i="48"/>
  <c r="O21" i="48"/>
  <c r="N57" i="48"/>
  <c r="P57" i="48"/>
  <c r="P118" i="48" s="1"/>
  <c r="I92" i="48"/>
  <c r="G92" i="48"/>
  <c r="D118" i="48"/>
  <c r="K57" i="48"/>
  <c r="O47" i="47"/>
  <c r="O55" i="47"/>
  <c r="K18" i="47"/>
  <c r="K28" i="47"/>
  <c r="K55" i="47"/>
  <c r="H57" i="47"/>
  <c r="I24" i="47"/>
  <c r="K51" i="47"/>
  <c r="K47" i="47"/>
  <c r="K24" i="47"/>
  <c r="I18" i="47"/>
  <c r="G55" i="47"/>
  <c r="I55" i="47"/>
  <c r="I19" i="47"/>
  <c r="I36" i="47"/>
  <c r="I41" i="47"/>
  <c r="I44" i="47"/>
  <c r="G51" i="47"/>
  <c r="I53" i="47"/>
  <c r="I17" i="47"/>
  <c r="I20" i="47"/>
  <c r="G28" i="47"/>
  <c r="I31" i="47"/>
  <c r="I35" i="47"/>
  <c r="I37" i="47"/>
  <c r="I40" i="47"/>
  <c r="I45" i="47"/>
  <c r="O19" i="47"/>
  <c r="P57" i="47"/>
  <c r="G42" i="47"/>
  <c r="I42" i="47"/>
  <c r="M19" i="47"/>
  <c r="G34" i="47"/>
  <c r="I34" i="47"/>
  <c r="I43" i="47"/>
  <c r="M47" i="47"/>
  <c r="M55" i="47"/>
  <c r="F116" i="47"/>
  <c r="G82" i="47"/>
  <c r="N57" i="47"/>
  <c r="O21" i="47"/>
  <c r="D116" i="47"/>
  <c r="G114" i="47"/>
  <c r="I21" i="47"/>
  <c r="G38" i="47"/>
  <c r="I38" i="47"/>
  <c r="K104" i="47"/>
  <c r="I104" i="47"/>
  <c r="K19" i="47"/>
  <c r="N116" i="47"/>
  <c r="O82" i="47"/>
  <c r="G87" i="47"/>
  <c r="M104" i="47"/>
  <c r="L116" i="47"/>
  <c r="M116" i="47" s="1"/>
  <c r="J116" i="47"/>
  <c r="K82" i="47"/>
  <c r="G24" i="47"/>
  <c r="G116" i="47" l="1"/>
  <c r="O116" i="47"/>
  <c r="M116" i="48"/>
  <c r="K116" i="48"/>
  <c r="J118" i="48"/>
  <c r="H118" i="48"/>
  <c r="I57" i="48"/>
  <c r="I116" i="48"/>
  <c r="G116" i="48"/>
  <c r="F118" i="48"/>
  <c r="G57" i="48"/>
  <c r="E57" i="48"/>
  <c r="N118" i="48"/>
  <c r="O57" i="48"/>
  <c r="M57" i="48"/>
  <c r="J57" i="47"/>
  <c r="J118" i="47" s="1"/>
  <c r="I28" i="47"/>
  <c r="I47" i="47"/>
  <c r="G47" i="47"/>
  <c r="K116" i="47"/>
  <c r="E116" i="47"/>
  <c r="N118" i="47"/>
  <c r="O57" i="47"/>
  <c r="M21" i="47"/>
  <c r="L57" i="47"/>
  <c r="K21" i="47"/>
  <c r="P118" i="47"/>
  <c r="D57" i="47"/>
  <c r="I116" i="47"/>
  <c r="M57" i="47" l="1"/>
  <c r="L118" i="47"/>
  <c r="K57" i="47"/>
  <c r="D118" i="47"/>
  <c r="H118" i="47"/>
  <c r="I57" i="47"/>
  <c r="E18" i="45" l="1"/>
  <c r="E17" i="45"/>
  <c r="E16" i="45"/>
  <c r="I20" i="20" s="1"/>
  <c r="A16" i="45"/>
  <c r="A17" i="45" s="1"/>
  <c r="A18" i="45" s="1"/>
  <c r="E15" i="45"/>
  <c r="I18" i="20" s="1"/>
  <c r="E13" i="45"/>
  <c r="A28" i="45"/>
  <c r="A24" i="45"/>
  <c r="A23" i="45"/>
  <c r="A7" i="45"/>
  <c r="A27" i="45" s="1"/>
  <c r="A4" i="45"/>
  <c r="A2" i="45"/>
  <c r="A22" i="45" s="1"/>
  <c r="A1" i="45"/>
  <c r="A21" i="45" s="1"/>
  <c r="F22" i="20"/>
  <c r="H22" i="20" s="1"/>
  <c r="J22" i="20" s="1"/>
  <c r="A13" i="18"/>
  <c r="A14" i="18" s="1"/>
  <c r="A15" i="18" s="1"/>
  <c r="A16" i="18" s="1"/>
  <c r="A18" i="18" s="1"/>
  <c r="C16" i="11"/>
  <c r="B16" i="11"/>
  <c r="C13" i="11"/>
  <c r="B13" i="11"/>
  <c r="C12" i="11"/>
  <c r="B12" i="11"/>
  <c r="A7" i="44" l="1"/>
  <c r="A4" i="44"/>
  <c r="A49" i="44" s="1"/>
  <c r="A2" i="44"/>
  <c r="A47" i="44" s="1"/>
  <c r="A1" i="44"/>
  <c r="A46" i="44" s="1"/>
  <c r="H107" i="44"/>
  <c r="A98" i="44"/>
  <c r="A96" i="44"/>
  <c r="A93" i="44"/>
  <c r="H78" i="44"/>
  <c r="G77" i="44"/>
  <c r="I77" i="44" s="1"/>
  <c r="E79" i="57" s="1"/>
  <c r="G72" i="44"/>
  <c r="I72" i="44" s="1"/>
  <c r="E74" i="57" s="1"/>
  <c r="G69" i="44"/>
  <c r="I69" i="44" s="1"/>
  <c r="E71" i="57" s="1"/>
  <c r="G68" i="44"/>
  <c r="I68" i="44" s="1"/>
  <c r="E70" i="57" s="1"/>
  <c r="H65" i="44"/>
  <c r="A53" i="44"/>
  <c r="A51" i="44"/>
  <c r="A48" i="44"/>
  <c r="G44" i="44"/>
  <c r="I44" i="44" s="1"/>
  <c r="E45" i="57" s="1"/>
  <c r="H38" i="44"/>
  <c r="H32" i="44"/>
  <c r="H17" i="44"/>
  <c r="G16" i="44"/>
  <c r="I16" i="44" s="1"/>
  <c r="E17" i="57" s="1"/>
  <c r="A14" i="44"/>
  <c r="A15" i="44" s="1"/>
  <c r="A16" i="44" s="1"/>
  <c r="A17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4" i="44" s="1"/>
  <c r="A35" i="44" s="1"/>
  <c r="A36" i="44" s="1"/>
  <c r="A37" i="44" s="1"/>
  <c r="A38" i="44" s="1"/>
  <c r="A40" i="44" s="1"/>
  <c r="A41" i="44" s="1"/>
  <c r="A42" i="44" s="1"/>
  <c r="A43" i="44" s="1"/>
  <c r="A44" i="44" s="1"/>
  <c r="A45" i="44" s="1"/>
  <c r="A94" i="44" l="1"/>
  <c r="H109" i="44"/>
  <c r="G14" i="44"/>
  <c r="I14" i="44" s="1"/>
  <c r="E15" i="57" s="1"/>
  <c r="A92" i="44"/>
  <c r="A58" i="44"/>
  <c r="A59" i="44" s="1"/>
  <c r="A60" i="44" s="1"/>
  <c r="A61" i="44" s="1"/>
  <c r="A62" i="44" s="1"/>
  <c r="A63" i="44" s="1"/>
  <c r="A64" i="44" s="1"/>
  <c r="A65" i="44" s="1"/>
  <c r="A52" i="44"/>
  <c r="A97" i="44"/>
  <c r="G70" i="44"/>
  <c r="I70" i="44" s="1"/>
  <c r="E72" i="57" s="1"/>
  <c r="A91" i="44"/>
  <c r="H107" i="17"/>
  <c r="A14" i="17"/>
  <c r="A15" i="17" s="1"/>
  <c r="A16" i="17" s="1"/>
  <c r="A17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4" i="17" s="1"/>
  <c r="A35" i="17" s="1"/>
  <c r="A36" i="17" s="1"/>
  <c r="A37" i="17" s="1"/>
  <c r="A38" i="17" s="1"/>
  <c r="A40" i="17" s="1"/>
  <c r="A41" i="17" s="1"/>
  <c r="A42" i="17" s="1"/>
  <c r="A43" i="17" s="1"/>
  <c r="A44" i="17" s="1"/>
  <c r="A45" i="17" s="1"/>
  <c r="G43" i="15"/>
  <c r="D103" i="43"/>
  <c r="D105" i="44" s="1"/>
  <c r="D102" i="43"/>
  <c r="D101" i="43"/>
  <c r="D103" i="44" s="1"/>
  <c r="D100" i="43"/>
  <c r="F100" i="43" s="1"/>
  <c r="H100" i="43" s="1"/>
  <c r="D93" i="57" s="1"/>
  <c r="G93" i="57" s="1"/>
  <c r="D88" i="43"/>
  <c r="D90" i="44" s="1"/>
  <c r="D87" i="43"/>
  <c r="D89" i="44" s="1"/>
  <c r="D86" i="43"/>
  <c r="D88" i="44" s="1"/>
  <c r="D85" i="43"/>
  <c r="D84" i="43"/>
  <c r="D83" i="43"/>
  <c r="D82" i="43"/>
  <c r="D84" i="44" s="1"/>
  <c r="D81" i="43"/>
  <c r="D80" i="43"/>
  <c r="D82" i="44" s="1"/>
  <c r="D79" i="43"/>
  <c r="D81" i="44" s="1"/>
  <c r="D75" i="43"/>
  <c r="D77" i="44" s="1"/>
  <c r="D74" i="43"/>
  <c r="D76" i="44" s="1"/>
  <c r="D73" i="43"/>
  <c r="D72" i="43"/>
  <c r="D74" i="44" s="1"/>
  <c r="D71" i="43"/>
  <c r="D73" i="44" s="1"/>
  <c r="D70" i="43"/>
  <c r="D72" i="44" s="1"/>
  <c r="D69" i="43"/>
  <c r="D71" i="44" s="1"/>
  <c r="D68" i="43"/>
  <c r="D70" i="44" s="1"/>
  <c r="D67" i="43"/>
  <c r="D69" i="44" s="1"/>
  <c r="D66" i="43"/>
  <c r="D68" i="44" s="1"/>
  <c r="D62" i="43"/>
  <c r="D61" i="43"/>
  <c r="D63" i="44" s="1"/>
  <c r="D60" i="43"/>
  <c r="D59" i="43"/>
  <c r="D61" i="44" s="1"/>
  <c r="D58" i="43"/>
  <c r="D57" i="43"/>
  <c r="D59" i="44" s="1"/>
  <c r="D56" i="43"/>
  <c r="D58" i="44" s="1"/>
  <c r="D44" i="43"/>
  <c r="D45" i="44" s="1"/>
  <c r="D43" i="43"/>
  <c r="D42" i="43"/>
  <c r="D43" i="44" s="1"/>
  <c r="D41" i="43"/>
  <c r="D40" i="43"/>
  <c r="D41" i="44" s="1"/>
  <c r="D36" i="43"/>
  <c r="D35" i="43"/>
  <c r="D36" i="44" s="1"/>
  <c r="D34" i="43"/>
  <c r="D35" i="44" s="1"/>
  <c r="D30" i="43"/>
  <c r="D31" i="44" s="1"/>
  <c r="D29" i="43"/>
  <c r="D28" i="43"/>
  <c r="D29" i="44" s="1"/>
  <c r="D27" i="43"/>
  <c r="D26" i="43"/>
  <c r="D27" i="44" s="1"/>
  <c r="D25" i="43"/>
  <c r="D26" i="44" s="1"/>
  <c r="D24" i="43"/>
  <c r="D25" i="44" s="1"/>
  <c r="D23" i="43"/>
  <c r="D22" i="43"/>
  <c r="D23" i="44" s="1"/>
  <c r="D21" i="43"/>
  <c r="D20" i="43"/>
  <c r="D21" i="44" s="1"/>
  <c r="D19" i="43"/>
  <c r="D15" i="43"/>
  <c r="D16" i="44" s="1"/>
  <c r="D14" i="43"/>
  <c r="D15" i="44" s="1"/>
  <c r="D13" i="43"/>
  <c r="D14" i="44" s="1"/>
  <c r="A7" i="43"/>
  <c r="A4" i="43"/>
  <c r="A2" i="43"/>
  <c r="A46" i="43" s="1"/>
  <c r="A1" i="43"/>
  <c r="A45" i="43" s="1"/>
  <c r="G104" i="43"/>
  <c r="F53" i="15" s="1"/>
  <c r="E99" i="43"/>
  <c r="A96" i="43"/>
  <c r="A94" i="43"/>
  <c r="A91" i="43"/>
  <c r="F59" i="43"/>
  <c r="H59" i="43" s="1"/>
  <c r="D50" i="57" s="1"/>
  <c r="G50" i="57" s="1"/>
  <c r="E55" i="43"/>
  <c r="A52" i="43"/>
  <c r="A50" i="43"/>
  <c r="A47" i="43"/>
  <c r="G16" i="43"/>
  <c r="F41" i="15" s="1"/>
  <c r="A13" i="43"/>
  <c r="A14" i="43" s="1"/>
  <c r="A15" i="43" s="1"/>
  <c r="A16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3" i="43" s="1"/>
  <c r="A34" i="43" s="1"/>
  <c r="A35" i="43" s="1"/>
  <c r="A36" i="43" s="1"/>
  <c r="A37" i="43" s="1"/>
  <c r="A39" i="43" s="1"/>
  <c r="A40" i="43" s="1"/>
  <c r="A41" i="43" s="1"/>
  <c r="A42" i="43" s="1"/>
  <c r="A43" i="43" s="1"/>
  <c r="A44" i="43" s="1"/>
  <c r="G104" i="12"/>
  <c r="A13" i="5"/>
  <c r="A14" i="5" s="1"/>
  <c r="A15" i="5" s="1"/>
  <c r="A16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3" i="5" s="1"/>
  <c r="A34" i="5" s="1"/>
  <c r="A35" i="5" s="1"/>
  <c r="A36" i="5" s="1"/>
  <c r="A37" i="5" s="1"/>
  <c r="A39" i="5" s="1"/>
  <c r="A40" i="5" s="1"/>
  <c r="A41" i="5" s="1"/>
  <c r="A42" i="5" s="1"/>
  <c r="A43" i="5" s="1"/>
  <c r="A44" i="5" s="1"/>
  <c r="A96" i="4"/>
  <c r="A94" i="4"/>
  <c r="A91" i="4"/>
  <c r="B66" i="37"/>
  <c r="B61" i="37"/>
  <c r="B59" i="37"/>
  <c r="B58" i="37"/>
  <c r="B57" i="37"/>
  <c r="B56" i="37"/>
  <c r="B55" i="37"/>
  <c r="B24" i="37"/>
  <c r="J57" i="53" l="1"/>
  <c r="J57" i="37"/>
  <c r="J66" i="37"/>
  <c r="J66" i="53"/>
  <c r="J56" i="53"/>
  <c r="J56" i="37"/>
  <c r="J61" i="53"/>
  <c r="J61" i="37"/>
  <c r="J24" i="53"/>
  <c r="J24" i="37"/>
  <c r="J58" i="37"/>
  <c r="J58" i="53"/>
  <c r="J55" i="53"/>
  <c r="J55" i="37"/>
  <c r="J59" i="37"/>
  <c r="J59" i="53"/>
  <c r="A90" i="43"/>
  <c r="F79" i="43"/>
  <c r="H79" i="43" s="1"/>
  <c r="D83" i="57" s="1"/>
  <c r="F20" i="43"/>
  <c r="H20" i="43" s="1"/>
  <c r="D22" i="57" s="1"/>
  <c r="G22" i="57" s="1"/>
  <c r="F42" i="43"/>
  <c r="H42" i="43" s="1"/>
  <c r="D44" i="57" s="1"/>
  <c r="G44" i="57" s="1"/>
  <c r="F68" i="43"/>
  <c r="H68" i="43" s="1"/>
  <c r="D72" i="57" s="1"/>
  <c r="G72" i="57" s="1"/>
  <c r="F67" i="43"/>
  <c r="H67" i="43" s="1"/>
  <c r="D71" i="57" s="1"/>
  <c r="G71" i="57" s="1"/>
  <c r="F101" i="43"/>
  <c r="H101" i="43" s="1"/>
  <c r="D94" i="57" s="1"/>
  <c r="G94" i="57" s="1"/>
  <c r="F57" i="43"/>
  <c r="H57" i="43" s="1"/>
  <c r="D48" i="57" s="1"/>
  <c r="G48" i="57" s="1"/>
  <c r="F24" i="43"/>
  <c r="H24" i="43" s="1"/>
  <c r="D26" i="57" s="1"/>
  <c r="G26" i="57" s="1"/>
  <c r="F28" i="43"/>
  <c r="H28" i="43" s="1"/>
  <c r="D30" i="57" s="1"/>
  <c r="G30" i="57" s="1"/>
  <c r="F61" i="43"/>
  <c r="H61" i="43" s="1"/>
  <c r="D52" i="57" s="1"/>
  <c r="G52" i="57" s="1"/>
  <c r="F71" i="43"/>
  <c r="H71" i="43" s="1"/>
  <c r="D75" i="57" s="1"/>
  <c r="G75" i="57" s="1"/>
  <c r="F86" i="43"/>
  <c r="H86" i="43" s="1"/>
  <c r="D90" i="57" s="1"/>
  <c r="G90" i="57" s="1"/>
  <c r="F22" i="43"/>
  <c r="H22" i="43" s="1"/>
  <c r="D24" i="57" s="1"/>
  <c r="G24" i="57" s="1"/>
  <c r="F15" i="43"/>
  <c r="H15" i="43" s="1"/>
  <c r="D17" i="57" s="1"/>
  <c r="G17" i="57" s="1"/>
  <c r="F40" i="43"/>
  <c r="H40" i="43" s="1"/>
  <c r="D42" i="57" s="1"/>
  <c r="G42" i="57" s="1"/>
  <c r="F30" i="43"/>
  <c r="D17" i="44"/>
  <c r="F75" i="43"/>
  <c r="H75" i="43" s="1"/>
  <c r="D79" i="57" s="1"/>
  <c r="G79" i="57" s="1"/>
  <c r="H13" i="5"/>
  <c r="H15" i="5"/>
  <c r="F14" i="43"/>
  <c r="H14" i="43" s="1"/>
  <c r="D16" i="57" s="1"/>
  <c r="G16" i="57" s="1"/>
  <c r="F13" i="43"/>
  <c r="H13" i="43" s="1"/>
  <c r="D15" i="57" s="1"/>
  <c r="F26" i="43"/>
  <c r="H26" i="43" s="1"/>
  <c r="D28" i="57" s="1"/>
  <c r="G28" i="57" s="1"/>
  <c r="F35" i="43"/>
  <c r="H35" i="43" s="1"/>
  <c r="D37" i="57" s="1"/>
  <c r="G37" i="57" s="1"/>
  <c r="F44" i="43"/>
  <c r="H44" i="43" s="1"/>
  <c r="D46" i="57" s="1"/>
  <c r="G46" i="57" s="1"/>
  <c r="F72" i="43"/>
  <c r="H72" i="43" s="1"/>
  <c r="D76" i="57" s="1"/>
  <c r="G76" i="57" s="1"/>
  <c r="F80" i="43"/>
  <c r="H80" i="43" s="1"/>
  <c r="D84" i="57" s="1"/>
  <c r="G84" i="57" s="1"/>
  <c r="F69" i="43"/>
  <c r="H69" i="43" s="1"/>
  <c r="D73" i="57" s="1"/>
  <c r="G73" i="57" s="1"/>
  <c r="F87" i="43"/>
  <c r="H87" i="43" s="1"/>
  <c r="D91" i="57" s="1"/>
  <c r="G91" i="57" s="1"/>
  <c r="F66" i="43"/>
  <c r="H66" i="43" s="1"/>
  <c r="D70" i="57" s="1"/>
  <c r="G70" i="57" s="1"/>
  <c r="F74" i="43"/>
  <c r="F70" i="43"/>
  <c r="H70" i="43" s="1"/>
  <c r="D74" i="57" s="1"/>
  <c r="G74" i="57" s="1"/>
  <c r="F21" i="43"/>
  <c r="H21" i="43" s="1"/>
  <c r="D23" i="57" s="1"/>
  <c r="G23" i="57" s="1"/>
  <c r="D22" i="44"/>
  <c r="F29" i="43"/>
  <c r="H29" i="43" s="1"/>
  <c r="D31" i="57" s="1"/>
  <c r="G31" i="57" s="1"/>
  <c r="D30" i="44"/>
  <c r="F36" i="43"/>
  <c r="D37" i="44"/>
  <c r="D38" i="44" s="1"/>
  <c r="F43" i="43"/>
  <c r="H43" i="43" s="1"/>
  <c r="D45" i="57" s="1"/>
  <c r="G45" i="57" s="1"/>
  <c r="D44" i="44"/>
  <c r="F58" i="43"/>
  <c r="H58" i="43" s="1"/>
  <c r="D49" i="57" s="1"/>
  <c r="G49" i="57" s="1"/>
  <c r="D60" i="44"/>
  <c r="F62" i="43"/>
  <c r="D64" i="44"/>
  <c r="F73" i="43"/>
  <c r="H73" i="43" s="1"/>
  <c r="D77" i="57" s="1"/>
  <c r="G77" i="57" s="1"/>
  <c r="D75" i="44"/>
  <c r="D78" i="44" s="1"/>
  <c r="F84" i="43"/>
  <c r="H84" i="43" s="1"/>
  <c r="D88" i="57" s="1"/>
  <c r="G88" i="57" s="1"/>
  <c r="D86" i="44"/>
  <c r="F88" i="43"/>
  <c r="H88" i="43" s="1"/>
  <c r="D92" i="57" s="1"/>
  <c r="G92" i="57" s="1"/>
  <c r="F103" i="43"/>
  <c r="H103" i="43" s="1"/>
  <c r="D96" i="57" s="1"/>
  <c r="G96" i="57" s="1"/>
  <c r="F25" i="43"/>
  <c r="H25" i="43" s="1"/>
  <c r="D27" i="57" s="1"/>
  <c r="G27" i="57" s="1"/>
  <c r="F81" i="43"/>
  <c r="H81" i="43" s="1"/>
  <c r="D85" i="57" s="1"/>
  <c r="G85" i="57" s="1"/>
  <c r="D83" i="44"/>
  <c r="F85" i="43"/>
  <c r="H85" i="43" s="1"/>
  <c r="D89" i="57" s="1"/>
  <c r="G89" i="57" s="1"/>
  <c r="D87" i="44"/>
  <c r="F19" i="43"/>
  <c r="H19" i="43" s="1"/>
  <c r="D21" i="57" s="1"/>
  <c r="G21" i="57" s="1"/>
  <c r="D20" i="44"/>
  <c r="F23" i="43"/>
  <c r="H23" i="43" s="1"/>
  <c r="D25" i="57" s="1"/>
  <c r="G25" i="57" s="1"/>
  <c r="D24" i="44"/>
  <c r="F27" i="43"/>
  <c r="H27" i="43" s="1"/>
  <c r="D29" i="57" s="1"/>
  <c r="G29" i="57" s="1"/>
  <c r="D28" i="44"/>
  <c r="F41" i="43"/>
  <c r="H41" i="43" s="1"/>
  <c r="D43" i="57" s="1"/>
  <c r="G43" i="57" s="1"/>
  <c r="D42" i="44"/>
  <c r="F60" i="43"/>
  <c r="H60" i="43" s="1"/>
  <c r="D51" i="57" s="1"/>
  <c r="G51" i="57" s="1"/>
  <c r="D62" i="44"/>
  <c r="F82" i="43"/>
  <c r="H82" i="43" s="1"/>
  <c r="D86" i="57" s="1"/>
  <c r="G86" i="57" s="1"/>
  <c r="F83" i="43"/>
  <c r="H83" i="43" s="1"/>
  <c r="D87" i="57" s="1"/>
  <c r="G87" i="57" s="1"/>
  <c r="D85" i="44"/>
  <c r="F102" i="43"/>
  <c r="H102" i="43" s="1"/>
  <c r="D95" i="57" s="1"/>
  <c r="G95" i="57" s="1"/>
  <c r="D104" i="44"/>
  <c r="A67" i="44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58" i="17"/>
  <c r="A59" i="17" s="1"/>
  <c r="A60" i="17" s="1"/>
  <c r="A61" i="17" s="1"/>
  <c r="A62" i="17" s="1"/>
  <c r="A63" i="17" s="1"/>
  <c r="A64" i="17" s="1"/>
  <c r="A65" i="17" s="1"/>
  <c r="D31" i="43"/>
  <c r="C45" i="15" s="1"/>
  <c r="A89" i="43"/>
  <c r="A56" i="43"/>
  <c r="A57" i="43" s="1"/>
  <c r="A58" i="43" s="1"/>
  <c r="A59" i="43" s="1"/>
  <c r="A60" i="43" s="1"/>
  <c r="A61" i="43" s="1"/>
  <c r="A62" i="43" s="1"/>
  <c r="A63" i="43" s="1"/>
  <c r="A92" i="43"/>
  <c r="A48" i="43"/>
  <c r="D16" i="43"/>
  <c r="C41" i="15" s="1"/>
  <c r="D63" i="43"/>
  <c r="C49" i="15" s="1"/>
  <c r="F56" i="43"/>
  <c r="H56" i="43" s="1"/>
  <c r="D47" i="57" s="1"/>
  <c r="G47" i="57" s="1"/>
  <c r="A51" i="43"/>
  <c r="A95" i="43"/>
  <c r="F34" i="43"/>
  <c r="D37" i="43"/>
  <c r="C47" i="15" s="1"/>
  <c r="D104" i="43"/>
  <c r="D76" i="43"/>
  <c r="C51" i="15" s="1"/>
  <c r="H67" i="5"/>
  <c r="H68" i="5"/>
  <c r="H70" i="5"/>
  <c r="H75" i="5"/>
  <c r="H66" i="5"/>
  <c r="H43" i="5"/>
  <c r="A56" i="5"/>
  <c r="A57" i="5" s="1"/>
  <c r="A58" i="5" l="1"/>
  <c r="A59" i="5" s="1"/>
  <c r="A60" i="5" s="1"/>
  <c r="A61" i="5" s="1"/>
  <c r="A62" i="5" s="1"/>
  <c r="A63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100" i="5" s="1"/>
  <c r="G29" i="5"/>
  <c r="L59" i="53"/>
  <c r="N59" i="53" s="1"/>
  <c r="Z59" i="53" s="1"/>
  <c r="G28" i="5"/>
  <c r="L58" i="53"/>
  <c r="N58" i="53" s="1"/>
  <c r="Z58" i="53" s="1"/>
  <c r="G35" i="5"/>
  <c r="L66" i="53"/>
  <c r="N66" i="53" s="1"/>
  <c r="Z66" i="53" s="1"/>
  <c r="L61" i="53"/>
  <c r="N61" i="53" s="1"/>
  <c r="Z61" i="53" s="1"/>
  <c r="G30" i="5"/>
  <c r="G25" i="5"/>
  <c r="L55" i="53"/>
  <c r="N55" i="53" s="1"/>
  <c r="Z55" i="53" s="1"/>
  <c r="G61" i="5"/>
  <c r="L24" i="53"/>
  <c r="N24" i="53" s="1"/>
  <c r="Z24" i="53" s="1"/>
  <c r="G26" i="5"/>
  <c r="L56" i="53"/>
  <c r="N56" i="53" s="1"/>
  <c r="Z56" i="53" s="1"/>
  <c r="G27" i="5"/>
  <c r="L57" i="53"/>
  <c r="N57" i="53" s="1"/>
  <c r="Z57" i="53" s="1"/>
  <c r="G15" i="57"/>
  <c r="G18" i="57" s="1"/>
  <c r="D18" i="57"/>
  <c r="G83" i="57"/>
  <c r="G97" i="57" s="1"/>
  <c r="D97" i="57"/>
  <c r="F32" i="11"/>
  <c r="G36" i="43" s="1"/>
  <c r="G37" i="43" s="1"/>
  <c r="F47" i="15" s="1"/>
  <c r="F76" i="43"/>
  <c r="E51" i="15" s="1"/>
  <c r="A67" i="17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F16" i="43"/>
  <c r="E41" i="15" s="1"/>
  <c r="G41" i="15" s="1"/>
  <c r="H104" i="43"/>
  <c r="H16" i="43"/>
  <c r="F31" i="43"/>
  <c r="E45" i="15" s="1"/>
  <c r="D65" i="44"/>
  <c r="D106" i="44"/>
  <c r="D107" i="44" s="1"/>
  <c r="C53" i="15"/>
  <c r="D32" i="44"/>
  <c r="F104" i="43"/>
  <c r="E53" i="15" s="1"/>
  <c r="F63" i="43"/>
  <c r="E49" i="15" s="1"/>
  <c r="A65" i="43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H34" i="43"/>
  <c r="F37" i="43"/>
  <c r="D106" i="43"/>
  <c r="F35" i="11" l="1"/>
  <c r="G62" i="43" s="1"/>
  <c r="G63" i="43" s="1"/>
  <c r="F49" i="15" s="1"/>
  <c r="A80" i="44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103" i="44" s="1"/>
  <c r="F31" i="11"/>
  <c r="D37" i="11"/>
  <c r="G76" i="43"/>
  <c r="F51" i="15" s="1"/>
  <c r="W19" i="63"/>
  <c r="W27" i="63" s="1"/>
  <c r="W38" i="63" s="1"/>
  <c r="W42" i="63" s="1"/>
  <c r="D36" i="57"/>
  <c r="H36" i="43"/>
  <c r="D38" i="57" s="1"/>
  <c r="G38" i="57" s="1"/>
  <c r="D109" i="44"/>
  <c r="F106" i="43"/>
  <c r="E47" i="15"/>
  <c r="Y14" i="63" l="1"/>
  <c r="Y19" i="63" s="1"/>
  <c r="Y27" i="63" s="1"/>
  <c r="Y38" i="63" s="1"/>
  <c r="Y40" i="63" s="1"/>
  <c r="AC40" i="63" s="1"/>
  <c r="H62" i="43"/>
  <c r="D53" i="57" s="1"/>
  <c r="A104" i="44"/>
  <c r="A78" i="43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100" i="43" s="1"/>
  <c r="A101" i="43" s="1"/>
  <c r="H74" i="43"/>
  <c r="D78" i="57" s="1"/>
  <c r="F37" i="11"/>
  <c r="G30" i="43"/>
  <c r="G31" i="43" s="1"/>
  <c r="H37" i="43"/>
  <c r="G36" i="57"/>
  <c r="G39" i="57" s="1"/>
  <c r="D39" i="57"/>
  <c r="A80" i="17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103" i="17" s="1"/>
  <c r="A102" i="43" l="1"/>
  <c r="A103" i="43" s="1"/>
  <c r="A104" i="43" s="1"/>
  <c r="A106" i="43" s="1"/>
  <c r="A105" i="44"/>
  <c r="A106" i="44" s="1"/>
  <c r="A107" i="44" s="1"/>
  <c r="A109" i="44" s="1"/>
  <c r="H63" i="43"/>
  <c r="H76" i="43"/>
  <c r="H30" i="43"/>
  <c r="D32" i="57" s="1"/>
  <c r="Y42" i="63"/>
  <c r="F45" i="15"/>
  <c r="G106" i="43"/>
  <c r="G78" i="57"/>
  <c r="G80" i="57" s="1"/>
  <c r="D80" i="57"/>
  <c r="G53" i="57"/>
  <c r="G54" i="57" s="1"/>
  <c r="D54" i="57"/>
  <c r="H31" i="43" l="1"/>
  <c r="H106" i="43" s="1"/>
  <c r="D103" i="57" s="1"/>
  <c r="D33" i="57"/>
  <c r="D99" i="57" s="1"/>
  <c r="G32" i="57"/>
  <c r="G33" i="57" s="1"/>
  <c r="G99" i="57" s="1"/>
  <c r="F25" i="15" l="1"/>
  <c r="C13" i="40" l="1"/>
  <c r="C11" i="40"/>
  <c r="A9" i="40"/>
  <c r="A7" i="40"/>
  <c r="F12" i="28" l="1"/>
  <c r="S22" i="66" s="1"/>
  <c r="S25" i="66" l="1"/>
  <c r="AC22" i="66"/>
  <c r="AC25" i="66" s="1"/>
  <c r="AE22" i="66"/>
  <c r="AE25" i="66" s="1"/>
  <c r="T114" i="37"/>
  <c r="E99" i="12"/>
  <c r="E55" i="12"/>
  <c r="T186" i="38"/>
  <c r="T185" i="38"/>
  <c r="T184" i="38"/>
  <c r="T183" i="38"/>
  <c r="T182" i="38"/>
  <c r="T181" i="38"/>
  <c r="T180" i="38"/>
  <c r="T179" i="38"/>
  <c r="T166" i="38"/>
  <c r="T221" i="38"/>
  <c r="T220" i="38"/>
  <c r="W11" i="37"/>
  <c r="P11" i="37"/>
  <c r="H11" i="37"/>
  <c r="F11" i="37"/>
  <c r="D11" i="37"/>
  <c r="B108" i="37"/>
  <c r="B107" i="37"/>
  <c r="B106" i="37"/>
  <c r="B105" i="37"/>
  <c r="B104" i="37"/>
  <c r="B102" i="37"/>
  <c r="B100" i="37"/>
  <c r="B99" i="37"/>
  <c r="B98" i="37"/>
  <c r="B97" i="37"/>
  <c r="B94" i="37"/>
  <c r="B88" i="37"/>
  <c r="B83" i="37"/>
  <c r="B81" i="37"/>
  <c r="B67" i="37"/>
  <c r="B65" i="37"/>
  <c r="B54" i="37"/>
  <c r="B47" i="37"/>
  <c r="B44" i="37"/>
  <c r="B36" i="37"/>
  <c r="B34" i="37"/>
  <c r="B33" i="37"/>
  <c r="B32" i="37"/>
  <c r="B30" i="37"/>
  <c r="B26" i="37"/>
  <c r="B12" i="37"/>
  <c r="C204" i="38"/>
  <c r="A204" i="38"/>
  <c r="C203" i="38"/>
  <c r="A203" i="38"/>
  <c r="C202" i="38"/>
  <c r="A202" i="38"/>
  <c r="A201" i="38"/>
  <c r="C200" i="38"/>
  <c r="A200" i="38"/>
  <c r="C199" i="38"/>
  <c r="A199" i="38"/>
  <c r="C198" i="38"/>
  <c r="A198" i="38"/>
  <c r="C197" i="38"/>
  <c r="A197" i="38"/>
  <c r="C196" i="38"/>
  <c r="A196" i="38"/>
  <c r="C195" i="38"/>
  <c r="A195" i="38"/>
  <c r="C194" i="38"/>
  <c r="A194" i="38"/>
  <c r="C193" i="38"/>
  <c r="A193" i="38"/>
  <c r="C192" i="38"/>
  <c r="A192" i="38"/>
  <c r="C191" i="38"/>
  <c r="A191" i="38"/>
  <c r="C190" i="38"/>
  <c r="A190" i="38"/>
  <c r="C189" i="38"/>
  <c r="A189" i="38"/>
  <c r="C188" i="38"/>
  <c r="A188" i="38"/>
  <c r="C187" i="38"/>
  <c r="A187" i="38"/>
  <c r="C140" i="38"/>
  <c r="A140" i="38"/>
  <c r="C139" i="38"/>
  <c r="A139" i="38"/>
  <c r="C138" i="38"/>
  <c r="A138" i="38"/>
  <c r="C137" i="38"/>
  <c r="A137" i="38"/>
  <c r="C136" i="38"/>
  <c r="A136" i="38"/>
  <c r="C135" i="38"/>
  <c r="A135" i="38"/>
  <c r="C134" i="38"/>
  <c r="A134" i="38"/>
  <c r="C133" i="38"/>
  <c r="A133" i="38"/>
  <c r="C132" i="38"/>
  <c r="A132" i="38"/>
  <c r="C131" i="38"/>
  <c r="A131" i="38"/>
  <c r="C130" i="38"/>
  <c r="A130" i="38"/>
  <c r="C129" i="38"/>
  <c r="A129" i="38"/>
  <c r="C128" i="38"/>
  <c r="A128" i="38"/>
  <c r="C127" i="38"/>
  <c r="A127" i="38"/>
  <c r="C126" i="38"/>
  <c r="A126" i="38"/>
  <c r="C125" i="38"/>
  <c r="A125" i="38"/>
  <c r="C124" i="38"/>
  <c r="A124" i="38"/>
  <c r="C123" i="38"/>
  <c r="A123" i="38"/>
  <c r="C122" i="38"/>
  <c r="A122" i="38"/>
  <c r="C121" i="38"/>
  <c r="A121" i="38"/>
  <c r="C120" i="38"/>
  <c r="A120" i="38"/>
  <c r="C119" i="38"/>
  <c r="A119" i="38"/>
  <c r="C118" i="38"/>
  <c r="A118" i="38"/>
  <c r="C117" i="38"/>
  <c r="A117" i="38"/>
  <c r="C116" i="38"/>
  <c r="A116" i="38"/>
  <c r="C115" i="38"/>
  <c r="A115" i="38"/>
  <c r="C114" i="38"/>
  <c r="A114" i="38"/>
  <c r="A113" i="38"/>
  <c r="P95" i="37"/>
  <c r="C274" i="38"/>
  <c r="A274" i="38"/>
  <c r="C273" i="38"/>
  <c r="A273" i="38"/>
  <c r="C272" i="38"/>
  <c r="A272" i="38"/>
  <c r="C271" i="38"/>
  <c r="A271" i="38"/>
  <c r="C270" i="38"/>
  <c r="A270" i="38"/>
  <c r="C269" i="38"/>
  <c r="A269" i="38"/>
  <c r="C268" i="38"/>
  <c r="A268" i="38"/>
  <c r="C267" i="38"/>
  <c r="A267" i="38"/>
  <c r="C266" i="38"/>
  <c r="A266" i="38"/>
  <c r="C265" i="38"/>
  <c r="A265" i="38"/>
  <c r="C264" i="38"/>
  <c r="A264" i="38"/>
  <c r="C263" i="38"/>
  <c r="A263" i="38"/>
  <c r="C262" i="38"/>
  <c r="A262" i="38"/>
  <c r="C261" i="38"/>
  <c r="A261" i="38"/>
  <c r="C260" i="38"/>
  <c r="D15" i="18" s="1"/>
  <c r="A260" i="38"/>
  <c r="C259" i="38"/>
  <c r="A259" i="38"/>
  <c r="C258" i="38"/>
  <c r="A258" i="38"/>
  <c r="C257" i="38"/>
  <c r="A257" i="38"/>
  <c r="C256" i="38"/>
  <c r="A256" i="38"/>
  <c r="C255" i="38"/>
  <c r="A255" i="38"/>
  <c r="C254" i="38"/>
  <c r="A254" i="38"/>
  <c r="C253" i="38"/>
  <c r="A253" i="38"/>
  <c r="C252" i="38"/>
  <c r="A252" i="38"/>
  <c r="C251" i="38"/>
  <c r="A251" i="38"/>
  <c r="C250" i="38"/>
  <c r="A250" i="38"/>
  <c r="C249" i="38"/>
  <c r="A249" i="38"/>
  <c r="C248" i="38"/>
  <c r="A248" i="38"/>
  <c r="C247" i="38"/>
  <c r="A247" i="38"/>
  <c r="C246" i="38"/>
  <c r="A246" i="38"/>
  <c r="C245" i="38"/>
  <c r="A245" i="38"/>
  <c r="C244" i="38"/>
  <c r="A244" i="38"/>
  <c r="C243" i="38"/>
  <c r="A243" i="38"/>
  <c r="C242" i="38"/>
  <c r="A242" i="38"/>
  <c r="A241" i="38"/>
  <c r="A240" i="38"/>
  <c r="A239" i="38"/>
  <c r="C238" i="38"/>
  <c r="A238" i="38"/>
  <c r="C237" i="38"/>
  <c r="A237" i="38"/>
  <c r="C236" i="38"/>
  <c r="A236" i="38"/>
  <c r="C235" i="38"/>
  <c r="A235" i="38"/>
  <c r="C234" i="38"/>
  <c r="A234" i="38"/>
  <c r="C49" i="38"/>
  <c r="A49" i="38"/>
  <c r="C48" i="38"/>
  <c r="A48" i="38"/>
  <c r="C47" i="38"/>
  <c r="A47" i="38"/>
  <c r="C46" i="38"/>
  <c r="A46" i="38"/>
  <c r="C45" i="38"/>
  <c r="A45" i="38"/>
  <c r="C44" i="38"/>
  <c r="A44" i="38"/>
  <c r="C43" i="38"/>
  <c r="A43" i="38"/>
  <c r="C42" i="38"/>
  <c r="A42" i="38"/>
  <c r="C41" i="38"/>
  <c r="A41" i="38"/>
  <c r="C40" i="38"/>
  <c r="A40" i="38"/>
  <c r="C39" i="38"/>
  <c r="A39" i="38"/>
  <c r="C38" i="38"/>
  <c r="A38" i="38"/>
  <c r="C37" i="38"/>
  <c r="A37" i="38"/>
  <c r="C36" i="38"/>
  <c r="A36" i="38"/>
  <c r="C35" i="38"/>
  <c r="D15" i="11" s="1"/>
  <c r="A35" i="38"/>
  <c r="C34" i="38"/>
  <c r="A34" i="38"/>
  <c r="C33" i="38"/>
  <c r="A33" i="38"/>
  <c r="A32" i="38"/>
  <c r="C31" i="38"/>
  <c r="A31" i="38"/>
  <c r="C30" i="38"/>
  <c r="A30" i="38"/>
  <c r="C29" i="38"/>
  <c r="A29" i="38"/>
  <c r="C28" i="38"/>
  <c r="A28" i="38"/>
  <c r="C27" i="38"/>
  <c r="A27" i="38"/>
  <c r="C26" i="38"/>
  <c r="A26" i="38"/>
  <c r="C25" i="38"/>
  <c r="A25" i="38"/>
  <c r="C24" i="38"/>
  <c r="A24" i="38"/>
  <c r="C23" i="38"/>
  <c r="A23" i="38"/>
  <c r="C22" i="38"/>
  <c r="A22" i="38"/>
  <c r="C21" i="38"/>
  <c r="A21" i="38"/>
  <c r="C20" i="38"/>
  <c r="A20" i="38"/>
  <c r="C18" i="38"/>
  <c r="A18" i="38"/>
  <c r="C17" i="38"/>
  <c r="A17" i="38"/>
  <c r="A16" i="38"/>
  <c r="A15" i="38"/>
  <c r="A14" i="38"/>
  <c r="C13" i="38"/>
  <c r="A13" i="38"/>
  <c r="C12" i="38"/>
  <c r="A12" i="38"/>
  <c r="C11" i="38"/>
  <c r="A11" i="38"/>
  <c r="C10" i="38"/>
  <c r="A10" i="38"/>
  <c r="C9" i="38"/>
  <c r="A9" i="38"/>
  <c r="C8" i="38"/>
  <c r="A8" i="38"/>
  <c r="C7" i="38"/>
  <c r="A7" i="38"/>
  <c r="A6" i="38"/>
  <c r="F15" i="11" l="1"/>
  <c r="G57" i="12" s="1"/>
  <c r="D14" i="11"/>
  <c r="D13" i="18"/>
  <c r="D16" i="18"/>
  <c r="D12" i="18"/>
  <c r="D12" i="11"/>
  <c r="D13" i="11"/>
  <c r="D16" i="11"/>
  <c r="F15" i="18"/>
  <c r="H59" i="17" s="1"/>
  <c r="D14" i="18"/>
  <c r="J26" i="37"/>
  <c r="J26" i="53"/>
  <c r="J54" i="53"/>
  <c r="J54" i="37"/>
  <c r="J98" i="37"/>
  <c r="G87" i="4" s="1"/>
  <c r="J98" i="53"/>
  <c r="J108" i="37"/>
  <c r="G81" i="4" s="1"/>
  <c r="J108" i="53"/>
  <c r="J30" i="37"/>
  <c r="J30" i="53"/>
  <c r="J36" i="37"/>
  <c r="J36" i="53"/>
  <c r="J65" i="37"/>
  <c r="J65" i="53"/>
  <c r="J88" i="37"/>
  <c r="G84" i="4" s="1"/>
  <c r="J88" i="53"/>
  <c r="J99" i="37"/>
  <c r="G88" i="4" s="1"/>
  <c r="J99" i="53"/>
  <c r="J105" i="53"/>
  <c r="J105" i="37"/>
  <c r="G103" i="4" s="1"/>
  <c r="J34" i="37"/>
  <c r="J34" i="53"/>
  <c r="J83" i="37"/>
  <c r="G83" i="4" s="1"/>
  <c r="J83" i="53"/>
  <c r="J104" i="37"/>
  <c r="G102" i="4" s="1"/>
  <c r="J104" i="53"/>
  <c r="J32" i="37"/>
  <c r="J32" i="53"/>
  <c r="J67" i="37"/>
  <c r="J67" i="53"/>
  <c r="J100" i="37"/>
  <c r="G100" i="4" s="1"/>
  <c r="J100" i="53"/>
  <c r="J106" i="37"/>
  <c r="G79" i="4" s="1"/>
  <c r="J106" i="53"/>
  <c r="J44" i="37"/>
  <c r="J44" i="53"/>
  <c r="J94" i="37"/>
  <c r="G85" i="4" s="1"/>
  <c r="J94" i="53"/>
  <c r="J12" i="53"/>
  <c r="J12" i="37"/>
  <c r="J33" i="37"/>
  <c r="J33" i="53"/>
  <c r="J47" i="37"/>
  <c r="J47" i="53"/>
  <c r="J81" i="53"/>
  <c r="J81" i="37"/>
  <c r="J97" i="53"/>
  <c r="J97" i="37"/>
  <c r="J102" i="37"/>
  <c r="G101" i="4" s="1"/>
  <c r="J102" i="53"/>
  <c r="J107" i="37"/>
  <c r="G80" i="4" s="1"/>
  <c r="J107" i="53"/>
  <c r="P85" i="37"/>
  <c r="D93" i="37"/>
  <c r="H96" i="37"/>
  <c r="P103" i="37"/>
  <c r="F110" i="37"/>
  <c r="F87" i="37"/>
  <c r="F101" i="37"/>
  <c r="P90" i="37"/>
  <c r="P109" i="37"/>
  <c r="W101" i="37"/>
  <c r="H109" i="37"/>
  <c r="F82" i="37"/>
  <c r="F92" i="37"/>
  <c r="W60" i="37"/>
  <c r="D60" i="37"/>
  <c r="W55" i="37"/>
  <c r="W59" i="37"/>
  <c r="D59" i="37"/>
  <c r="D61" i="37"/>
  <c r="W57" i="37"/>
  <c r="W61" i="37"/>
  <c r="D55" i="37"/>
  <c r="D58" i="37"/>
  <c r="D56" i="37"/>
  <c r="W56" i="37"/>
  <c r="D57" i="37"/>
  <c r="W58" i="37"/>
  <c r="W84" i="37"/>
  <c r="D89" i="37"/>
  <c r="W103" i="37"/>
  <c r="F60" i="37"/>
  <c r="F61" i="37"/>
  <c r="H60" i="37"/>
  <c r="W98" i="37"/>
  <c r="H82" i="37"/>
  <c r="F84" i="37"/>
  <c r="D85" i="37"/>
  <c r="W85" i="37"/>
  <c r="P86" i="37"/>
  <c r="H87" i="37"/>
  <c r="F89" i="37"/>
  <c r="D90" i="37"/>
  <c r="W90" i="37"/>
  <c r="P91" i="37"/>
  <c r="H92" i="37"/>
  <c r="L92" i="37" s="1"/>
  <c r="F93" i="37"/>
  <c r="D95" i="37"/>
  <c r="W95" i="37"/>
  <c r="P96" i="37"/>
  <c r="H101" i="37"/>
  <c r="F103" i="37"/>
  <c r="D109" i="37"/>
  <c r="W109" i="37"/>
  <c r="P110" i="37"/>
  <c r="P60" i="37"/>
  <c r="P59" i="37"/>
  <c r="P57" i="37"/>
  <c r="P61" i="37"/>
  <c r="P56" i="37"/>
  <c r="P58" i="37"/>
  <c r="P55" i="37"/>
  <c r="D84" i="37"/>
  <c r="H86" i="37"/>
  <c r="W89" i="37"/>
  <c r="H91" i="37"/>
  <c r="W93" i="37"/>
  <c r="D103" i="37"/>
  <c r="H110" i="37"/>
  <c r="P105" i="37"/>
  <c r="P82" i="37"/>
  <c r="H84" i="37"/>
  <c r="F85" i="37"/>
  <c r="D86" i="37"/>
  <c r="W86" i="37"/>
  <c r="P87" i="37"/>
  <c r="H89" i="37"/>
  <c r="F90" i="37"/>
  <c r="D91" i="37"/>
  <c r="W91" i="37"/>
  <c r="P92" i="37"/>
  <c r="H93" i="37"/>
  <c r="F95" i="37"/>
  <c r="D96" i="37"/>
  <c r="W96" i="37"/>
  <c r="P101" i="37"/>
  <c r="H103" i="37"/>
  <c r="F109" i="37"/>
  <c r="D110" i="37"/>
  <c r="W110" i="37"/>
  <c r="W88" i="37"/>
  <c r="P99" i="37"/>
  <c r="P94" i="37"/>
  <c r="F100" i="37"/>
  <c r="F106" i="37"/>
  <c r="D82" i="37"/>
  <c r="W82" i="37"/>
  <c r="P84" i="37"/>
  <c r="H85" i="37"/>
  <c r="F86" i="37"/>
  <c r="D87" i="37"/>
  <c r="W87" i="37"/>
  <c r="P89" i="37"/>
  <c r="H90" i="37"/>
  <c r="F91" i="37"/>
  <c r="D92" i="37"/>
  <c r="W92" i="37"/>
  <c r="P93" i="37"/>
  <c r="H95" i="37"/>
  <c r="F96" i="37"/>
  <c r="D101" i="37"/>
  <c r="T71" i="37"/>
  <c r="T116" i="37" s="1"/>
  <c r="P67" i="37"/>
  <c r="H94" i="37"/>
  <c r="H100" i="37"/>
  <c r="F105" i="37"/>
  <c r="W94" i="37"/>
  <c r="W100" i="37"/>
  <c r="W106" i="37"/>
  <c r="H88" i="37"/>
  <c r="F99" i="37"/>
  <c r="F88" i="37"/>
  <c r="D106" i="37"/>
  <c r="G86" i="4"/>
  <c r="D94" i="37"/>
  <c r="D100" i="37"/>
  <c r="H106" i="37"/>
  <c r="H24" i="37"/>
  <c r="H35" i="37"/>
  <c r="H45" i="37"/>
  <c r="H12" i="37"/>
  <c r="H25" i="37"/>
  <c r="H46" i="37"/>
  <c r="H51" i="37"/>
  <c r="H48" i="37"/>
  <c r="H53" i="37"/>
  <c r="H50" i="37"/>
  <c r="H30" i="37"/>
  <c r="H20" i="37"/>
  <c r="H31" i="37"/>
  <c r="H49" i="37"/>
  <c r="F26" i="37"/>
  <c r="F31" i="37"/>
  <c r="F46" i="37"/>
  <c r="F52" i="37"/>
  <c r="F50" i="37"/>
  <c r="F53" i="37"/>
  <c r="F35" i="37"/>
  <c r="F20" i="37"/>
  <c r="F25" i="37"/>
  <c r="F45" i="37"/>
  <c r="F48" i="37"/>
  <c r="P35" i="37"/>
  <c r="P44" i="37"/>
  <c r="P66" i="37"/>
  <c r="P25" i="37"/>
  <c r="P34" i="37"/>
  <c r="P48" i="37"/>
  <c r="P50" i="37"/>
  <c r="P65" i="37"/>
  <c r="P24" i="37"/>
  <c r="P31" i="37"/>
  <c r="P36" i="37"/>
  <c r="P46" i="37"/>
  <c r="P52" i="37"/>
  <c r="P20" i="37"/>
  <c r="P30" i="37"/>
  <c r="P32" i="37"/>
  <c r="P45" i="37"/>
  <c r="P53" i="37"/>
  <c r="D31" i="37"/>
  <c r="W31" i="37"/>
  <c r="W36" i="37"/>
  <c r="W52" i="37"/>
  <c r="W44" i="37"/>
  <c r="D45" i="37"/>
  <c r="W45" i="37"/>
  <c r="W51" i="37"/>
  <c r="D20" i="37"/>
  <c r="W20" i="37"/>
  <c r="D35" i="37"/>
  <c r="W35" i="37"/>
  <c r="D46" i="37"/>
  <c r="W46" i="37"/>
  <c r="D50" i="37"/>
  <c r="W50" i="37"/>
  <c r="D24" i="37"/>
  <c r="W24" i="37"/>
  <c r="W33" i="37"/>
  <c r="D48" i="37"/>
  <c r="W48" i="37"/>
  <c r="D51" i="37"/>
  <c r="W12" i="37"/>
  <c r="D25" i="37"/>
  <c r="W25" i="37"/>
  <c r="D49" i="37"/>
  <c r="D53" i="37"/>
  <c r="W53" i="37"/>
  <c r="D66" i="37"/>
  <c r="W66" i="37"/>
  <c r="W32" i="37"/>
  <c r="D32" i="37"/>
  <c r="P47" i="37"/>
  <c r="D47" i="37"/>
  <c r="W47" i="37"/>
  <c r="W54" i="37"/>
  <c r="D54" i="37"/>
  <c r="P54" i="37"/>
  <c r="H81" i="37"/>
  <c r="W81" i="37"/>
  <c r="D81" i="37"/>
  <c r="P81" i="37"/>
  <c r="F81" i="37"/>
  <c r="W97" i="37"/>
  <c r="D97" i="37"/>
  <c r="H97" i="37"/>
  <c r="F97" i="37"/>
  <c r="P97" i="37"/>
  <c r="W102" i="37"/>
  <c r="H102" i="37"/>
  <c r="P102" i="37"/>
  <c r="D102" i="37"/>
  <c r="W107" i="37"/>
  <c r="D107" i="37"/>
  <c r="H107" i="37"/>
  <c r="P107" i="37"/>
  <c r="F107" i="37"/>
  <c r="F102" i="37"/>
  <c r="P33" i="37"/>
  <c r="F33" i="37"/>
  <c r="P49" i="37"/>
  <c r="F49" i="37"/>
  <c r="D83" i="37"/>
  <c r="P83" i="37"/>
  <c r="P98" i="37"/>
  <c r="F98" i="37"/>
  <c r="P104" i="37"/>
  <c r="D104" i="37"/>
  <c r="W108" i="37"/>
  <c r="H108" i="37"/>
  <c r="D33" i="37"/>
  <c r="W49" i="37"/>
  <c r="F83" i="37"/>
  <c r="D98" i="37"/>
  <c r="H104" i="37"/>
  <c r="W26" i="37"/>
  <c r="D26" i="37"/>
  <c r="W34" i="37"/>
  <c r="D34" i="37"/>
  <c r="P51" i="37"/>
  <c r="W65" i="37"/>
  <c r="D65" i="37"/>
  <c r="H65" i="37"/>
  <c r="D88" i="37"/>
  <c r="P88" i="37"/>
  <c r="H99" i="37"/>
  <c r="W99" i="37"/>
  <c r="D99" i="37"/>
  <c r="H105" i="37"/>
  <c r="W105" i="37"/>
  <c r="D105" i="37"/>
  <c r="F12" i="37"/>
  <c r="P26" i="37"/>
  <c r="H33" i="37"/>
  <c r="W83" i="37"/>
  <c r="H98" i="37"/>
  <c r="W104" i="37"/>
  <c r="D108" i="37"/>
  <c r="F108" i="37"/>
  <c r="F104" i="37"/>
  <c r="P108" i="37"/>
  <c r="D30" i="37"/>
  <c r="W30" i="37"/>
  <c r="H36" i="37"/>
  <c r="H44" i="37"/>
  <c r="H52" i="37"/>
  <c r="D67" i="37"/>
  <c r="W67" i="37"/>
  <c r="F94" i="37"/>
  <c r="P100" i="37"/>
  <c r="P106" i="37"/>
  <c r="D36" i="37"/>
  <c r="D44" i="37"/>
  <c r="D52" i="37"/>
  <c r="H83" i="37"/>
  <c r="L11" i="37"/>
  <c r="N11" i="37" s="1"/>
  <c r="D12" i="37"/>
  <c r="P12" i="37"/>
  <c r="F14" i="18" l="1"/>
  <c r="U17" i="66" s="1"/>
  <c r="L110" i="37"/>
  <c r="N110" i="37" s="1"/>
  <c r="R110" i="37" s="1"/>
  <c r="L90" i="37"/>
  <c r="N90" i="37" s="1"/>
  <c r="R90" i="37" s="1"/>
  <c r="J111" i="37"/>
  <c r="J114" i="37" s="1"/>
  <c r="J62" i="37"/>
  <c r="G86" i="5"/>
  <c r="L97" i="53"/>
  <c r="N97" i="53" s="1"/>
  <c r="Z97" i="53" s="1"/>
  <c r="J62" i="53"/>
  <c r="G19" i="5"/>
  <c r="L44" i="53"/>
  <c r="L100" i="53"/>
  <c r="N100" i="53" s="1"/>
  <c r="Z100" i="53" s="1"/>
  <c r="G100" i="5"/>
  <c r="G71" i="5"/>
  <c r="L32" i="53"/>
  <c r="N32" i="53" s="1"/>
  <c r="Z32" i="53" s="1"/>
  <c r="G83" i="5"/>
  <c r="L83" i="53"/>
  <c r="N83" i="53" s="1"/>
  <c r="Z83" i="53" s="1"/>
  <c r="G84" i="5"/>
  <c r="L88" i="53"/>
  <c r="N88" i="53" s="1"/>
  <c r="Z88" i="53" s="1"/>
  <c r="G74" i="5"/>
  <c r="L36" i="53"/>
  <c r="N36" i="53" s="1"/>
  <c r="Z36" i="53" s="1"/>
  <c r="G81" i="5"/>
  <c r="H81" i="5" s="1"/>
  <c r="L108" i="53"/>
  <c r="N108" i="53" s="1"/>
  <c r="Z108" i="53" s="1"/>
  <c r="G40" i="5"/>
  <c r="L12" i="53"/>
  <c r="G103" i="5"/>
  <c r="L105" i="53"/>
  <c r="N105" i="53" s="1"/>
  <c r="Z105" i="53" s="1"/>
  <c r="G21" i="5"/>
  <c r="L54" i="53"/>
  <c r="N54" i="53" s="1"/>
  <c r="Z54" i="53" s="1"/>
  <c r="G82" i="4"/>
  <c r="G104" i="4" s="1"/>
  <c r="L81" i="53"/>
  <c r="G82" i="5"/>
  <c r="J111" i="53"/>
  <c r="J114" i="53" s="1"/>
  <c r="G85" i="5"/>
  <c r="L94" i="53"/>
  <c r="N94" i="53" s="1"/>
  <c r="Z94" i="53" s="1"/>
  <c r="G79" i="5"/>
  <c r="L106" i="53"/>
  <c r="N106" i="53" s="1"/>
  <c r="Z106" i="53" s="1"/>
  <c r="G36" i="5"/>
  <c r="L67" i="53"/>
  <c r="N67" i="53" s="1"/>
  <c r="Z67" i="53" s="1"/>
  <c r="G102" i="5"/>
  <c r="L104" i="53"/>
  <c r="N104" i="53" s="1"/>
  <c r="Z104" i="53" s="1"/>
  <c r="G73" i="5"/>
  <c r="L34" i="53"/>
  <c r="G88" i="5"/>
  <c r="L99" i="53"/>
  <c r="N99" i="53" s="1"/>
  <c r="Z99" i="53" s="1"/>
  <c r="J68" i="53"/>
  <c r="L65" i="53"/>
  <c r="G34" i="5"/>
  <c r="J37" i="53"/>
  <c r="L30" i="53"/>
  <c r="N30" i="53" s="1"/>
  <c r="Z30" i="53" s="1"/>
  <c r="G69" i="5"/>
  <c r="L98" i="53"/>
  <c r="N98" i="53" s="1"/>
  <c r="Z98" i="53" s="1"/>
  <c r="G87" i="5"/>
  <c r="G62" i="5"/>
  <c r="L26" i="53"/>
  <c r="N26" i="53" s="1"/>
  <c r="Z26" i="53" s="1"/>
  <c r="G101" i="5"/>
  <c r="L102" i="53"/>
  <c r="N102" i="53" s="1"/>
  <c r="Z102" i="53" s="1"/>
  <c r="G72" i="5"/>
  <c r="H72" i="5" s="1"/>
  <c r="L33" i="53"/>
  <c r="N33" i="53" s="1"/>
  <c r="Z33" i="53" s="1"/>
  <c r="G80" i="5"/>
  <c r="L107" i="53"/>
  <c r="N107" i="53" s="1"/>
  <c r="Z107" i="53" s="1"/>
  <c r="L47" i="53"/>
  <c r="N47" i="53" s="1"/>
  <c r="Z47" i="53" s="1"/>
  <c r="G20" i="5"/>
  <c r="J68" i="37"/>
  <c r="J37" i="37"/>
  <c r="L86" i="37"/>
  <c r="N86" i="37" s="1"/>
  <c r="L96" i="37"/>
  <c r="N96" i="37" s="1"/>
  <c r="R96" i="37" s="1"/>
  <c r="L91" i="37"/>
  <c r="N91" i="37" s="1"/>
  <c r="R91" i="37" s="1"/>
  <c r="L89" i="37"/>
  <c r="N89" i="37" s="1"/>
  <c r="R89" i="37" s="1"/>
  <c r="L87" i="37"/>
  <c r="N87" i="37" s="1"/>
  <c r="X87" i="37" s="1"/>
  <c r="L82" i="37"/>
  <c r="N82" i="37" s="1"/>
  <c r="R82" i="37" s="1"/>
  <c r="L95" i="37"/>
  <c r="N95" i="37" s="1"/>
  <c r="X95" i="37" s="1"/>
  <c r="L84" i="37"/>
  <c r="N84" i="37" s="1"/>
  <c r="R84" i="37" s="1"/>
  <c r="L103" i="37"/>
  <c r="N103" i="37" s="1"/>
  <c r="R103" i="37" s="1"/>
  <c r="L109" i="37"/>
  <c r="N109" i="37" s="1"/>
  <c r="R109" i="37" s="1"/>
  <c r="L101" i="37"/>
  <c r="N101" i="37" s="1"/>
  <c r="R101" i="37" s="1"/>
  <c r="L85" i="37"/>
  <c r="N85" i="37" s="1"/>
  <c r="L93" i="37"/>
  <c r="N93" i="37" s="1"/>
  <c r="R93" i="37" s="1"/>
  <c r="L60" i="37"/>
  <c r="N60" i="37" s="1"/>
  <c r="R60" i="37" s="1"/>
  <c r="N92" i="37"/>
  <c r="R92" i="37" s="1"/>
  <c r="F83" i="4"/>
  <c r="F103" i="4"/>
  <c r="F76" i="5"/>
  <c r="E84" i="4"/>
  <c r="F85" i="4"/>
  <c r="E102" i="4"/>
  <c r="F87" i="4"/>
  <c r="F102" i="4"/>
  <c r="F80" i="4"/>
  <c r="E86" i="4"/>
  <c r="E82" i="4"/>
  <c r="F82" i="4"/>
  <c r="E79" i="4"/>
  <c r="E88" i="4"/>
  <c r="E85" i="4"/>
  <c r="F79" i="4"/>
  <c r="E81" i="4"/>
  <c r="F81" i="4"/>
  <c r="E87" i="4"/>
  <c r="E101" i="4"/>
  <c r="F101" i="4"/>
  <c r="F86" i="4"/>
  <c r="F84" i="4"/>
  <c r="E103" i="4"/>
  <c r="F88" i="4"/>
  <c r="E83" i="4"/>
  <c r="E80" i="4"/>
  <c r="H22" i="5"/>
  <c r="E100" i="4"/>
  <c r="F100" i="4"/>
  <c r="D101" i="4"/>
  <c r="D100" i="4"/>
  <c r="D103" i="4"/>
  <c r="D87" i="4"/>
  <c r="D80" i="4"/>
  <c r="D85" i="4"/>
  <c r="D79" i="4"/>
  <c r="D102" i="4"/>
  <c r="D88" i="4"/>
  <c r="D84" i="4"/>
  <c r="D83" i="4"/>
  <c r="D76" i="5"/>
  <c r="D81" i="4"/>
  <c r="D37" i="5"/>
  <c r="D86" i="4"/>
  <c r="D82" i="4"/>
  <c r="D68" i="37"/>
  <c r="D37" i="37"/>
  <c r="D62" i="37"/>
  <c r="L100" i="37"/>
  <c r="N100" i="37" s="1"/>
  <c r="L88" i="37"/>
  <c r="N88" i="37" s="1"/>
  <c r="R88" i="37" s="1"/>
  <c r="L106" i="37"/>
  <c r="N106" i="37" s="1"/>
  <c r="R106" i="37" s="1"/>
  <c r="L45" i="37"/>
  <c r="N45" i="37" s="1"/>
  <c r="R45" i="37" s="1"/>
  <c r="P37" i="37"/>
  <c r="V37" i="37" s="1"/>
  <c r="P68" i="37"/>
  <c r="L53" i="37"/>
  <c r="N53" i="37" s="1"/>
  <c r="R53" i="37" s="1"/>
  <c r="L31" i="37"/>
  <c r="N31" i="37" s="1"/>
  <c r="X31" i="37" s="1"/>
  <c r="L35" i="37"/>
  <c r="N35" i="37" s="1"/>
  <c r="R35" i="37" s="1"/>
  <c r="L46" i="37"/>
  <c r="N46" i="37" s="1"/>
  <c r="X46" i="37" s="1"/>
  <c r="L105" i="37"/>
  <c r="N105" i="37" s="1"/>
  <c r="R105" i="37" s="1"/>
  <c r="H111" i="37"/>
  <c r="H114" i="37" s="1"/>
  <c r="L48" i="37"/>
  <c r="N48" i="37" s="1"/>
  <c r="R48" i="37" s="1"/>
  <c r="L25" i="37"/>
  <c r="N25" i="37" s="1"/>
  <c r="X25" i="37" s="1"/>
  <c r="L104" i="37"/>
  <c r="N104" i="37" s="1"/>
  <c r="L81" i="37"/>
  <c r="N81" i="37" s="1"/>
  <c r="L12" i="37"/>
  <c r="N12" i="37" s="1"/>
  <c r="R12" i="37" s="1"/>
  <c r="L20" i="37"/>
  <c r="N20" i="37" s="1"/>
  <c r="X20" i="37" s="1"/>
  <c r="L52" i="37"/>
  <c r="N52" i="37" s="1"/>
  <c r="L49" i="37"/>
  <c r="N49" i="37" s="1"/>
  <c r="X49" i="37" s="1"/>
  <c r="L50" i="37"/>
  <c r="N50" i="37" s="1"/>
  <c r="X50" i="37" s="1"/>
  <c r="P62" i="37"/>
  <c r="V62" i="37" s="1"/>
  <c r="L83" i="37"/>
  <c r="N83" i="37" s="1"/>
  <c r="X83" i="37" s="1"/>
  <c r="L108" i="37"/>
  <c r="N108" i="37" s="1"/>
  <c r="R108" i="37" s="1"/>
  <c r="L98" i="37"/>
  <c r="N98" i="37" s="1"/>
  <c r="R98" i="37" s="1"/>
  <c r="L102" i="37"/>
  <c r="N102" i="37" s="1"/>
  <c r="R102" i="37" s="1"/>
  <c r="L94" i="37"/>
  <c r="N94" i="37" s="1"/>
  <c r="R94" i="37" s="1"/>
  <c r="L99" i="37"/>
  <c r="N99" i="37" s="1"/>
  <c r="R99" i="37" s="1"/>
  <c r="P111" i="37"/>
  <c r="L97" i="37"/>
  <c r="N97" i="37" s="1"/>
  <c r="X97" i="37" s="1"/>
  <c r="L107" i="37"/>
  <c r="N107" i="37" s="1"/>
  <c r="R107" i="37" s="1"/>
  <c r="F111" i="37"/>
  <c r="T94" i="37" s="1"/>
  <c r="V94" i="37" s="1"/>
  <c r="L33" i="37"/>
  <c r="N33" i="37" s="1"/>
  <c r="R33" i="37" s="1"/>
  <c r="D111" i="37"/>
  <c r="D114" i="37" s="1"/>
  <c r="R11" i="37"/>
  <c r="X11" i="37"/>
  <c r="H43" i="17" l="1"/>
  <c r="G37" i="5"/>
  <c r="G76" i="5"/>
  <c r="N44" i="53"/>
  <c r="L62" i="53"/>
  <c r="G104" i="5"/>
  <c r="N65" i="53"/>
  <c r="L68" i="53"/>
  <c r="L37" i="53"/>
  <c r="N34" i="53"/>
  <c r="N81" i="53"/>
  <c r="L111" i="53"/>
  <c r="L114" i="53" s="1"/>
  <c r="H40" i="5"/>
  <c r="N12" i="53"/>
  <c r="G31" i="5"/>
  <c r="R86" i="37"/>
  <c r="X86" i="37"/>
  <c r="H86" i="5"/>
  <c r="X93" i="37"/>
  <c r="X96" i="37"/>
  <c r="H83" i="4"/>
  <c r="D83" i="12" s="1"/>
  <c r="F83" i="12" s="1"/>
  <c r="H83" i="12" s="1"/>
  <c r="D87" i="55" s="1"/>
  <c r="G87" i="55" s="1"/>
  <c r="X85" i="37"/>
  <c r="R85" i="37"/>
  <c r="H103" i="5"/>
  <c r="H82" i="5"/>
  <c r="H83" i="5"/>
  <c r="H86" i="4"/>
  <c r="D86" i="12" s="1"/>
  <c r="F86" i="12" s="1"/>
  <c r="H86" i="12" s="1"/>
  <c r="D90" i="55" s="1"/>
  <c r="G90" i="55" s="1"/>
  <c r="H87" i="5"/>
  <c r="H101" i="5"/>
  <c r="H24" i="5"/>
  <c r="H23" i="5"/>
  <c r="X91" i="37"/>
  <c r="H84" i="4"/>
  <c r="D84" i="12" s="1"/>
  <c r="F84" i="12" s="1"/>
  <c r="H84" i="12" s="1"/>
  <c r="D88" i="55" s="1"/>
  <c r="G88" i="55" s="1"/>
  <c r="X60" i="37"/>
  <c r="R87" i="37"/>
  <c r="H85" i="4"/>
  <c r="D85" i="12" s="1"/>
  <c r="D87" i="17" s="1"/>
  <c r="H80" i="4"/>
  <c r="D80" i="12" s="1"/>
  <c r="D82" i="17" s="1"/>
  <c r="F104" i="4"/>
  <c r="E104" i="4"/>
  <c r="H88" i="5"/>
  <c r="H103" i="4"/>
  <c r="D103" i="12" s="1"/>
  <c r="D106" i="17" s="1"/>
  <c r="H88" i="4"/>
  <c r="D88" i="12" s="1"/>
  <c r="D90" i="17" s="1"/>
  <c r="H100" i="5"/>
  <c r="X109" i="37"/>
  <c r="H81" i="4"/>
  <c r="D81" i="12" s="1"/>
  <c r="D83" i="17" s="1"/>
  <c r="H102" i="5"/>
  <c r="H87" i="4"/>
  <c r="D87" i="12" s="1"/>
  <c r="D89" i="17" s="1"/>
  <c r="H100" i="4"/>
  <c r="D100" i="12" s="1"/>
  <c r="E104" i="5"/>
  <c r="X82" i="37"/>
  <c r="X101" i="37"/>
  <c r="R95" i="37"/>
  <c r="X92" i="37"/>
  <c r="X103" i="37"/>
  <c r="X89" i="37"/>
  <c r="X90" i="37"/>
  <c r="X110" i="37"/>
  <c r="X84" i="37"/>
  <c r="H102" i="4"/>
  <c r="D102" i="12" s="1"/>
  <c r="D105" i="17" s="1"/>
  <c r="G87" i="44"/>
  <c r="I87" i="44" s="1"/>
  <c r="E89" i="57" s="1"/>
  <c r="E87" i="17"/>
  <c r="G87" i="17" s="1"/>
  <c r="I87" i="17" s="1"/>
  <c r="E89" i="55" s="1"/>
  <c r="H84" i="5"/>
  <c r="D104" i="4"/>
  <c r="H101" i="4"/>
  <c r="D101" i="12" s="1"/>
  <c r="D104" i="17" s="1"/>
  <c r="H82" i="4"/>
  <c r="D82" i="12" s="1"/>
  <c r="F82" i="12" s="1"/>
  <c r="H82" i="12" s="1"/>
  <c r="D86" i="55" s="1"/>
  <c r="G86" i="55" s="1"/>
  <c r="H85" i="5"/>
  <c r="H80" i="5"/>
  <c r="F104" i="5"/>
  <c r="H79" i="4"/>
  <c r="D104" i="5"/>
  <c r="H79" i="5"/>
  <c r="D31" i="5"/>
  <c r="V68" i="37"/>
  <c r="X100" i="37"/>
  <c r="R100" i="37"/>
  <c r="X106" i="37"/>
  <c r="X35" i="37"/>
  <c r="X45" i="37"/>
  <c r="R20" i="37"/>
  <c r="R46" i="37"/>
  <c r="X33" i="37"/>
  <c r="R50" i="37"/>
  <c r="R104" i="37"/>
  <c r="X104" i="37"/>
  <c r="R52" i="37"/>
  <c r="X52" i="37"/>
  <c r="R31" i="37"/>
  <c r="X53" i="37"/>
  <c r="X48" i="37"/>
  <c r="R83" i="37"/>
  <c r="X107" i="37"/>
  <c r="X94" i="37"/>
  <c r="X108" i="37"/>
  <c r="R25" i="37"/>
  <c r="X88" i="37"/>
  <c r="X105" i="37"/>
  <c r="R49" i="37"/>
  <c r="G51" i="15"/>
  <c r="D51" i="15"/>
  <c r="X99" i="37"/>
  <c r="X98" i="37"/>
  <c r="R97" i="37"/>
  <c r="T107" i="37"/>
  <c r="V107" i="37" s="1"/>
  <c r="F114" i="37"/>
  <c r="T87" i="37"/>
  <c r="V87" i="37" s="1"/>
  <c r="T99" i="37"/>
  <c r="V99" i="37" s="1"/>
  <c r="T95" i="37"/>
  <c r="V95" i="37" s="1"/>
  <c r="T89" i="37"/>
  <c r="V89" i="37" s="1"/>
  <c r="T105" i="37"/>
  <c r="V105" i="37" s="1"/>
  <c r="T90" i="37"/>
  <c r="V90" i="37" s="1"/>
  <c r="T106" i="37"/>
  <c r="V106" i="37" s="1"/>
  <c r="T92" i="37"/>
  <c r="V92" i="37" s="1"/>
  <c r="T100" i="37"/>
  <c r="V100" i="37" s="1"/>
  <c r="T85" i="37"/>
  <c r="V85" i="37" s="1"/>
  <c r="T101" i="37"/>
  <c r="V101" i="37" s="1"/>
  <c r="T86" i="37"/>
  <c r="V86" i="37" s="1"/>
  <c r="T102" i="37"/>
  <c r="V102" i="37" s="1"/>
  <c r="T88" i="37"/>
  <c r="V88" i="37" s="1"/>
  <c r="T104" i="37"/>
  <c r="V104" i="37" s="1"/>
  <c r="T91" i="37"/>
  <c r="V91" i="37" s="1"/>
  <c r="T93" i="37"/>
  <c r="V93" i="37" s="1"/>
  <c r="T109" i="37"/>
  <c r="V109" i="37" s="1"/>
  <c r="T110" i="37"/>
  <c r="V110" i="37" s="1"/>
  <c r="T96" i="37"/>
  <c r="V96" i="37" s="1"/>
  <c r="T81" i="37"/>
  <c r="V81" i="37" s="1"/>
  <c r="T97" i="37"/>
  <c r="V97" i="37" s="1"/>
  <c r="T82" i="37"/>
  <c r="V82" i="37" s="1"/>
  <c r="T84" i="37"/>
  <c r="V84" i="37" s="1"/>
  <c r="T103" i="37"/>
  <c r="V103" i="37" s="1"/>
  <c r="T98" i="37"/>
  <c r="V98" i="37" s="1"/>
  <c r="L111" i="37"/>
  <c r="L114" i="37" s="1"/>
  <c r="X102" i="37"/>
  <c r="T108" i="37"/>
  <c r="V108" i="37" s="1"/>
  <c r="P114" i="37"/>
  <c r="V111" i="37"/>
  <c r="V114" i="37" s="1"/>
  <c r="T83" i="37"/>
  <c r="V83" i="37" s="1"/>
  <c r="R81" i="37"/>
  <c r="N111" i="37"/>
  <c r="N114" i="37" s="1"/>
  <c r="X81" i="37"/>
  <c r="X12" i="37"/>
  <c r="D88" i="17" l="1"/>
  <c r="Z81" i="53"/>
  <c r="N111" i="53"/>
  <c r="N114" i="53" s="1"/>
  <c r="Z65" i="53"/>
  <c r="N68" i="53"/>
  <c r="Z12" i="53"/>
  <c r="N37" i="53"/>
  <c r="Z34" i="53"/>
  <c r="Z44" i="53"/>
  <c r="N62" i="53"/>
  <c r="F100" i="12"/>
  <c r="H100" i="12" s="1"/>
  <c r="D93" i="55" s="1"/>
  <c r="G93" i="55" s="1"/>
  <c r="D103" i="17"/>
  <c r="F85" i="12"/>
  <c r="H85" i="12" s="1"/>
  <c r="D89" i="55" s="1"/>
  <c r="G89" i="55" s="1"/>
  <c r="D86" i="17"/>
  <c r="D85" i="17"/>
  <c r="F80" i="12"/>
  <c r="H80" i="12" s="1"/>
  <c r="D84" i="55" s="1"/>
  <c r="G84" i="55" s="1"/>
  <c r="F81" i="12"/>
  <c r="H81" i="12" s="1"/>
  <c r="D85" i="55" s="1"/>
  <c r="G85" i="55" s="1"/>
  <c r="F87" i="12"/>
  <c r="H87" i="12" s="1"/>
  <c r="D91" i="55" s="1"/>
  <c r="G91" i="55" s="1"/>
  <c r="F103" i="12"/>
  <c r="H103" i="12" s="1"/>
  <c r="D96" i="55" s="1"/>
  <c r="G96" i="55" s="1"/>
  <c r="F88" i="12"/>
  <c r="H88" i="12" s="1"/>
  <c r="D92" i="55" s="1"/>
  <c r="G92" i="55" s="1"/>
  <c r="F102" i="12"/>
  <c r="H102" i="12" s="1"/>
  <c r="D95" i="55" s="1"/>
  <c r="G95" i="55" s="1"/>
  <c r="H104" i="4"/>
  <c r="D84" i="17"/>
  <c r="G83" i="44"/>
  <c r="I83" i="44" s="1"/>
  <c r="E85" i="57" s="1"/>
  <c r="E83" i="17"/>
  <c r="G83" i="17" s="1"/>
  <c r="I83" i="17" s="1"/>
  <c r="E85" i="55" s="1"/>
  <c r="G84" i="44"/>
  <c r="I84" i="44" s="1"/>
  <c r="E86" i="57" s="1"/>
  <c r="E84" i="17"/>
  <c r="G84" i="17" s="1"/>
  <c r="I84" i="17" s="1"/>
  <c r="E86" i="55" s="1"/>
  <c r="G104" i="44"/>
  <c r="I104" i="44" s="1"/>
  <c r="E94" i="57" s="1"/>
  <c r="E104" i="17"/>
  <c r="G104" i="17" s="1"/>
  <c r="I104" i="17" s="1"/>
  <c r="E94" i="55" s="1"/>
  <c r="G103" i="44"/>
  <c r="I103" i="44" s="1"/>
  <c r="E93" i="57" s="1"/>
  <c r="E103" i="17"/>
  <c r="G103" i="17" s="1"/>
  <c r="G106" i="44"/>
  <c r="I106" i="44" s="1"/>
  <c r="E96" i="57" s="1"/>
  <c r="E106" i="17"/>
  <c r="G106" i="17" s="1"/>
  <c r="I106" i="17" s="1"/>
  <c r="E96" i="55" s="1"/>
  <c r="G85" i="44"/>
  <c r="I85" i="44" s="1"/>
  <c r="E87" i="57" s="1"/>
  <c r="E85" i="17"/>
  <c r="G85" i="17" s="1"/>
  <c r="I85" i="17" s="1"/>
  <c r="E87" i="55" s="1"/>
  <c r="G105" i="44"/>
  <c r="I105" i="44" s="1"/>
  <c r="E95" i="57" s="1"/>
  <c r="E105" i="17"/>
  <c r="G105" i="17" s="1"/>
  <c r="I105" i="17" s="1"/>
  <c r="E95" i="55" s="1"/>
  <c r="E81" i="17"/>
  <c r="G82" i="44"/>
  <c r="I82" i="44" s="1"/>
  <c r="E84" i="57" s="1"/>
  <c r="E82" i="17"/>
  <c r="G82" i="17" s="1"/>
  <c r="I82" i="17" s="1"/>
  <c r="E84" i="55" s="1"/>
  <c r="D79" i="12"/>
  <c r="F79" i="12" s="1"/>
  <c r="H104" i="5"/>
  <c r="G89" i="44"/>
  <c r="I89" i="44" s="1"/>
  <c r="E91" i="57" s="1"/>
  <c r="E89" i="17"/>
  <c r="G89" i="17" s="1"/>
  <c r="I89" i="17" s="1"/>
  <c r="E91" i="55" s="1"/>
  <c r="G88" i="44"/>
  <c r="I88" i="44" s="1"/>
  <c r="E90" i="57" s="1"/>
  <c r="E88" i="17"/>
  <c r="G88" i="17" s="1"/>
  <c r="I88" i="17" s="1"/>
  <c r="E90" i="55" s="1"/>
  <c r="G86" i="44"/>
  <c r="I86" i="44" s="1"/>
  <c r="E88" i="57" s="1"/>
  <c r="E86" i="17"/>
  <c r="G86" i="17" s="1"/>
  <c r="I86" i="17" s="1"/>
  <c r="E88" i="55" s="1"/>
  <c r="G90" i="44"/>
  <c r="I90" i="44" s="1"/>
  <c r="E92" i="57" s="1"/>
  <c r="E90" i="17"/>
  <c r="G90" i="17" s="1"/>
  <c r="I90" i="17" s="1"/>
  <c r="E92" i="55" s="1"/>
  <c r="F101" i="12"/>
  <c r="H101" i="12" s="1"/>
  <c r="D94" i="55" s="1"/>
  <c r="G94" i="55" s="1"/>
  <c r="R111" i="37"/>
  <c r="R114" i="37" s="1"/>
  <c r="D15" i="16"/>
  <c r="D81" i="17" l="1"/>
  <c r="D104" i="12"/>
  <c r="E107" i="44"/>
  <c r="G81" i="44"/>
  <c r="G81" i="17"/>
  <c r="I81" i="17" s="1"/>
  <c r="E83" i="55" s="1"/>
  <c r="E107" i="17"/>
  <c r="I103" i="17"/>
  <c r="E93" i="55" s="1"/>
  <c r="F104" i="12"/>
  <c r="H79" i="12"/>
  <c r="T204" i="38"/>
  <c r="H34" i="37" s="1"/>
  <c r="T203" i="38"/>
  <c r="H32" i="37" s="1"/>
  <c r="T202" i="38"/>
  <c r="H26" i="37" s="1"/>
  <c r="T201" i="38"/>
  <c r="T200" i="38"/>
  <c r="T199" i="38"/>
  <c r="T198" i="38"/>
  <c r="T197" i="38"/>
  <c r="T196" i="38"/>
  <c r="T195" i="38"/>
  <c r="T194" i="38"/>
  <c r="T193" i="38"/>
  <c r="T192" i="38"/>
  <c r="T191" i="38"/>
  <c r="T190" i="38"/>
  <c r="T189" i="38"/>
  <c r="T188" i="38"/>
  <c r="T187" i="38"/>
  <c r="C185" i="38"/>
  <c r="B185" i="38"/>
  <c r="A185" i="38"/>
  <c r="F36" i="37"/>
  <c r="H74" i="5" s="1"/>
  <c r="T140" i="38"/>
  <c r="T139" i="38"/>
  <c r="T138" i="38"/>
  <c r="T137" i="38"/>
  <c r="T136" i="38"/>
  <c r="T135" i="38"/>
  <c r="T134" i="38"/>
  <c r="T133" i="38"/>
  <c r="T132" i="38"/>
  <c r="T131" i="38"/>
  <c r="T130" i="38"/>
  <c r="T129" i="38"/>
  <c r="T128" i="38"/>
  <c r="T127" i="38"/>
  <c r="T126" i="38"/>
  <c r="T125" i="38"/>
  <c r="T124" i="38"/>
  <c r="T123" i="38"/>
  <c r="T122" i="38"/>
  <c r="T121" i="38"/>
  <c r="T120" i="38"/>
  <c r="T119" i="38"/>
  <c r="T118" i="38"/>
  <c r="T117" i="38"/>
  <c r="T116" i="38"/>
  <c r="T115" i="38"/>
  <c r="T114" i="38"/>
  <c r="T113" i="38"/>
  <c r="F51" i="37" s="1"/>
  <c r="L51" i="37" s="1"/>
  <c r="N51" i="37" s="1"/>
  <c r="C111" i="38"/>
  <c r="B111" i="38"/>
  <c r="A111" i="38"/>
  <c r="B69" i="37"/>
  <c r="B63" i="37"/>
  <c r="B62" i="37"/>
  <c r="B42" i="37"/>
  <c r="B41" i="37"/>
  <c r="B40" i="37"/>
  <c r="B38" i="37"/>
  <c r="B37" i="37"/>
  <c r="B28" i="37"/>
  <c r="B23" i="37"/>
  <c r="B22" i="37"/>
  <c r="B21" i="37"/>
  <c r="B19" i="37"/>
  <c r="B18" i="37"/>
  <c r="B17" i="37"/>
  <c r="B15" i="37"/>
  <c r="B14" i="37"/>
  <c r="H56" i="37" l="1"/>
  <c r="H61" i="37"/>
  <c r="F30" i="4" s="1"/>
  <c r="H37" i="37"/>
  <c r="F56" i="37"/>
  <c r="E26" i="4" s="1"/>
  <c r="F24" i="37"/>
  <c r="L24" i="37" s="1"/>
  <c r="N24" i="37" s="1"/>
  <c r="J22" i="37"/>
  <c r="G59" i="4" s="1"/>
  <c r="J22" i="53"/>
  <c r="J14" i="37"/>
  <c r="G41" i="4" s="1"/>
  <c r="J14" i="53"/>
  <c r="E16" i="17"/>
  <c r="G16" i="17" s="1"/>
  <c r="F67" i="4"/>
  <c r="E77" i="17"/>
  <c r="G77" i="17" s="1"/>
  <c r="I77" i="17" s="1"/>
  <c r="E79" i="55" s="1"/>
  <c r="D68" i="4"/>
  <c r="G68" i="4"/>
  <c r="E44" i="17"/>
  <c r="G44" i="17" s="1"/>
  <c r="I44" i="17" s="1"/>
  <c r="E45" i="55" s="1"/>
  <c r="E68" i="4"/>
  <c r="G29" i="4"/>
  <c r="G23" i="4"/>
  <c r="E70" i="17"/>
  <c r="G70" i="17" s="1"/>
  <c r="I70" i="17" s="1"/>
  <c r="E72" i="55" s="1"/>
  <c r="F68" i="4"/>
  <c r="E68" i="17"/>
  <c r="G68" i="17" s="1"/>
  <c r="I68" i="17" s="1"/>
  <c r="E70" i="55" s="1"/>
  <c r="G24" i="4"/>
  <c r="D43" i="4"/>
  <c r="F43" i="4"/>
  <c r="G61" i="4"/>
  <c r="E43" i="4"/>
  <c r="G43" i="4"/>
  <c r="E14" i="17"/>
  <c r="G66" i="4"/>
  <c r="E66" i="4"/>
  <c r="F66" i="4"/>
  <c r="G22" i="4"/>
  <c r="D66" i="4"/>
  <c r="E69" i="17"/>
  <c r="G69" i="17" s="1"/>
  <c r="I69" i="17" s="1"/>
  <c r="E71" i="55" s="1"/>
  <c r="G67" i="4"/>
  <c r="E72" i="17"/>
  <c r="G72" i="17" s="1"/>
  <c r="I72" i="17" s="1"/>
  <c r="E74" i="55" s="1"/>
  <c r="E67" i="4"/>
  <c r="D67" i="4"/>
  <c r="F23" i="4"/>
  <c r="F24" i="4"/>
  <c r="D61" i="4"/>
  <c r="D23" i="4"/>
  <c r="E22" i="4"/>
  <c r="E24" i="4"/>
  <c r="F61" i="4"/>
  <c r="D24" i="4"/>
  <c r="D22" i="4"/>
  <c r="D29" i="4"/>
  <c r="F22" i="4"/>
  <c r="E23" i="4"/>
  <c r="J19" i="37"/>
  <c r="G57" i="4" s="1"/>
  <c r="J19" i="53"/>
  <c r="R51" i="37"/>
  <c r="X51" i="37"/>
  <c r="J17" i="37"/>
  <c r="G44" i="4" s="1"/>
  <c r="J17" i="53"/>
  <c r="J18" i="37"/>
  <c r="G56" i="4" s="1"/>
  <c r="J18" i="53"/>
  <c r="J23" i="37"/>
  <c r="G60" i="4" s="1"/>
  <c r="J23" i="53"/>
  <c r="J40" i="37"/>
  <c r="J41" i="37" s="1"/>
  <c r="J40" i="53"/>
  <c r="J15" i="37"/>
  <c r="G42" i="4" s="1"/>
  <c r="J15" i="53"/>
  <c r="J21" i="37"/>
  <c r="G58" i="4" s="1"/>
  <c r="J21" i="53"/>
  <c r="F58" i="37"/>
  <c r="E28" i="4" s="1"/>
  <c r="F32" i="37"/>
  <c r="H71" i="5" s="1"/>
  <c r="E97" i="55"/>
  <c r="H104" i="12"/>
  <c r="D83" i="55"/>
  <c r="H66" i="37"/>
  <c r="F35" i="4" s="1"/>
  <c r="H58" i="37"/>
  <c r="H57" i="37"/>
  <c r="F57" i="37"/>
  <c r="E27" i="4" s="1"/>
  <c r="F30" i="37"/>
  <c r="L30" i="37" s="1"/>
  <c r="F34" i="37"/>
  <c r="H73" i="5" s="1"/>
  <c r="F66" i="37"/>
  <c r="H35" i="5" s="1"/>
  <c r="F59" i="37"/>
  <c r="H47" i="37"/>
  <c r="D107" i="17"/>
  <c r="C25" i="15"/>
  <c r="H26" i="5"/>
  <c r="H61" i="5"/>
  <c r="H30" i="5"/>
  <c r="L61" i="37"/>
  <c r="N61" i="37" s="1"/>
  <c r="H62" i="5"/>
  <c r="L26" i="37"/>
  <c r="N26" i="37" s="1"/>
  <c r="F65" i="37"/>
  <c r="F44" i="37"/>
  <c r="F67" i="37"/>
  <c r="F54" i="37"/>
  <c r="H69" i="5"/>
  <c r="G107" i="17"/>
  <c r="I81" i="44"/>
  <c r="G107" i="44"/>
  <c r="F47" i="37"/>
  <c r="F55" i="37"/>
  <c r="E25" i="4" s="1"/>
  <c r="H67" i="37"/>
  <c r="F37" i="5" s="1"/>
  <c r="H54" i="37"/>
  <c r="H55" i="37"/>
  <c r="H59" i="37"/>
  <c r="I107" i="17"/>
  <c r="G69" i="4"/>
  <c r="G19" i="4"/>
  <c r="F75" i="4"/>
  <c r="G40" i="4"/>
  <c r="D75" i="4"/>
  <c r="G75" i="4"/>
  <c r="G35" i="4"/>
  <c r="F15" i="4"/>
  <c r="G73" i="4"/>
  <c r="E75" i="4"/>
  <c r="G30" i="4"/>
  <c r="G71" i="4"/>
  <c r="G36" i="4"/>
  <c r="G34" i="4"/>
  <c r="G62" i="4"/>
  <c r="D25" i="4"/>
  <c r="E70" i="4"/>
  <c r="D15" i="4"/>
  <c r="G21" i="4"/>
  <c r="G15" i="4"/>
  <c r="G74" i="4"/>
  <c r="G27" i="4"/>
  <c r="G13" i="4"/>
  <c r="F70" i="4"/>
  <c r="G26" i="4"/>
  <c r="G72" i="4"/>
  <c r="G25" i="4"/>
  <c r="D70" i="4"/>
  <c r="G28" i="4"/>
  <c r="G20" i="4"/>
  <c r="E15" i="4"/>
  <c r="G70" i="4"/>
  <c r="F62" i="4"/>
  <c r="D30" i="4"/>
  <c r="F73" i="4"/>
  <c r="D74" i="4"/>
  <c r="D19" i="4"/>
  <c r="F34" i="4"/>
  <c r="E40" i="4"/>
  <c r="D26" i="4"/>
  <c r="D73" i="4"/>
  <c r="F69" i="4"/>
  <c r="F26" i="4"/>
  <c r="D21" i="4"/>
  <c r="D28" i="4"/>
  <c r="D72" i="4"/>
  <c r="D34" i="4"/>
  <c r="D35" i="4"/>
  <c r="E62" i="4"/>
  <c r="F19" i="4"/>
  <c r="E72" i="4"/>
  <c r="F72" i="4"/>
  <c r="D40" i="4"/>
  <c r="F74" i="4"/>
  <c r="D20" i="4"/>
  <c r="F40" i="4"/>
  <c r="D36" i="4"/>
  <c r="D27" i="4"/>
  <c r="D62" i="4"/>
  <c r="D69" i="4"/>
  <c r="D71" i="4"/>
  <c r="F71" i="4"/>
  <c r="E30" i="4"/>
  <c r="E74" i="4"/>
  <c r="L36" i="37"/>
  <c r="N36" i="37" s="1"/>
  <c r="E25" i="15"/>
  <c r="P15" i="37"/>
  <c r="H15" i="37"/>
  <c r="F15" i="37"/>
  <c r="W15" i="37"/>
  <c r="D15" i="37"/>
  <c r="F21" i="37"/>
  <c r="P21" i="37"/>
  <c r="H21" i="37"/>
  <c r="D21" i="37"/>
  <c r="W21" i="37"/>
  <c r="F13" i="37"/>
  <c r="H13" i="37"/>
  <c r="D13" i="37"/>
  <c r="W13" i="37"/>
  <c r="P13" i="37"/>
  <c r="F17" i="37"/>
  <c r="P17" i="37"/>
  <c r="H17" i="37"/>
  <c r="W17" i="37"/>
  <c r="D17" i="37"/>
  <c r="W22" i="37"/>
  <c r="D22" i="37"/>
  <c r="P22" i="37"/>
  <c r="H22" i="37"/>
  <c r="F22" i="37"/>
  <c r="H40" i="37"/>
  <c r="W40" i="37"/>
  <c r="D40" i="37"/>
  <c r="P40" i="37"/>
  <c r="P41" i="37" s="1"/>
  <c r="F40" i="37"/>
  <c r="E16" i="5" s="1"/>
  <c r="P19" i="37"/>
  <c r="W19" i="37"/>
  <c r="H19" i="37"/>
  <c r="F19" i="37"/>
  <c r="D19" i="37"/>
  <c r="H16" i="37"/>
  <c r="P16" i="37"/>
  <c r="F16" i="37"/>
  <c r="D16" i="37"/>
  <c r="W16" i="37"/>
  <c r="E13" i="4"/>
  <c r="W14" i="37"/>
  <c r="D14" i="37"/>
  <c r="H14" i="37"/>
  <c r="F14" i="37"/>
  <c r="P14" i="37"/>
  <c r="W18" i="37"/>
  <c r="D18" i="37"/>
  <c r="P18" i="37"/>
  <c r="H18" i="37"/>
  <c r="F18" i="37"/>
  <c r="P23" i="37"/>
  <c r="W23" i="37"/>
  <c r="H23" i="37"/>
  <c r="F23" i="37"/>
  <c r="D23" i="37"/>
  <c r="E69" i="4" l="1"/>
  <c r="L56" i="37"/>
  <c r="N56" i="37" s="1"/>
  <c r="X56" i="37" s="1"/>
  <c r="L34" i="37"/>
  <c r="N34" i="37" s="1"/>
  <c r="R34" i="37" s="1"/>
  <c r="E61" i="4"/>
  <c r="H61" i="4" s="1"/>
  <c r="D61" i="12" s="1"/>
  <c r="F61" i="12" s="1"/>
  <c r="H61" i="12" s="1"/>
  <c r="D52" i="55" s="1"/>
  <c r="G52" i="55" s="1"/>
  <c r="G14" i="4"/>
  <c r="H66" i="4"/>
  <c r="D66" i="12" s="1"/>
  <c r="F66" i="12" s="1"/>
  <c r="H66" i="12" s="1"/>
  <c r="D70" i="55" s="1"/>
  <c r="G70" i="55" s="1"/>
  <c r="H43" i="4"/>
  <c r="D43" i="12" s="1"/>
  <c r="G42" i="5"/>
  <c r="H42" i="5" s="1"/>
  <c r="L15" i="53"/>
  <c r="N15" i="53" s="1"/>
  <c r="Z15" i="53" s="1"/>
  <c r="G60" i="5"/>
  <c r="L23" i="53"/>
  <c r="N23" i="53" s="1"/>
  <c r="Z23" i="53" s="1"/>
  <c r="L17" i="53"/>
  <c r="N17" i="53" s="1"/>
  <c r="Z17" i="53" s="1"/>
  <c r="G44" i="5"/>
  <c r="H44" i="5" s="1"/>
  <c r="G57" i="5"/>
  <c r="H57" i="5" s="1"/>
  <c r="L19" i="53"/>
  <c r="N19" i="53" s="1"/>
  <c r="Z19" i="53" s="1"/>
  <c r="L32" i="37"/>
  <c r="N32" i="37" s="1"/>
  <c r="X32" i="37" s="1"/>
  <c r="H22" i="4"/>
  <c r="D22" i="12" s="1"/>
  <c r="G59" i="5"/>
  <c r="L22" i="53"/>
  <c r="N22" i="53" s="1"/>
  <c r="Z22" i="53" s="1"/>
  <c r="H68" i="4"/>
  <c r="D68" i="12" s="1"/>
  <c r="L14" i="53"/>
  <c r="G41" i="5"/>
  <c r="H41" i="5" s="1"/>
  <c r="J27" i="53"/>
  <c r="J27" i="37"/>
  <c r="J71" i="37" s="1"/>
  <c r="J116" i="37" s="1"/>
  <c r="E71" i="4"/>
  <c r="G58" i="5"/>
  <c r="L21" i="53"/>
  <c r="N21" i="53" s="1"/>
  <c r="Z21" i="53" s="1"/>
  <c r="J41" i="53"/>
  <c r="G14" i="5"/>
  <c r="G16" i="5" s="1"/>
  <c r="L40" i="53"/>
  <c r="G56" i="5"/>
  <c r="L18" i="53"/>
  <c r="N18" i="53" s="1"/>
  <c r="Z18" i="53" s="1"/>
  <c r="H24" i="4"/>
  <c r="D24" i="12" s="1"/>
  <c r="H23" i="4"/>
  <c r="D23" i="12" s="1"/>
  <c r="H67" i="4"/>
  <c r="D67" i="12" s="1"/>
  <c r="I107" i="44"/>
  <c r="E83" i="57"/>
  <c r="E97" i="57" s="1"/>
  <c r="G83" i="55"/>
  <c r="G97" i="55" s="1"/>
  <c r="D97" i="55"/>
  <c r="E29" i="4"/>
  <c r="H27" i="5"/>
  <c r="F27" i="4"/>
  <c r="H28" i="5"/>
  <c r="L58" i="37"/>
  <c r="N58" i="37" s="1"/>
  <c r="R58" i="37" s="1"/>
  <c r="F28" i="4"/>
  <c r="L57" i="37"/>
  <c r="N57" i="37" s="1"/>
  <c r="X57" i="37" s="1"/>
  <c r="E73" i="4"/>
  <c r="H76" i="5"/>
  <c r="F37" i="37"/>
  <c r="E76" i="5"/>
  <c r="L66" i="37"/>
  <c r="N66" i="37" s="1"/>
  <c r="X66" i="37" s="1"/>
  <c r="E35" i="4"/>
  <c r="F20" i="4"/>
  <c r="H68" i="37"/>
  <c r="E34" i="4"/>
  <c r="F36" i="4"/>
  <c r="L65" i="37"/>
  <c r="N65" i="37" s="1"/>
  <c r="E42" i="4"/>
  <c r="H36" i="5"/>
  <c r="E44" i="4"/>
  <c r="F21" i="4"/>
  <c r="D41" i="4"/>
  <c r="D57" i="4"/>
  <c r="D44" i="4"/>
  <c r="F14" i="4"/>
  <c r="F16" i="5"/>
  <c r="E58" i="4"/>
  <c r="F29" i="4"/>
  <c r="H29" i="5"/>
  <c r="H20" i="5"/>
  <c r="L47" i="37"/>
  <c r="N47" i="37" s="1"/>
  <c r="H21" i="5"/>
  <c r="L54" i="37"/>
  <c r="N54" i="37" s="1"/>
  <c r="X26" i="37"/>
  <c r="R26" i="37"/>
  <c r="H62" i="37"/>
  <c r="E59" i="4"/>
  <c r="E20" i="4"/>
  <c r="F41" i="4"/>
  <c r="L59" i="37"/>
  <c r="N59" i="37" s="1"/>
  <c r="E60" i="4"/>
  <c r="E56" i="4"/>
  <c r="F59" i="4"/>
  <c r="F58" i="4"/>
  <c r="L67" i="37"/>
  <c r="N67" i="37" s="1"/>
  <c r="R67" i="37" s="1"/>
  <c r="F42" i="4"/>
  <c r="F57" i="4"/>
  <c r="E57" i="4"/>
  <c r="F44" i="4"/>
  <c r="F25" i="4"/>
  <c r="L44" i="37"/>
  <c r="F62" i="37"/>
  <c r="T44" i="37" s="1"/>
  <c r="V44" i="37" s="1"/>
  <c r="X61" i="37"/>
  <c r="R61" i="37"/>
  <c r="X24" i="37"/>
  <c r="R24" i="37"/>
  <c r="F60" i="4"/>
  <c r="F56" i="4"/>
  <c r="F68" i="37"/>
  <c r="T67" i="37" s="1"/>
  <c r="V67" i="37" s="1"/>
  <c r="G37" i="44" s="1"/>
  <c r="I37" i="44" s="1"/>
  <c r="E38" i="57" s="1"/>
  <c r="E19" i="4"/>
  <c r="E41" i="4"/>
  <c r="E21" i="4"/>
  <c r="E36" i="4"/>
  <c r="H25" i="5"/>
  <c r="L55" i="37"/>
  <c r="N55" i="37" s="1"/>
  <c r="E37" i="5"/>
  <c r="H34" i="5"/>
  <c r="D60" i="4"/>
  <c r="D58" i="4"/>
  <c r="D14" i="4"/>
  <c r="D59" i="4"/>
  <c r="D56" i="4"/>
  <c r="D42" i="4"/>
  <c r="D37" i="4"/>
  <c r="V41" i="37"/>
  <c r="D27" i="37"/>
  <c r="D13" i="4"/>
  <c r="D41" i="37"/>
  <c r="H75" i="4"/>
  <c r="D75" i="12" s="1"/>
  <c r="H41" i="37"/>
  <c r="F13" i="4"/>
  <c r="L19" i="37"/>
  <c r="N19" i="37" s="1"/>
  <c r="L18" i="37"/>
  <c r="N18" i="37" s="1"/>
  <c r="R18" i="37" s="1"/>
  <c r="L15" i="37"/>
  <c r="N15" i="37" s="1"/>
  <c r="R15" i="37" s="1"/>
  <c r="L40" i="37"/>
  <c r="N40" i="37" s="1"/>
  <c r="R40" i="37" s="1"/>
  <c r="E14" i="4"/>
  <c r="R36" i="37"/>
  <c r="X36" i="37"/>
  <c r="L17" i="37"/>
  <c r="N17" i="37" s="1"/>
  <c r="R17" i="37" s="1"/>
  <c r="N30" i="37"/>
  <c r="X34" i="37"/>
  <c r="G25" i="15"/>
  <c r="D25" i="15"/>
  <c r="H27" i="37"/>
  <c r="P27" i="37"/>
  <c r="P71" i="37" s="1"/>
  <c r="F27" i="37"/>
  <c r="T18" i="37" s="1"/>
  <c r="V18" i="37" s="1"/>
  <c r="L13" i="37"/>
  <c r="L23" i="37"/>
  <c r="N23" i="37" s="1"/>
  <c r="F41" i="37"/>
  <c r="L16" i="37"/>
  <c r="N16" i="37" s="1"/>
  <c r="R16" i="37" s="1"/>
  <c r="L21" i="37"/>
  <c r="N21" i="37" s="1"/>
  <c r="R21" i="37" s="1"/>
  <c r="L14" i="37"/>
  <c r="N14" i="37" s="1"/>
  <c r="R14" i="37" s="1"/>
  <c r="L22" i="37"/>
  <c r="N22" i="37" s="1"/>
  <c r="R22" i="37" s="1"/>
  <c r="V35" i="37"/>
  <c r="V32" i="37"/>
  <c r="V31" i="37"/>
  <c r="V11" i="37"/>
  <c r="V30" i="37"/>
  <c r="V33" i="37"/>
  <c r="V34" i="37"/>
  <c r="V40" i="37"/>
  <c r="V36" i="37"/>
  <c r="R56" i="37" l="1"/>
  <c r="L37" i="37"/>
  <c r="D68" i="17"/>
  <c r="R32" i="37"/>
  <c r="J71" i="53"/>
  <c r="J116" i="53" s="1"/>
  <c r="D63" i="17"/>
  <c r="F23" i="12"/>
  <c r="H23" i="12" s="1"/>
  <c r="D25" i="55" s="1"/>
  <c r="G25" i="55" s="1"/>
  <c r="D24" i="17"/>
  <c r="L41" i="53"/>
  <c r="N40" i="53"/>
  <c r="D23" i="17"/>
  <c r="F22" i="12"/>
  <c r="H22" i="12" s="1"/>
  <c r="D24" i="55" s="1"/>
  <c r="G24" i="55" s="1"/>
  <c r="D25" i="17"/>
  <c r="F24" i="12"/>
  <c r="H24" i="12" s="1"/>
  <c r="D26" i="55" s="1"/>
  <c r="G26" i="55" s="1"/>
  <c r="G63" i="5"/>
  <c r="G106" i="5" s="1"/>
  <c r="N14" i="53"/>
  <c r="L27" i="53"/>
  <c r="F43" i="12"/>
  <c r="H43" i="12" s="1"/>
  <c r="D45" i="55" s="1"/>
  <c r="G45" i="55" s="1"/>
  <c r="D44" i="17"/>
  <c r="F67" i="12"/>
  <c r="H67" i="12" s="1"/>
  <c r="D71" i="55" s="1"/>
  <c r="G71" i="55" s="1"/>
  <c r="D69" i="17"/>
  <c r="F68" i="12"/>
  <c r="H68" i="12" s="1"/>
  <c r="D72" i="55" s="1"/>
  <c r="G72" i="55" s="1"/>
  <c r="D70" i="17"/>
  <c r="X58" i="37"/>
  <c r="H29" i="4"/>
  <c r="D29" i="12" s="1"/>
  <c r="F29" i="12" s="1"/>
  <c r="H29" i="12" s="1"/>
  <c r="D31" i="55" s="1"/>
  <c r="G31" i="55" s="1"/>
  <c r="R57" i="37"/>
  <c r="R66" i="37"/>
  <c r="T66" i="37"/>
  <c r="V66" i="37" s="1"/>
  <c r="G36" i="44" s="1"/>
  <c r="I36" i="44" s="1"/>
  <c r="E37" i="57" s="1"/>
  <c r="T55" i="37"/>
  <c r="V55" i="37" s="1"/>
  <c r="E26" i="17" s="1"/>
  <c r="G26" i="17" s="1"/>
  <c r="I26" i="17" s="1"/>
  <c r="E27" i="55" s="1"/>
  <c r="X67" i="37"/>
  <c r="L68" i="37"/>
  <c r="H59" i="4"/>
  <c r="D59" i="12" s="1"/>
  <c r="F59" i="12" s="1"/>
  <c r="H59" i="12" s="1"/>
  <c r="D50" i="55" s="1"/>
  <c r="G50" i="55" s="1"/>
  <c r="H58" i="4"/>
  <c r="D58" i="12" s="1"/>
  <c r="F58" i="12" s="1"/>
  <c r="H58" i="12" s="1"/>
  <c r="D49" i="55" s="1"/>
  <c r="G49" i="55" s="1"/>
  <c r="E63" i="5"/>
  <c r="F31" i="5"/>
  <c r="H58" i="5"/>
  <c r="T47" i="37"/>
  <c r="V47" i="37" s="1"/>
  <c r="G21" i="44" s="1"/>
  <c r="I21" i="44" s="1"/>
  <c r="E22" i="57" s="1"/>
  <c r="H37" i="5"/>
  <c r="H60" i="4"/>
  <c r="D60" i="12" s="1"/>
  <c r="D62" i="17" s="1"/>
  <c r="T54" i="37"/>
  <c r="V54" i="37" s="1"/>
  <c r="G22" i="44" s="1"/>
  <c r="I22" i="44" s="1"/>
  <c r="E23" i="57" s="1"/>
  <c r="F63" i="5"/>
  <c r="G20" i="44"/>
  <c r="G73" i="44"/>
  <c r="I73" i="44" s="1"/>
  <c r="E75" i="57" s="1"/>
  <c r="E73" i="17"/>
  <c r="G73" i="17" s="1"/>
  <c r="I73" i="17" s="1"/>
  <c r="E75" i="55" s="1"/>
  <c r="H59" i="5"/>
  <c r="E31" i="5"/>
  <c r="E106" i="5" s="1"/>
  <c r="H19" i="5"/>
  <c r="H31" i="5" s="1"/>
  <c r="N44" i="37"/>
  <c r="L62" i="37"/>
  <c r="G76" i="44"/>
  <c r="I76" i="44" s="1"/>
  <c r="E78" i="57" s="1"/>
  <c r="E76" i="17"/>
  <c r="D63" i="4"/>
  <c r="E15" i="17"/>
  <c r="G15" i="17" s="1"/>
  <c r="G75" i="44"/>
  <c r="I75" i="44" s="1"/>
  <c r="E77" i="57" s="1"/>
  <c r="E75" i="17"/>
  <c r="G75" i="17" s="1"/>
  <c r="I75" i="17" s="1"/>
  <c r="E77" i="55" s="1"/>
  <c r="T65" i="37"/>
  <c r="V65" i="37" s="1"/>
  <c r="H56" i="4"/>
  <c r="D56" i="12" s="1"/>
  <c r="F56" i="12" s="1"/>
  <c r="H56" i="12" s="1"/>
  <c r="D47" i="55" s="1"/>
  <c r="G47" i="55" s="1"/>
  <c r="G26" i="44"/>
  <c r="I26" i="44" s="1"/>
  <c r="E27" i="57" s="1"/>
  <c r="X47" i="37"/>
  <c r="R47" i="37"/>
  <c r="G74" i="44"/>
  <c r="I74" i="44" s="1"/>
  <c r="E76" i="57" s="1"/>
  <c r="E74" i="17"/>
  <c r="G74" i="17" s="1"/>
  <c r="I74" i="17" s="1"/>
  <c r="E76" i="55" s="1"/>
  <c r="E71" i="17"/>
  <c r="G58" i="44"/>
  <c r="I58" i="44" s="1"/>
  <c r="E47" i="57" s="1"/>
  <c r="E58" i="17"/>
  <c r="G58" i="17" s="1"/>
  <c r="I58" i="17" s="1"/>
  <c r="E47" i="55" s="1"/>
  <c r="D71" i="37"/>
  <c r="H56" i="5"/>
  <c r="H60" i="5"/>
  <c r="X55" i="37"/>
  <c r="R55" i="37"/>
  <c r="T51" i="37"/>
  <c r="V51" i="37" s="1"/>
  <c r="G25" i="44" s="1"/>
  <c r="I25" i="44" s="1"/>
  <c r="E26" i="57" s="1"/>
  <c r="T46" i="37"/>
  <c r="V46" i="37" s="1"/>
  <c r="T60" i="37"/>
  <c r="V60" i="37" s="1"/>
  <c r="T50" i="37"/>
  <c r="V50" i="37" s="1"/>
  <c r="G24" i="44" s="1"/>
  <c r="I24" i="44" s="1"/>
  <c r="E25" i="57" s="1"/>
  <c r="T48" i="37"/>
  <c r="V48" i="37" s="1"/>
  <c r="T49" i="37"/>
  <c r="V49" i="37" s="1"/>
  <c r="T45" i="37"/>
  <c r="V45" i="37" s="1"/>
  <c r="T61" i="37"/>
  <c r="V61" i="37" s="1"/>
  <c r="T52" i="37"/>
  <c r="V52" i="37" s="1"/>
  <c r="T53" i="37"/>
  <c r="V53" i="37" s="1"/>
  <c r="T56" i="37"/>
  <c r="V56" i="37" s="1"/>
  <c r="T57" i="37"/>
  <c r="V57" i="37" s="1"/>
  <c r="T59" i="37"/>
  <c r="V59" i="37" s="1"/>
  <c r="T58" i="37"/>
  <c r="V58" i="37" s="1"/>
  <c r="R59" i="37"/>
  <c r="X59" i="37"/>
  <c r="R54" i="37"/>
  <c r="X54" i="37"/>
  <c r="H14" i="5"/>
  <c r="H16" i="5" s="1"/>
  <c r="D16" i="5"/>
  <c r="D63" i="5"/>
  <c r="F75" i="12"/>
  <c r="H75" i="12" s="1"/>
  <c r="D79" i="55" s="1"/>
  <c r="G79" i="55" s="1"/>
  <c r="D77" i="17"/>
  <c r="H71" i="37"/>
  <c r="H116" i="37" s="1"/>
  <c r="F71" i="37"/>
  <c r="F116" i="37" s="1"/>
  <c r="L41" i="37"/>
  <c r="R19" i="37"/>
  <c r="X19" i="37"/>
  <c r="X18" i="37"/>
  <c r="T14" i="37"/>
  <c r="V14" i="37" s="1"/>
  <c r="T23" i="37"/>
  <c r="V23" i="37" s="1"/>
  <c r="T17" i="37"/>
  <c r="V17" i="37" s="1"/>
  <c r="R65" i="37"/>
  <c r="X65" i="37"/>
  <c r="N68" i="37"/>
  <c r="T20" i="37"/>
  <c r="V20" i="37" s="1"/>
  <c r="T26" i="37"/>
  <c r="V26" i="37" s="1"/>
  <c r="T24" i="37"/>
  <c r="V24" i="37" s="1"/>
  <c r="T25" i="37"/>
  <c r="V25" i="37" s="1"/>
  <c r="T12" i="37"/>
  <c r="V12" i="37" s="1"/>
  <c r="R30" i="37"/>
  <c r="X30" i="37"/>
  <c r="N37" i="37"/>
  <c r="T16" i="37"/>
  <c r="V16" i="37" s="1"/>
  <c r="X22" i="37"/>
  <c r="T22" i="37"/>
  <c r="V22" i="37" s="1"/>
  <c r="T13" i="37"/>
  <c r="V13" i="37" s="1"/>
  <c r="T21" i="37"/>
  <c r="V21" i="37" s="1"/>
  <c r="T19" i="37"/>
  <c r="V19" i="37" s="1"/>
  <c r="T15" i="37"/>
  <c r="V15" i="37" s="1"/>
  <c r="G14" i="17"/>
  <c r="P116" i="37"/>
  <c r="V27" i="37"/>
  <c r="E20" i="17"/>
  <c r="G20" i="17" s="1"/>
  <c r="E37" i="17"/>
  <c r="X40" i="37"/>
  <c r="X15" i="37"/>
  <c r="X21" i="37"/>
  <c r="X17" i="37"/>
  <c r="R23" i="37"/>
  <c r="X23" i="37"/>
  <c r="N13" i="37"/>
  <c r="L27" i="37"/>
  <c r="X14" i="37"/>
  <c r="X16" i="37"/>
  <c r="R37" i="37" l="1"/>
  <c r="D30" i="17"/>
  <c r="N41" i="53"/>
  <c r="Z40" i="53"/>
  <c r="Z14" i="53"/>
  <c r="N27" i="53"/>
  <c r="L71" i="53"/>
  <c r="L116" i="53" s="1"/>
  <c r="G76" i="17"/>
  <c r="R68" i="37"/>
  <c r="E36" i="17"/>
  <c r="G36" i="17" s="1"/>
  <c r="E25" i="17"/>
  <c r="G25" i="17" s="1"/>
  <c r="E22" i="17"/>
  <c r="G22" i="17" s="1"/>
  <c r="D60" i="17"/>
  <c r="D61" i="17"/>
  <c r="F60" i="12"/>
  <c r="H60" i="12" s="1"/>
  <c r="D51" i="55" s="1"/>
  <c r="G51" i="55" s="1"/>
  <c r="F106" i="5"/>
  <c r="E21" i="17"/>
  <c r="G21" i="17" s="1"/>
  <c r="H63" i="5"/>
  <c r="H106" i="5" s="1"/>
  <c r="D116" i="37"/>
  <c r="D110" i="4" s="1"/>
  <c r="D58" i="17"/>
  <c r="G35" i="44"/>
  <c r="E38" i="44"/>
  <c r="X44" i="37"/>
  <c r="R44" i="37"/>
  <c r="R62" i="37" s="1"/>
  <c r="N62" i="37"/>
  <c r="G62" i="44"/>
  <c r="I62" i="44" s="1"/>
  <c r="E51" i="57" s="1"/>
  <c r="E62" i="17"/>
  <c r="G62" i="17" s="1"/>
  <c r="I62" i="17" s="1"/>
  <c r="E51" i="55" s="1"/>
  <c r="G29" i="44"/>
  <c r="I29" i="44" s="1"/>
  <c r="E30" i="57" s="1"/>
  <c r="E29" i="17"/>
  <c r="G29" i="17" s="1"/>
  <c r="I29" i="17" s="1"/>
  <c r="E30" i="55" s="1"/>
  <c r="E23" i="17"/>
  <c r="G23" i="17" s="1"/>
  <c r="G59" i="44"/>
  <c r="I59" i="44" s="1"/>
  <c r="E48" i="57" s="1"/>
  <c r="E59" i="17"/>
  <c r="G59" i="17" s="1"/>
  <c r="I59" i="17" s="1"/>
  <c r="E48" i="55" s="1"/>
  <c r="G64" i="44"/>
  <c r="I64" i="44" s="1"/>
  <c r="E53" i="57" s="1"/>
  <c r="E64" i="17"/>
  <c r="G28" i="44"/>
  <c r="I28" i="44" s="1"/>
  <c r="E29" i="57" s="1"/>
  <c r="E28" i="17"/>
  <c r="G28" i="17" s="1"/>
  <c r="I28" i="17" s="1"/>
  <c r="E29" i="55" s="1"/>
  <c r="G31" i="44"/>
  <c r="I31" i="44" s="1"/>
  <c r="E32" i="57" s="1"/>
  <c r="E31" i="17"/>
  <c r="G71" i="44"/>
  <c r="E78" i="44"/>
  <c r="G15" i="44"/>
  <c r="E17" i="44"/>
  <c r="G60" i="44"/>
  <c r="I60" i="44" s="1"/>
  <c r="E49" i="57" s="1"/>
  <c r="E60" i="17"/>
  <c r="G60" i="17" s="1"/>
  <c r="I60" i="17" s="1"/>
  <c r="E49" i="55" s="1"/>
  <c r="E41" i="17"/>
  <c r="G45" i="44"/>
  <c r="I45" i="44" s="1"/>
  <c r="E46" i="57" s="1"/>
  <c r="E45" i="17"/>
  <c r="G45" i="17" s="1"/>
  <c r="I45" i="17" s="1"/>
  <c r="E46" i="55" s="1"/>
  <c r="G27" i="44"/>
  <c r="I27" i="44" s="1"/>
  <c r="E28" i="57" s="1"/>
  <c r="E27" i="17"/>
  <c r="G27" i="17" s="1"/>
  <c r="I27" i="17" s="1"/>
  <c r="E28" i="55" s="1"/>
  <c r="E24" i="17"/>
  <c r="G24" i="17" s="1"/>
  <c r="E35" i="17"/>
  <c r="G35" i="17" s="1"/>
  <c r="G37" i="17"/>
  <c r="G43" i="44"/>
  <c r="I43" i="44" s="1"/>
  <c r="E44" i="57" s="1"/>
  <c r="E43" i="17"/>
  <c r="G43" i="17" s="1"/>
  <c r="I43" i="17" s="1"/>
  <c r="E44" i="55" s="1"/>
  <c r="G61" i="44"/>
  <c r="I61" i="44" s="1"/>
  <c r="E50" i="57" s="1"/>
  <c r="E61" i="17"/>
  <c r="G61" i="17" s="1"/>
  <c r="I61" i="17" s="1"/>
  <c r="E50" i="55" s="1"/>
  <c r="G63" i="44"/>
  <c r="I63" i="44" s="1"/>
  <c r="E52" i="57" s="1"/>
  <c r="E63" i="17"/>
  <c r="G63" i="17" s="1"/>
  <c r="I63" i="17" s="1"/>
  <c r="E52" i="55" s="1"/>
  <c r="G42" i="44"/>
  <c r="I42" i="44" s="1"/>
  <c r="E43" i="57" s="1"/>
  <c r="E42" i="17"/>
  <c r="G42" i="17" s="1"/>
  <c r="I42" i="17" s="1"/>
  <c r="E43" i="55" s="1"/>
  <c r="G30" i="44"/>
  <c r="I30" i="44" s="1"/>
  <c r="E31" i="57" s="1"/>
  <c r="E30" i="17"/>
  <c r="G30" i="17" s="1"/>
  <c r="I30" i="17" s="1"/>
  <c r="E31" i="55" s="1"/>
  <c r="G71" i="17"/>
  <c r="E78" i="17"/>
  <c r="I20" i="44"/>
  <c r="E21" i="57" s="1"/>
  <c r="D106" i="5"/>
  <c r="D111" i="5" s="1"/>
  <c r="L71" i="37"/>
  <c r="L116" i="37" s="1"/>
  <c r="V71" i="37"/>
  <c r="V116" i="37" s="1"/>
  <c r="N41" i="37"/>
  <c r="R41" i="37"/>
  <c r="R13" i="37"/>
  <c r="R27" i="37" s="1"/>
  <c r="N27" i="37"/>
  <c r="X13" i="37"/>
  <c r="D18" i="18" l="1"/>
  <c r="N71" i="53"/>
  <c r="N116" i="53" s="1"/>
  <c r="H110" i="5" s="1"/>
  <c r="H111" i="5" s="1"/>
  <c r="H78" i="17"/>
  <c r="G38" i="17"/>
  <c r="E38" i="17"/>
  <c r="E113" i="17"/>
  <c r="G41" i="17"/>
  <c r="E65" i="17"/>
  <c r="G64" i="17"/>
  <c r="I71" i="17"/>
  <c r="G78" i="17"/>
  <c r="G41" i="44"/>
  <c r="E65" i="44"/>
  <c r="I15" i="44"/>
  <c r="G17" i="44"/>
  <c r="G23" i="44"/>
  <c r="E32" i="44"/>
  <c r="I71" i="44"/>
  <c r="G78" i="44"/>
  <c r="G31" i="17"/>
  <c r="G38" i="44"/>
  <c r="I35" i="44"/>
  <c r="N71" i="37"/>
  <c r="N116" i="37" s="1"/>
  <c r="R71" i="37"/>
  <c r="R116" i="37" s="1"/>
  <c r="E109" i="44" l="1"/>
  <c r="E114" i="44" s="1"/>
  <c r="I76" i="17"/>
  <c r="E78" i="55" s="1"/>
  <c r="I78" i="44"/>
  <c r="E73" i="57"/>
  <c r="E80" i="57" s="1"/>
  <c r="I38" i="44"/>
  <c r="E36" i="57"/>
  <c r="E39" i="57" s="1"/>
  <c r="I17" i="44"/>
  <c r="E16" i="57"/>
  <c r="E18" i="57" s="1"/>
  <c r="E73" i="55"/>
  <c r="I23" i="44"/>
  <c r="G32" i="44"/>
  <c r="I41" i="44"/>
  <c r="G65" i="44"/>
  <c r="I41" i="17"/>
  <c r="E42" i="55" s="1"/>
  <c r="G65" i="17"/>
  <c r="H110" i="4"/>
  <c r="E80" i="55" l="1"/>
  <c r="I78" i="17"/>
  <c r="I32" i="44"/>
  <c r="E24" i="57"/>
  <c r="E33" i="57" s="1"/>
  <c r="I65" i="44"/>
  <c r="E42" i="57"/>
  <c r="E54" i="57" s="1"/>
  <c r="G109" i="44"/>
  <c r="S17" i="63" s="1"/>
  <c r="I109" i="44" l="1"/>
  <c r="F16" i="16" s="1"/>
  <c r="E99" i="57"/>
  <c r="AC17" i="63"/>
  <c r="AE17" i="63"/>
  <c r="D22" i="16"/>
  <c r="A8" i="33" l="1"/>
  <c r="A5" i="33"/>
  <c r="A4" i="33"/>
  <c r="A2" i="33"/>
  <c r="A1" i="33"/>
  <c r="A8" i="32"/>
  <c r="A5" i="32"/>
  <c r="A4" i="32"/>
  <c r="A2" i="32"/>
  <c r="A1" i="32"/>
  <c r="A5" i="30" l="1"/>
  <c r="A4" i="30"/>
  <c r="A8" i="30"/>
  <c r="A2" i="30"/>
  <c r="A1" i="30"/>
  <c r="A23" i="28"/>
  <c r="A22" i="28"/>
  <c r="H35" i="28"/>
  <c r="F24" i="16" s="1"/>
  <c r="H33" i="28"/>
  <c r="H16" i="28"/>
  <c r="D24" i="16" s="1"/>
  <c r="H14" i="28" l="1"/>
  <c r="D25" i="16" s="1"/>
  <c r="H12" i="28"/>
  <c r="D23" i="16" s="1"/>
  <c r="A26" i="28"/>
  <c r="A4" i="28"/>
  <c r="A2" i="28"/>
  <c r="A21" i="28" s="1"/>
  <c r="A1" i="28"/>
  <c r="A20" i="28" s="1"/>
  <c r="E38" i="27"/>
  <c r="E40" i="27" s="1"/>
  <c r="G47" i="25" s="1"/>
  <c r="F21" i="16" s="1"/>
  <c r="C38" i="27"/>
  <c r="C40" i="27" s="1"/>
  <c r="E47" i="25" s="1"/>
  <c r="E49" i="25" s="1"/>
  <c r="E17" i="27"/>
  <c r="E19" i="27" s="1"/>
  <c r="G21" i="25" s="1"/>
  <c r="D21" i="16" s="1"/>
  <c r="C17" i="27"/>
  <c r="C19" i="27" s="1"/>
  <c r="E21" i="25" s="1"/>
  <c r="A29" i="27"/>
  <c r="A25" i="27"/>
  <c r="A24" i="27"/>
  <c r="A7" i="27"/>
  <c r="A28" i="27" s="1"/>
  <c r="A4" i="27"/>
  <c r="A2" i="27"/>
  <c r="A23" i="27" s="1"/>
  <c r="A1" i="27"/>
  <c r="A22" i="27" s="1"/>
  <c r="E47" i="26"/>
  <c r="C47" i="26"/>
  <c r="E22" i="26"/>
  <c r="C22" i="26"/>
  <c r="A33" i="26"/>
  <c r="A29" i="26"/>
  <c r="A28" i="26"/>
  <c r="A7" i="26"/>
  <c r="A32" i="26" s="1"/>
  <c r="A4" i="26"/>
  <c r="A2" i="26"/>
  <c r="A27" i="26" s="1"/>
  <c r="A1" i="26"/>
  <c r="A26" i="26" s="1"/>
  <c r="F43" i="25"/>
  <c r="F41" i="25"/>
  <c r="F39" i="25"/>
  <c r="A34" i="25"/>
  <c r="A30" i="25"/>
  <c r="A29" i="25"/>
  <c r="F17" i="25"/>
  <c r="F15" i="25"/>
  <c r="A7" i="25"/>
  <c r="A33" i="25" s="1"/>
  <c r="A4" i="25"/>
  <c r="A2" i="25"/>
  <c r="A28" i="25" s="1"/>
  <c r="A1" i="25"/>
  <c r="A27" i="25" s="1"/>
  <c r="G23" i="25" l="1"/>
  <c r="G49" i="25"/>
  <c r="F47" i="25"/>
  <c r="F21" i="25"/>
  <c r="E23" i="25"/>
  <c r="F13" i="25"/>
  <c r="E26" i="20" l="1"/>
  <c r="D26" i="20"/>
  <c r="A36" i="20"/>
  <c r="A32" i="20"/>
  <c r="A31" i="20"/>
  <c r="F24" i="20"/>
  <c r="H24" i="20" s="1"/>
  <c r="J24" i="20" s="1"/>
  <c r="F20" i="20"/>
  <c r="H20" i="20" s="1"/>
  <c r="J20" i="20" s="1"/>
  <c r="F18" i="20"/>
  <c r="H18" i="20" s="1"/>
  <c r="J18" i="20" s="1"/>
  <c r="F14" i="20"/>
  <c r="A7" i="20"/>
  <c r="A35" i="20" s="1"/>
  <c r="A4" i="20"/>
  <c r="A2" i="20"/>
  <c r="A30" i="20" s="1"/>
  <c r="A1" i="20"/>
  <c r="A29" i="20" s="1"/>
  <c r="H14" i="20" l="1"/>
  <c r="J14" i="20" s="1"/>
  <c r="J26" i="20" s="1"/>
  <c r="D18" i="16" s="1"/>
  <c r="I26" i="20"/>
  <c r="F26" i="20"/>
  <c r="C26" i="20"/>
  <c r="A27" i="18"/>
  <c r="A23" i="18"/>
  <c r="A22" i="18"/>
  <c r="A7" i="18"/>
  <c r="A26" i="18" s="1"/>
  <c r="A4" i="18"/>
  <c r="A2" i="18"/>
  <c r="A21" i="18" s="1"/>
  <c r="A1" i="18"/>
  <c r="A20" i="18" s="1"/>
  <c r="A4" i="17" l="1"/>
  <c r="A94" i="17" s="1"/>
  <c r="A98" i="17"/>
  <c r="A96" i="17"/>
  <c r="A93" i="17"/>
  <c r="A53" i="17"/>
  <c r="A51" i="17"/>
  <c r="A48" i="17"/>
  <c r="A7" i="17"/>
  <c r="A52" i="17" s="1"/>
  <c r="A2" i="17"/>
  <c r="A47" i="17" s="1"/>
  <c r="A1" i="17"/>
  <c r="A91" i="17" s="1"/>
  <c r="A92" i="17" l="1"/>
  <c r="A97" i="17"/>
  <c r="A46" i="17"/>
  <c r="E17" i="17"/>
  <c r="A49" i="17"/>
  <c r="H17" i="17" l="1"/>
  <c r="E32" i="17"/>
  <c r="E109" i="17" s="1"/>
  <c r="E114" i="17" l="1"/>
  <c r="I25" i="17"/>
  <c r="E26" i="55" s="1"/>
  <c r="I21" i="17"/>
  <c r="E22" i="55" s="1"/>
  <c r="I23" i="17"/>
  <c r="E24" i="55" s="1"/>
  <c r="I22" i="17"/>
  <c r="E23" i="55" s="1"/>
  <c r="I24" i="17"/>
  <c r="E25" i="55" s="1"/>
  <c r="I35" i="17"/>
  <c r="E36" i="55" s="1"/>
  <c r="I36" i="17"/>
  <c r="E37" i="55" s="1"/>
  <c r="A104" i="17" l="1"/>
  <c r="F16" i="18"/>
  <c r="H64" i="17" s="1"/>
  <c r="F12" i="18"/>
  <c r="Y17" i="66" s="1"/>
  <c r="F13" i="18"/>
  <c r="H37" i="17" s="1"/>
  <c r="I20" i="17"/>
  <c r="E21" i="55" s="1"/>
  <c r="G32" i="17"/>
  <c r="A105" i="17" l="1"/>
  <c r="A106" i="17" s="1"/>
  <c r="A107" i="17" s="1"/>
  <c r="A109" i="17" s="1"/>
  <c r="H31" i="17"/>
  <c r="I31" i="17" s="1"/>
  <c r="E32" i="55" s="1"/>
  <c r="E33" i="55" s="1"/>
  <c r="F18" i="18"/>
  <c r="H38" i="17"/>
  <c r="I37" i="17"/>
  <c r="E38" i="55" s="1"/>
  <c r="E39" i="55" s="1"/>
  <c r="H65" i="17"/>
  <c r="I64" i="17"/>
  <c r="A5" i="16"/>
  <c r="A4" i="16"/>
  <c r="A2" i="16"/>
  <c r="A1" i="16"/>
  <c r="A32" i="15"/>
  <c r="A36" i="15"/>
  <c r="A31" i="15"/>
  <c r="A7" i="15"/>
  <c r="A35" i="15" s="1"/>
  <c r="A4" i="15"/>
  <c r="A2" i="15"/>
  <c r="A30" i="15" s="1"/>
  <c r="A1" i="15"/>
  <c r="H32" i="17" l="1"/>
  <c r="H109" i="17" s="1"/>
  <c r="I65" i="17"/>
  <c r="E53" i="55"/>
  <c r="E54" i="55" s="1"/>
  <c r="I38" i="17"/>
  <c r="I32" i="17"/>
  <c r="F55" i="15"/>
  <c r="A29" i="15"/>
  <c r="C55" i="15" l="1"/>
  <c r="D47" i="15"/>
  <c r="G45" i="15"/>
  <c r="G47" i="15" l="1"/>
  <c r="D45" i="15"/>
  <c r="D53" i="15"/>
  <c r="G53" i="15"/>
  <c r="D49" i="15"/>
  <c r="G49" i="15"/>
  <c r="G55" i="15" l="1"/>
  <c r="F14" i="16" s="1"/>
  <c r="F17" i="16" s="1"/>
  <c r="F19" i="16" s="1"/>
  <c r="F28" i="16" s="1"/>
  <c r="D41" i="15"/>
  <c r="E55" i="15"/>
  <c r="S14" i="63" s="1"/>
  <c r="A4" i="12"/>
  <c r="A92" i="12" s="1"/>
  <c r="A96" i="12"/>
  <c r="A94" i="12"/>
  <c r="A91" i="12"/>
  <c r="A52" i="12"/>
  <c r="A50" i="12"/>
  <c r="A47" i="12"/>
  <c r="A13" i="12"/>
  <c r="A14" i="12" s="1"/>
  <c r="A15" i="12" s="1"/>
  <c r="A16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3" i="12" s="1"/>
  <c r="A34" i="12" s="1"/>
  <c r="A35" i="12" s="1"/>
  <c r="A36" i="12" s="1"/>
  <c r="A37" i="12" s="1"/>
  <c r="A39" i="12" s="1"/>
  <c r="A40" i="12" s="1"/>
  <c r="A41" i="12" s="1"/>
  <c r="A42" i="12" s="1"/>
  <c r="A43" i="12" s="1"/>
  <c r="A44" i="12" s="1"/>
  <c r="A7" i="12"/>
  <c r="A51" i="12" s="1"/>
  <c r="A2" i="12"/>
  <c r="A46" i="12" s="1"/>
  <c r="A1" i="12"/>
  <c r="A89" i="12" s="1"/>
  <c r="A27" i="11"/>
  <c r="A23" i="11"/>
  <c r="A22" i="11"/>
  <c r="A7" i="11"/>
  <c r="A26" i="11" s="1"/>
  <c r="A4" i="11"/>
  <c r="A2" i="11"/>
  <c r="A21" i="11" s="1"/>
  <c r="A1" i="11"/>
  <c r="A20" i="11" s="1"/>
  <c r="A38" i="10"/>
  <c r="A43" i="10"/>
  <c r="A39" i="10"/>
  <c r="A37" i="10"/>
  <c r="A8" i="10"/>
  <c r="A42" i="10" s="1"/>
  <c r="A5" i="10"/>
  <c r="A2" i="10"/>
  <c r="A36" i="10" s="1"/>
  <c r="A1" i="10"/>
  <c r="A35" i="10" s="1"/>
  <c r="A28" i="9"/>
  <c r="A24" i="9"/>
  <c r="A23" i="9"/>
  <c r="A7" i="9"/>
  <c r="A27" i="9" s="1"/>
  <c r="A4" i="9"/>
  <c r="A2" i="9"/>
  <c r="A22" i="9" s="1"/>
  <c r="A1" i="9"/>
  <c r="A21" i="9" s="1"/>
  <c r="A21" i="8"/>
  <c r="A17" i="8"/>
  <c r="A16" i="8"/>
  <c r="A7" i="8"/>
  <c r="A20" i="8" s="1"/>
  <c r="A4" i="8"/>
  <c r="A2" i="8"/>
  <c r="A15" i="8" s="1"/>
  <c r="A1" i="8"/>
  <c r="A14" i="8" s="1"/>
  <c r="A17" i="7"/>
  <c r="A21" i="7"/>
  <c r="A16" i="7"/>
  <c r="A4" i="7"/>
  <c r="A7" i="7"/>
  <c r="A20" i="7" s="1"/>
  <c r="A2" i="7"/>
  <c r="A15" i="7" s="1"/>
  <c r="A1" i="7"/>
  <c r="A14" i="7" s="1"/>
  <c r="A91" i="5"/>
  <c r="A94" i="5"/>
  <c r="A96" i="5"/>
  <c r="A4" i="4"/>
  <c r="A92" i="4" s="1"/>
  <c r="A4" i="5"/>
  <c r="A92" i="5" s="1"/>
  <c r="A52" i="5"/>
  <c r="A50" i="5"/>
  <c r="A47" i="5"/>
  <c r="A7" i="5"/>
  <c r="A51" i="5" s="1"/>
  <c r="A2" i="5"/>
  <c r="A46" i="5" s="1"/>
  <c r="A1" i="5"/>
  <c r="A45" i="5" s="1"/>
  <c r="A52" i="4"/>
  <c r="A50" i="4"/>
  <c r="A47" i="4"/>
  <c r="AC14" i="63" l="1"/>
  <c r="AC19" i="63" s="1"/>
  <c r="AC27" i="63" s="1"/>
  <c r="AC38" i="63" s="1"/>
  <c r="S19" i="63"/>
  <c r="S27" i="63" s="1"/>
  <c r="S38" i="63" s="1"/>
  <c r="S42" i="63" s="1"/>
  <c r="AE14" i="63"/>
  <c r="AE19" i="63" s="1"/>
  <c r="AE27" i="63" s="1"/>
  <c r="AE38" i="63" s="1"/>
  <c r="A56" i="12"/>
  <c r="A57" i="12" s="1"/>
  <c r="A58" i="12" s="1"/>
  <c r="A59" i="12" s="1"/>
  <c r="A60" i="12" s="1"/>
  <c r="A61" i="12" s="1"/>
  <c r="A62" i="12" s="1"/>
  <c r="A63" i="12" s="1"/>
  <c r="A95" i="12"/>
  <c r="A90" i="12"/>
  <c r="A45" i="12"/>
  <c r="G16" i="12"/>
  <c r="A48" i="12"/>
  <c r="A95" i="5"/>
  <c r="A90" i="5"/>
  <c r="A89" i="5"/>
  <c r="A48" i="5"/>
  <c r="AE42" i="63" l="1"/>
  <c r="S44" i="63" s="1"/>
  <c r="AC42" i="63"/>
  <c r="F13" i="15"/>
  <c r="A65" i="12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101" i="5"/>
  <c r="A102" i="5" l="1"/>
  <c r="A103" i="5" s="1"/>
  <c r="A104" i="5" s="1"/>
  <c r="A106" i="5" s="1"/>
  <c r="AC44" i="63"/>
  <c r="AE44" i="63"/>
  <c r="M44" i="63"/>
  <c r="E44" i="63"/>
  <c r="AA44" i="63"/>
  <c r="I44" i="63"/>
  <c r="K44" i="63"/>
  <c r="O44" i="63"/>
  <c r="G44" i="63"/>
  <c r="Q44" i="63"/>
  <c r="U44" i="63"/>
  <c r="W44" i="63"/>
  <c r="Y44" i="63"/>
  <c r="A78" i="12" l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100" i="12" s="1"/>
  <c r="G76" i="4"/>
  <c r="H69" i="4"/>
  <c r="H70" i="4"/>
  <c r="H71" i="4"/>
  <c r="H72" i="4"/>
  <c r="D72" i="12" s="1"/>
  <c r="H73" i="4"/>
  <c r="H74" i="4"/>
  <c r="A13" i="4"/>
  <c r="A14" i="4" s="1"/>
  <c r="A15" i="4" s="1"/>
  <c r="A16" i="4" s="1"/>
  <c r="A7" i="4"/>
  <c r="A95" i="4" s="1"/>
  <c r="A2" i="4"/>
  <c r="A90" i="4" s="1"/>
  <c r="A1" i="4"/>
  <c r="A89" i="4" s="1"/>
  <c r="A101" i="12" l="1"/>
  <c r="J8" i="67"/>
  <c r="J8" i="68"/>
  <c r="J8" i="57"/>
  <c r="J8" i="55"/>
  <c r="P8" i="48"/>
  <c r="P67" i="48" s="1"/>
  <c r="P8" i="47"/>
  <c r="P67" i="47" s="1"/>
  <c r="G8" i="45"/>
  <c r="G28" i="45" s="1"/>
  <c r="I8" i="44"/>
  <c r="H8" i="43"/>
  <c r="E9" i="33"/>
  <c r="G9" i="32"/>
  <c r="E9" i="30"/>
  <c r="G8" i="25"/>
  <c r="G34" i="25" s="1"/>
  <c r="H8" i="28"/>
  <c r="H27" i="28" s="1"/>
  <c r="E8" i="27"/>
  <c r="E29" i="27" s="1"/>
  <c r="E8" i="26"/>
  <c r="E33" i="26" s="1"/>
  <c r="J8" i="20"/>
  <c r="J36" i="20" s="1"/>
  <c r="H8" i="18"/>
  <c r="H27" i="18" s="1"/>
  <c r="I8" i="17"/>
  <c r="F9" i="16"/>
  <c r="D71" i="12"/>
  <c r="D74" i="12"/>
  <c r="D70" i="12"/>
  <c r="D73" i="12"/>
  <c r="D69" i="12"/>
  <c r="D74" i="17"/>
  <c r="F72" i="12"/>
  <c r="H72" i="12" s="1"/>
  <c r="D76" i="55" s="1"/>
  <c r="G76" i="55" s="1"/>
  <c r="G8" i="15"/>
  <c r="G36" i="15" s="1"/>
  <c r="I8" i="7"/>
  <c r="I21" i="7" s="1"/>
  <c r="I8" i="5"/>
  <c r="H8" i="12"/>
  <c r="H8" i="11"/>
  <c r="H27" i="11" s="1"/>
  <c r="K9" i="10"/>
  <c r="K43" i="10" s="1"/>
  <c r="M8" i="9"/>
  <c r="M28" i="9" s="1"/>
  <c r="H8" i="8"/>
  <c r="H21" i="8" s="1"/>
  <c r="H8" i="4"/>
  <c r="H96" i="4" s="1"/>
  <c r="A45" i="4"/>
  <c r="A51" i="4"/>
  <c r="A46" i="4"/>
  <c r="A48" i="4"/>
  <c r="A18" i="4"/>
  <c r="A19" i="4" s="1"/>
  <c r="A20" i="4" s="1"/>
  <c r="F76" i="4"/>
  <c r="D76" i="4"/>
  <c r="H35" i="4"/>
  <c r="D35" i="12" s="1"/>
  <c r="F35" i="12" s="1"/>
  <c r="H35" i="12" s="1"/>
  <c r="D37" i="55" s="1"/>
  <c r="G37" i="55" s="1"/>
  <c r="H36" i="4"/>
  <c r="E76" i="4"/>
  <c r="G37" i="4"/>
  <c r="F37" i="4"/>
  <c r="E37" i="4"/>
  <c r="H34" i="4"/>
  <c r="D34" i="12" s="1"/>
  <c r="A102" i="12" l="1"/>
  <c r="A103" i="12" s="1"/>
  <c r="A104" i="12" s="1"/>
  <c r="A106" i="12" s="1"/>
  <c r="I53" i="44"/>
  <c r="I98" i="44"/>
  <c r="J63" i="55"/>
  <c r="I53" i="17"/>
  <c r="I98" i="17"/>
  <c r="J63" i="57"/>
  <c r="J64" i="68"/>
  <c r="J120" i="68"/>
  <c r="H52" i="43"/>
  <c r="H96" i="43"/>
  <c r="J64" i="67"/>
  <c r="G76" i="12"/>
  <c r="F23" i="15" s="1"/>
  <c r="F34" i="12"/>
  <c r="F69" i="12"/>
  <c r="D71" i="17"/>
  <c r="D76" i="12"/>
  <c r="C23" i="15" s="1"/>
  <c r="D72" i="17"/>
  <c r="F70" i="12"/>
  <c r="H70" i="12" s="1"/>
  <c r="D74" i="55" s="1"/>
  <c r="G74" i="55" s="1"/>
  <c r="F71" i="12"/>
  <c r="H71" i="12" s="1"/>
  <c r="D75" i="55" s="1"/>
  <c r="G75" i="55" s="1"/>
  <c r="D73" i="17"/>
  <c r="F73" i="12"/>
  <c r="H73" i="12" s="1"/>
  <c r="D77" i="55" s="1"/>
  <c r="G77" i="55" s="1"/>
  <c r="D75" i="17"/>
  <c r="F74" i="12"/>
  <c r="H74" i="12" s="1"/>
  <c r="D78" i="55" s="1"/>
  <c r="G78" i="55" s="1"/>
  <c r="D76" i="17"/>
  <c r="D36" i="12"/>
  <c r="F63" i="4"/>
  <c r="E63" i="4"/>
  <c r="D35" i="17"/>
  <c r="G63" i="4"/>
  <c r="D36" i="17"/>
  <c r="H52" i="4"/>
  <c r="I96" i="5"/>
  <c r="I52" i="5"/>
  <c r="H52" i="12"/>
  <c r="H96" i="12"/>
  <c r="A21" i="4"/>
  <c r="H76" i="4"/>
  <c r="H40" i="4"/>
  <c r="D40" i="12" s="1"/>
  <c r="H44" i="4"/>
  <c r="H57" i="4"/>
  <c r="H62" i="4"/>
  <c r="D62" i="12" s="1"/>
  <c r="H41" i="4"/>
  <c r="H37" i="4"/>
  <c r="H42" i="4"/>
  <c r="H25" i="4"/>
  <c r="D25" i="12" s="1"/>
  <c r="D31" i="4"/>
  <c r="H14" i="4"/>
  <c r="D14" i="12" s="1"/>
  <c r="F14" i="12" s="1"/>
  <c r="H14" i="12" s="1"/>
  <c r="D16" i="55" s="1"/>
  <c r="G16" i="55" s="1"/>
  <c r="H20" i="4"/>
  <c r="H30" i="4"/>
  <c r="D30" i="12" s="1"/>
  <c r="H28" i="4"/>
  <c r="H27" i="4"/>
  <c r="H21" i="4"/>
  <c r="E31" i="4"/>
  <c r="F16" i="4"/>
  <c r="E16" i="4"/>
  <c r="D16" i="4"/>
  <c r="H13" i="4"/>
  <c r="D13" i="12" s="1"/>
  <c r="F13" i="12" s="1"/>
  <c r="G16" i="4"/>
  <c r="H19" i="4"/>
  <c r="D19" i="12" s="1"/>
  <c r="H26" i="4"/>
  <c r="H15" i="4"/>
  <c r="D15" i="12" s="1"/>
  <c r="F15" i="12" s="1"/>
  <c r="H15" i="12" s="1"/>
  <c r="D17" i="55" s="1"/>
  <c r="G17" i="55" s="1"/>
  <c r="G31" i="4"/>
  <c r="F31" i="4"/>
  <c r="F106" i="4" l="1"/>
  <c r="F36" i="12"/>
  <c r="F37" i="12" s="1"/>
  <c r="E19" i="15" s="1"/>
  <c r="F13" i="11"/>
  <c r="G36" i="12" s="1"/>
  <c r="G37" i="12" s="1"/>
  <c r="F19" i="15" s="1"/>
  <c r="D78" i="17"/>
  <c r="D37" i="17"/>
  <c r="D38" i="17" s="1"/>
  <c r="D26" i="12"/>
  <c r="D21" i="12"/>
  <c r="F40" i="12"/>
  <c r="D41" i="17"/>
  <c r="D27" i="12"/>
  <c r="D42" i="12"/>
  <c r="F62" i="12"/>
  <c r="D64" i="17"/>
  <c r="H69" i="12"/>
  <c r="D73" i="55" s="1"/>
  <c r="F76" i="12"/>
  <c r="E23" i="15" s="1"/>
  <c r="D28" i="12"/>
  <c r="D57" i="12"/>
  <c r="D37" i="12"/>
  <c r="D20" i="12"/>
  <c r="D41" i="12"/>
  <c r="F30" i="12"/>
  <c r="D31" i="17"/>
  <c r="F25" i="12"/>
  <c r="H25" i="12" s="1"/>
  <c r="D27" i="55" s="1"/>
  <c r="G27" i="55" s="1"/>
  <c r="D26" i="17"/>
  <c r="D44" i="12"/>
  <c r="H34" i="12"/>
  <c r="D36" i="55" s="1"/>
  <c r="F19" i="12"/>
  <c r="D106" i="4"/>
  <c r="D111" i="4" s="1"/>
  <c r="E106" i="4"/>
  <c r="G106" i="4"/>
  <c r="A22" i="4"/>
  <c r="A23" i="4" s="1"/>
  <c r="A24" i="4" s="1"/>
  <c r="A25" i="4" s="1"/>
  <c r="A26" i="4" s="1"/>
  <c r="A27" i="4" s="1"/>
  <c r="A28" i="4" s="1"/>
  <c r="A29" i="4" s="1"/>
  <c r="A30" i="4" s="1"/>
  <c r="A31" i="4" s="1"/>
  <c r="A33" i="4" s="1"/>
  <c r="A34" i="4" s="1"/>
  <c r="A35" i="4" s="1"/>
  <c r="A36" i="4" s="1"/>
  <c r="A37" i="4" s="1"/>
  <c r="H13" i="12"/>
  <c r="D15" i="55" s="1"/>
  <c r="F16" i="12"/>
  <c r="F16" i="11"/>
  <c r="G62" i="12" s="1"/>
  <c r="H63" i="4"/>
  <c r="D20" i="17"/>
  <c r="D15" i="17"/>
  <c r="D16" i="17"/>
  <c r="D14" i="17"/>
  <c r="D16" i="12"/>
  <c r="H16" i="4"/>
  <c r="H31" i="4"/>
  <c r="G36" i="55" l="1"/>
  <c r="G73" i="55"/>
  <c r="G80" i="55" s="1"/>
  <c r="D80" i="55"/>
  <c r="G15" i="55"/>
  <c r="G18" i="55" s="1"/>
  <c r="D18" i="55"/>
  <c r="H62" i="12"/>
  <c r="D53" i="55" s="1"/>
  <c r="G53" i="55" s="1"/>
  <c r="H36" i="12"/>
  <c r="D38" i="55" s="1"/>
  <c r="G38" i="55" s="1"/>
  <c r="D31" i="12"/>
  <c r="C17" i="15" s="1"/>
  <c r="F41" i="12"/>
  <c r="H41" i="12" s="1"/>
  <c r="D43" i="55" s="1"/>
  <c r="G43" i="55" s="1"/>
  <c r="D42" i="17"/>
  <c r="F57" i="12"/>
  <c r="H57" i="12" s="1"/>
  <c r="D48" i="55" s="1"/>
  <c r="G48" i="55" s="1"/>
  <c r="D59" i="17"/>
  <c r="F42" i="12"/>
  <c r="D43" i="17"/>
  <c r="D63" i="12"/>
  <c r="C21" i="15" s="1"/>
  <c r="F44" i="12"/>
  <c r="H44" i="12" s="1"/>
  <c r="D46" i="55" s="1"/>
  <c r="G46" i="55" s="1"/>
  <c r="D45" i="17"/>
  <c r="F20" i="12"/>
  <c r="H20" i="12" s="1"/>
  <c r="D22" i="55" s="1"/>
  <c r="G22" i="55" s="1"/>
  <c r="D21" i="17"/>
  <c r="H76" i="12"/>
  <c r="F26" i="12"/>
  <c r="H26" i="12" s="1"/>
  <c r="D28" i="55" s="1"/>
  <c r="G28" i="55" s="1"/>
  <c r="D27" i="17"/>
  <c r="C19" i="15"/>
  <c r="F21" i="12"/>
  <c r="H21" i="12" s="1"/>
  <c r="D23" i="55" s="1"/>
  <c r="G23" i="55" s="1"/>
  <c r="D22" i="17"/>
  <c r="D29" i="17"/>
  <c r="F28" i="12"/>
  <c r="H28" i="12" s="1"/>
  <c r="D30" i="55" s="1"/>
  <c r="G30" i="55" s="1"/>
  <c r="F27" i="12"/>
  <c r="H27" i="12" s="1"/>
  <c r="D29" i="55" s="1"/>
  <c r="G29" i="55" s="1"/>
  <c r="D28" i="17"/>
  <c r="H40" i="12"/>
  <c r="D42" i="55" s="1"/>
  <c r="H19" i="12"/>
  <c r="D21" i="55" s="1"/>
  <c r="H106" i="4"/>
  <c r="E13" i="15"/>
  <c r="G19" i="15"/>
  <c r="D23" i="15"/>
  <c r="H16" i="12"/>
  <c r="F12" i="11"/>
  <c r="Y14" i="66" s="1"/>
  <c r="Y19" i="66" s="1"/>
  <c r="Y27" i="66" s="1"/>
  <c r="Y38" i="66" s="1"/>
  <c r="G23" i="15"/>
  <c r="I15" i="17"/>
  <c r="E16" i="55" s="1"/>
  <c r="D17" i="17"/>
  <c r="C13" i="15"/>
  <c r="A39" i="4"/>
  <c r="A40" i="4" s="1"/>
  <c r="A41" i="4" s="1"/>
  <c r="A42" i="4" s="1"/>
  <c r="A43" i="4" s="1"/>
  <c r="A44" i="4" s="1"/>
  <c r="Y40" i="66" l="1"/>
  <c r="AC40" i="66" s="1"/>
  <c r="G30" i="12"/>
  <c r="G31" i="12" s="1"/>
  <c r="D39" i="55"/>
  <c r="G21" i="55"/>
  <c r="G42" i="55"/>
  <c r="G39" i="55"/>
  <c r="H37" i="12"/>
  <c r="F63" i="12"/>
  <c r="E21" i="15" s="1"/>
  <c r="D21" i="15" s="1"/>
  <c r="D65" i="17"/>
  <c r="D32" i="17"/>
  <c r="F31" i="12"/>
  <c r="D106" i="12"/>
  <c r="D113" i="17" s="1"/>
  <c r="D19" i="15"/>
  <c r="C27" i="15"/>
  <c r="G13" i="15"/>
  <c r="D13" i="15"/>
  <c r="Y42" i="66" l="1"/>
  <c r="F17" i="15"/>
  <c r="H30" i="12"/>
  <c r="D32" i="55" s="1"/>
  <c r="G32" i="55" s="1"/>
  <c r="G33" i="55" s="1"/>
  <c r="D109" i="17"/>
  <c r="E17" i="15"/>
  <c r="F106" i="12"/>
  <c r="A56" i="4"/>
  <c r="A57" i="4" s="1"/>
  <c r="G15" i="15"/>
  <c r="D33" i="55" l="1"/>
  <c r="H31" i="12"/>
  <c r="D17" i="15"/>
  <c r="G17" i="15"/>
  <c r="E27" i="15"/>
  <c r="A58" i="4"/>
  <c r="A59" i="4" s="1"/>
  <c r="A60" i="4" s="1"/>
  <c r="A61" i="4" s="1"/>
  <c r="A62" i="4" s="1"/>
  <c r="A63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I16" i="17"/>
  <c r="E17" i="55" s="1"/>
  <c r="G17" i="17" l="1"/>
  <c r="G109" i="17" s="1"/>
  <c r="S17" i="66" s="1"/>
  <c r="AC17" i="66" s="1"/>
  <c r="I14" i="17"/>
  <c r="E15" i="55" s="1"/>
  <c r="E18" i="55" s="1"/>
  <c r="E99" i="55" s="1"/>
  <c r="A78" i="4" l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100" i="4" s="1"/>
  <c r="AE17" i="66"/>
  <c r="I17" i="17"/>
  <c r="I109" i="17" s="1"/>
  <c r="D16" i="16" l="1"/>
  <c r="A101" i="4"/>
  <c r="A102" i="4" l="1"/>
  <c r="A103" i="4" s="1"/>
  <c r="A104" i="4" s="1"/>
  <c r="A106" i="4" s="1"/>
  <c r="H26" i="20" l="1"/>
  <c r="F18" i="47" l="1"/>
  <c r="F17" i="47" s="1"/>
  <c r="F19" i="47" s="1"/>
  <c r="F21" i="47" s="1"/>
  <c r="S14" i="66"/>
  <c r="S19" i="66" s="1"/>
  <c r="S27" i="66" s="1"/>
  <c r="S38" i="66" s="1"/>
  <c r="S42" i="66" s="1"/>
  <c r="E18" i="47"/>
  <c r="G18" i="47"/>
  <c r="AE14" i="66" l="1"/>
  <c r="AE19" i="66" s="1"/>
  <c r="AE27" i="66" s="1"/>
  <c r="AE38" i="66" s="1"/>
  <c r="AE42" i="66" s="1"/>
  <c r="W44" i="66" s="1"/>
  <c r="E17" i="47"/>
  <c r="G17" i="47"/>
  <c r="Q44" i="66" l="1"/>
  <c r="AE44" i="66"/>
  <c r="Y44" i="66"/>
  <c r="AA44" i="66"/>
  <c r="G44" i="66"/>
  <c r="M44" i="66"/>
  <c r="K44" i="66"/>
  <c r="O44" i="66"/>
  <c r="E44" i="66"/>
  <c r="I44" i="66"/>
  <c r="S44" i="66"/>
  <c r="E19" i="47"/>
  <c r="G19" i="47"/>
  <c r="E21" i="47" l="1"/>
  <c r="F57" i="47"/>
  <c r="G21" i="47"/>
  <c r="F118" i="47" l="1"/>
  <c r="G57" i="47"/>
  <c r="E57" i="47"/>
  <c r="D73" i="37" l="1"/>
  <c r="D18" i="11" l="1"/>
  <c r="F14" i="11"/>
  <c r="U14" i="66" s="1"/>
  <c r="U19" i="66" l="1"/>
  <c r="U27" i="66" s="1"/>
  <c r="U38" i="66" s="1"/>
  <c r="U42" i="66" s="1"/>
  <c r="U44" i="66" s="1"/>
  <c r="AC14" i="66"/>
  <c r="AC19" i="66" s="1"/>
  <c r="AC27" i="66" s="1"/>
  <c r="AC38" i="66" s="1"/>
  <c r="AC42" i="66" s="1"/>
  <c r="F18" i="11"/>
  <c r="G42" i="12"/>
  <c r="AC44" i="66" l="1"/>
  <c r="H42" i="12"/>
  <c r="G63" i="12"/>
  <c r="F21" i="15" l="1"/>
  <c r="G106" i="12"/>
  <c r="H63" i="12"/>
  <c r="H106" i="12" s="1"/>
  <c r="D103" i="55" s="1"/>
  <c r="D44" i="55"/>
  <c r="G44" i="55" l="1"/>
  <c r="G54" i="55" s="1"/>
  <c r="G99" i="55" s="1"/>
  <c r="D54" i="55"/>
  <c r="D99" i="55" s="1"/>
  <c r="F27" i="15"/>
  <c r="G21" i="15"/>
  <c r="G27" i="15" s="1"/>
  <c r="D14" i="16" s="1"/>
  <c r="D17" i="16" s="1"/>
  <c r="D19" i="16" s="1"/>
  <c r="D28" i="16" s="1"/>
</calcChain>
</file>

<file path=xl/comments1.xml><?xml version="1.0" encoding="utf-8"?>
<comments xmlns="http://schemas.openxmlformats.org/spreadsheetml/2006/main">
  <authors>
    <author>Author</author>
  </authors>
  <commentList>
    <comment ref="B65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78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65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78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B65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78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B65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78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B67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80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B67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80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B69" authorId="0" shapeId="0">
      <text>
        <r>
          <rPr>
            <b/>
            <sz val="9"/>
            <color indexed="81"/>
            <rFont val="Tahoma"/>
            <family val="2"/>
          </rPr>
          <t>"G" to indentify gas plant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B69" authorId="0" shapeId="0">
      <text>
        <r>
          <rPr>
            <b/>
            <sz val="9"/>
            <color indexed="81"/>
            <rFont val="Tahoma"/>
            <family val="2"/>
          </rPr>
          <t>"G" to indentify gas plant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sharedStrings.xml><?xml version="1.0" encoding="utf-8"?>
<sst xmlns="http://schemas.openxmlformats.org/spreadsheetml/2006/main" count="5444" uniqueCount="1818">
  <si>
    <t>KENTUCKY UTILITIES COMPANY</t>
  </si>
  <si>
    <t>KENTUCKY - TOTAL PLANT IN SERVICE - ELECTRIC - NBV - REGULATORY ACCOUNTING</t>
  </si>
  <si>
    <t>BASE PERIOD-FEBRUARY 2015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</si>
  <si>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</si>
  <si>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</si>
  <si>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</si>
  <si>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</si>
  <si>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</si>
  <si>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</si>
  <si>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</si>
  <si>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</si>
  <si>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</si>
  <si>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</si>
  <si>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</si>
  <si>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</si>
  <si>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</si>
  <si>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</si>
  <si>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E302.00-Franchises and Consents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</si>
  <si>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</si>
  <si>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</si>
  <si>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</si>
  <si>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</si>
  <si>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</si>
  <si>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</si>
  <si>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</si>
  <si>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</si>
  <si>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</si>
  <si>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</si>
  <si>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</si>
  <si>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</si>
  <si>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</si>
  <si>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</si>
  <si>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</si>
  <si>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</si>
  <si>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</si>
  <si>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</si>
  <si>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</si>
  <si>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</si>
  <si>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</si>
  <si>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</si>
  <si>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</si>
  <si>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</si>
  <si>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Structures and Improvements</t>
  </si>
  <si>
    <t>Land and Land Rights</t>
  </si>
  <si>
    <t>Transportation Equipment</t>
  </si>
  <si>
    <t>Office Furniture and Equipment</t>
  </si>
  <si>
    <t>Communication Equipment</t>
  </si>
  <si>
    <t xml:space="preserve"> </t>
  </si>
  <si>
    <t>DATA:____BASE  PERIOD__X__FORECASTED  PERIOD</t>
  </si>
  <si>
    <t>FORECAST PERIOD BEGINNING BALANCE</t>
  </si>
  <si>
    <t>FORECAST PERIOD     ENDING BALANCE</t>
  </si>
  <si>
    <t>FORECAST PERIOD            13 MONTH AVERAGE</t>
  </si>
  <si>
    <r>
      <t>TYPE OF FILING: __</t>
    </r>
    <r>
      <rPr>
        <u/>
        <sz val="10"/>
        <rFont val="Arial"/>
        <family val="2"/>
      </rPr>
      <t>X__</t>
    </r>
    <r>
      <rPr>
        <sz val="10"/>
        <rFont val="Arial"/>
        <family val="2"/>
      </rPr>
      <t xml:space="preserve"> ORIGINAL  _____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</si>
  <si>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</si>
  <si>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_____ UPDATED  __X__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</si>
  <si>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</si>
  <si>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</si>
  <si>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</si>
  <si>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</si>
  <si>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</si>
  <si>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</si>
  <si>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</si>
  <si>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</si>
  <si>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</si>
  <si>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</si>
  <si>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</si>
  <si>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</si>
  <si>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</si>
  <si>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</si>
  <si>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</si>
  <si>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</si>
  <si>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</si>
  <si>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</si>
  <si>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</si>
  <si>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</si>
  <si>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</si>
  <si>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</si>
  <si>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</si>
  <si>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</si>
  <si>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</si>
  <si>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</si>
  <si>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</si>
  <si>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</si>
  <si>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</si>
  <si>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</si>
  <si>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</si>
  <si>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</si>
  <si>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</si>
  <si>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</si>
  <si>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</si>
  <si>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</si>
  <si>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</si>
  <si>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</si>
  <si>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</si>
  <si>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</si>
  <si>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</si>
  <si>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</si>
  <si>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</si>
  <si>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</si>
  <si>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</si>
  <si>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</si>
  <si>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</si>
  <si>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</si>
  <si>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</si>
  <si>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</si>
  <si>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</si>
  <si>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</si>
  <si>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</si>
  <si>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</si>
  <si>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</si>
  <si>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</si>
  <si>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</si>
  <si>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</si>
  <si>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</si>
  <si>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</si>
  <si>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</si>
  <si>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>TRANSMISSION</t>
  </si>
  <si>
    <t/>
  </si>
  <si>
    <t>INTANGIBLE PLANT</t>
  </si>
  <si>
    <t>CONSTRUCTION WORK IN PROGRESS</t>
  </si>
  <si>
    <t>13 MO AVG FORECAST PERIOD      TOTAL COMPANY</t>
  </si>
  <si>
    <t>SCHEDULE B-2</t>
  </si>
  <si>
    <t>PLANT IN SERVICE BY MAJOR PROPERTY GROUPING</t>
  </si>
  <si>
    <t>MAJOR PROPERTY GROUPING</t>
  </si>
  <si>
    <t>13 MO AVG FORECAST PERIOD        TOTAL COMPANY</t>
  </si>
  <si>
    <t>DISTRIBUTION</t>
  </si>
  <si>
    <t>GENERAL</t>
  </si>
  <si>
    <t>13 MO AVG ADJUSTED JURISDICTION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</si>
  <si>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</si>
  <si>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</si>
  <si>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</si>
  <si>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</si>
  <si>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</si>
  <si>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</si>
  <si>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</si>
  <si>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</si>
  <si>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</si>
  <si>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</si>
  <si>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</si>
  <si>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</si>
  <si>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</si>
  <si>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</si>
  <si>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</si>
  <si>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</si>
  <si>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</si>
  <si>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</si>
  <si>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</si>
  <si>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</si>
  <si>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</si>
  <si>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</si>
  <si>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</si>
  <si>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</si>
  <si>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</si>
  <si>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</si>
  <si>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</si>
  <si>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</si>
  <si>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</si>
  <si>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</si>
  <si>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</si>
  <si>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less RWIP</t>
  </si>
  <si>
    <t>SCHEDULE B-3.1</t>
  </si>
  <si>
    <t>ADJUSTMENTS TO ACCUMULATED DEPRECIATION AND AMORTIZATION</t>
  </si>
  <si>
    <t>Net Plant in Service (Lines 1+2+3)</t>
  </si>
  <si>
    <t>Net Plant (Lines 4+5)</t>
  </si>
  <si>
    <t>13 MO AVG FORECAST PERIOD      TOTAL COMPANY INVESTMENT</t>
  </si>
  <si>
    <t>13 MONTH AVERAGE RESERVE BALANCES</t>
  </si>
  <si>
    <t>SCHEDULE B-4</t>
  </si>
  <si>
    <t>CONSTRUCTION AMOUNT</t>
  </si>
  <si>
    <t>AFUDC CAPITALIZED</t>
  </si>
  <si>
    <t>INDIRECT COSTS</t>
  </si>
  <si>
    <t>TOTAL COSTS</t>
  </si>
  <si>
    <t>ACCUMULATED COSTS</t>
  </si>
  <si>
    <t>13 MO AVG CONSTRUCTION AMOUNT</t>
  </si>
  <si>
    <t>13 MO AVG TOTAL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</si>
  <si>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</si>
  <si>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</si>
  <si>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</si>
  <si>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</si>
  <si>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</si>
  <si>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</si>
  <si>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</si>
  <si>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</si>
  <si>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</si>
  <si>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</si>
  <si>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</si>
  <si>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</si>
  <si>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</si>
  <si>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</si>
  <si>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</si>
  <si>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</si>
  <si>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</si>
  <si>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</si>
  <si>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</si>
  <si>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</si>
  <si>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</si>
  <si>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</si>
  <si>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</si>
  <si>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</si>
  <si>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</si>
  <si>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</si>
  <si>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</si>
  <si>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</si>
  <si>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</si>
  <si>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ACCRUAL RATE</t>
  </si>
  <si>
    <t>CALCULATED DEPRECIATION EXPENSE</t>
  </si>
  <si>
    <t>(G=DxF)</t>
  </si>
  <si>
    <t>% NET SALVAGE</t>
  </si>
  <si>
    <t>CURVE FORM</t>
  </si>
  <si>
    <t>(J)</t>
  </si>
  <si>
    <t>APPROVED RATES AS OF JANUARY 1, 2013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</si>
  <si>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</si>
  <si>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</si>
  <si>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</si>
  <si>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</si>
  <si>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</si>
  <si>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</si>
  <si>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</si>
  <si>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</si>
  <si>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</si>
  <si>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</si>
  <si>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</si>
  <si>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</si>
  <si>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</si>
  <si>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</si>
  <si>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</t>
  </si>
  <si>
    <t>CURVE</t>
  </si>
  <si>
    <t>LIFE</t>
  </si>
  <si>
    <t xml:space="preserve">DEPRECIABLE PLANT </t>
  </si>
  <si>
    <t>20-SQ</t>
  </si>
  <si>
    <t>5-SQ</t>
  </si>
  <si>
    <t>CCS SOFTWARE</t>
  </si>
  <si>
    <t>SQUARE</t>
  </si>
  <si>
    <t xml:space="preserve">    TOTAL INTANGIBLE PLANT </t>
  </si>
  <si>
    <t xml:space="preserve">-  </t>
  </si>
  <si>
    <t>STRUCTURES AND IMPROVEMENTS</t>
  </si>
  <si>
    <t>55-R4</t>
  </si>
  <si>
    <t>45-R2.5</t>
  </si>
  <si>
    <t>45-R3</t>
  </si>
  <si>
    <t>35-R2</t>
  </si>
  <si>
    <t xml:space="preserve">TRANSMISSION PLANT </t>
  </si>
  <si>
    <t xml:space="preserve">    TOTAL TRANSMISSION PLANT </t>
  </si>
  <si>
    <t xml:space="preserve">DISTRIBUTION PLANT </t>
  </si>
  <si>
    <t>65-R4</t>
  </si>
  <si>
    <t>50-R4</t>
  </si>
  <si>
    <t xml:space="preserve">    TOTAL DISTRIBUTION PLANT </t>
  </si>
  <si>
    <t xml:space="preserve">GENERAL PLANT </t>
  </si>
  <si>
    <t>4-SQ</t>
  </si>
  <si>
    <t>TRANSPORTATION EQUIPMENT - CARS AND LIGHT TRUCKS</t>
  </si>
  <si>
    <t>7-L2.5</t>
  </si>
  <si>
    <t>TRANSPORTATION EQUIPMENT - HEAVY TRUCKS AND OTHER</t>
  </si>
  <si>
    <t>14-S1.5</t>
  </si>
  <si>
    <t>25-SQ</t>
  </si>
  <si>
    <t>12-L1.5</t>
  </si>
  <si>
    <t>COMMUNICATION EQUIPMENT - MICROWAVE ASSETS</t>
  </si>
  <si>
    <t>10-SQ</t>
  </si>
  <si>
    <t>25-S1</t>
  </si>
  <si>
    <t xml:space="preserve">    TOTAL GENERAL PLANT </t>
  </si>
  <si>
    <t xml:space="preserve">    TOTAL DEPRECIABLE PLANT </t>
  </si>
  <si>
    <t>5-SQ, SQUARE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</si>
  <si>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</si>
  <si>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</si>
  <si>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</si>
  <si>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</si>
  <si>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</si>
  <si>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</si>
  <si>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</si>
  <si>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MATERIAL AND SUPPLIES</t>
  </si>
  <si>
    <t>CASH WORKING CAPITAL</t>
  </si>
  <si>
    <t>TOTAL WORKING CAPITAL REQUIREMENTS</t>
  </si>
  <si>
    <t>PREPAYMENTS (a)</t>
  </si>
  <si>
    <t>(a) Excludes PSC fees.</t>
  </si>
  <si>
    <t>13 MONTH AVERAGE BALANCE</t>
  </si>
  <si>
    <t>B-5.1</t>
  </si>
  <si>
    <t>B-5.2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</si>
  <si>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</si>
  <si>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</si>
  <si>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</si>
  <si>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</si>
  <si>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</si>
  <si>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</si>
  <si>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CASH WORKING CAPITAL (12.5% OF LINE 3)</t>
  </si>
  <si>
    <t>SCHEDULE B-6</t>
  </si>
  <si>
    <t>CERTAIN DEFERRED CREDITS AND ACCUMULATED DEFERRED INCOME TAXES</t>
  </si>
  <si>
    <t>Deferred Investment Tax Credits</t>
  </si>
  <si>
    <t>UTILITY PLANT</t>
  </si>
  <si>
    <t>CURRENT AND ACCRUED ASSETS</t>
  </si>
  <si>
    <t>Total Current and Accrued Assets</t>
  </si>
  <si>
    <t>PROPRIETARY CAPITAL</t>
  </si>
  <si>
    <t>LONG-TERM DEBT</t>
  </si>
  <si>
    <t>CURRENT AND ACCRUED LIABILITIES</t>
  </si>
  <si>
    <t>Total Current and Accrued Liabilities</t>
  </si>
  <si>
    <t>DEFERRED CREDITS</t>
  </si>
  <si>
    <t>Total Deferred Credits</t>
  </si>
  <si>
    <t>190, 282, 283</t>
  </si>
  <si>
    <t>FORECAST PERIOD TOTAL COMPANY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</si>
  <si>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</si>
  <si>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</si>
  <si>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</si>
  <si>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</si>
  <si>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</si>
  <si>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</si>
  <si>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</si>
  <si>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</si>
  <si>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KENTUCKY AMERICAN WATER COMPANY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</si>
  <si>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</si>
  <si>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</si>
  <si>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</si>
  <si>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</si>
  <si>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</si>
  <si>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</si>
  <si>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</si>
  <si>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</si>
  <si>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</si>
  <si>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DESCRIPTIONS BY MAJOR GROUPINGS OR ACCOUNT</t>
  </si>
  <si>
    <t>STATISTIC TOTAL COMPANY</t>
  </si>
  <si>
    <t>ADJUSTMENT TO TOTAL COMPANY STATISTIC</t>
  </si>
  <si>
    <t>ADJUSTED STATISTIC FOR TOTAL COMPANY</t>
  </si>
  <si>
    <t>(E=C+D)</t>
  </si>
  <si>
    <t>STATISTIC FOR RATE AREA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</si>
  <si>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</si>
  <si>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</si>
  <si>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</si>
  <si>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</si>
  <si>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</si>
  <si>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</si>
  <si>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</si>
  <si>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</si>
  <si>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LGE Common General </t>
  </si>
  <si>
    <t xml:space="preserve">   LGE Common Intangible </t>
  </si>
  <si>
    <t xml:space="preserve">   LGE Gas Distribution </t>
  </si>
  <si>
    <t xml:space="preserve">   LGE Gas Distribution GLT </t>
  </si>
  <si>
    <t xml:space="preserve">   LGE Gas General </t>
  </si>
  <si>
    <t xml:space="preserve">   LGE Gas Storage </t>
  </si>
  <si>
    <t xml:space="preserve">   LGE Gas Transmission </t>
  </si>
  <si>
    <t>Ending RWIP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</si>
  <si>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</si>
  <si>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</si>
  <si>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</si>
  <si>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</si>
  <si>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</si>
  <si>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</si>
  <si>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</si>
  <si>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</si>
  <si>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</si>
  <si>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</si>
  <si>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</si>
  <si>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</si>
  <si>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</si>
  <si>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</si>
  <si>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</si>
  <si>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</si>
  <si>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</si>
  <si>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</si>
  <si>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</si>
  <si>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</si>
  <si>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Stores Expense Undistributed</t>
  </si>
  <si>
    <t>Prepayments</t>
  </si>
  <si>
    <t>Accrued Utility Revenues</t>
  </si>
  <si>
    <t>Miscellaneous Current Assets</t>
  </si>
  <si>
    <t>DEFERRED DEBITS</t>
  </si>
  <si>
    <t>Unamortized Debt Expense</t>
  </si>
  <si>
    <t>Other Regulatory Assets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</si>
  <si>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</si>
  <si>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</si>
  <si>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</si>
  <si>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</si>
  <si>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</si>
  <si>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</si>
  <si>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</si>
  <si>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</si>
  <si>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</si>
  <si>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</si>
  <si>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</si>
  <si>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</si>
  <si>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Total Long-Term Debt</t>
  </si>
  <si>
    <t>OTHER NON-CURRENT LIABILITIES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</si>
  <si>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</si>
  <si>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</si>
  <si>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</si>
  <si>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</si>
  <si>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</si>
  <si>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</si>
  <si>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</si>
  <si>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</si>
  <si>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</si>
  <si>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</si>
  <si>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</si>
  <si>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</si>
  <si>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</si>
  <si>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</si>
  <si>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</si>
  <si>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</si>
  <si>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</si>
  <si>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</si>
  <si>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</si>
  <si>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</si>
  <si>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</si>
  <si>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</si>
  <si>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</si>
  <si>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</si>
  <si>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</si>
  <si>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</si>
  <si>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</si>
  <si>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</si>
  <si>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</si>
  <si>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</si>
  <si>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</si>
  <si>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</si>
  <si>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Ending Gross Plant Balance</t>
  </si>
  <si>
    <t>Less: Retirements</t>
  </si>
  <si>
    <t>Ending Accum Depreciation</t>
  </si>
  <si>
    <t>301</t>
  </si>
  <si>
    <t>Organization</t>
  </si>
  <si>
    <t>302</t>
  </si>
  <si>
    <t>Franchises and Consents</t>
  </si>
  <si>
    <t>303</t>
  </si>
  <si>
    <t>Misc Intangible Plant</t>
  </si>
  <si>
    <t>Services</t>
  </si>
  <si>
    <t>Meters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</si>
  <si>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</si>
  <si>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</si>
  <si>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</si>
  <si>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</si>
  <si>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</si>
  <si>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</si>
  <si>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</si>
  <si>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</si>
  <si>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</si>
  <si>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</si>
  <si>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</si>
  <si>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</si>
  <si>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</si>
  <si>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</si>
  <si>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</si>
  <si>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LOUISVILLE GAS AND ELECTRIC COMPANY</t>
  </si>
  <si>
    <t xml:space="preserve">   LGE-3121 - Common Nonutility - Property </t>
  </si>
  <si>
    <t xml:space="preserve">   LGE-3301 - Common Intangible - Organization </t>
  </si>
  <si>
    <t xml:space="preserve">   LGE-3303 - Common Intangible - Software </t>
  </si>
  <si>
    <t xml:space="preserve">   LGE-3303 - Common Intangible - Software - CCS </t>
  </si>
  <si>
    <t xml:space="preserve">   LGE-3389 - Common General - Land &amp; Land Rights </t>
  </si>
  <si>
    <t xml:space="preserve">   LGE-3390 - Common General - Structures and Improvements </t>
  </si>
  <si>
    <t xml:space="preserve">   LGE-3391 - Common General - Office Equipment </t>
  </si>
  <si>
    <t xml:space="preserve">   LGE-3392 - Common General - Transportation Equipment </t>
  </si>
  <si>
    <t xml:space="preserve">   LGE-3393 - Common General - Stores Equipment </t>
  </si>
  <si>
    <t xml:space="preserve">   LGE-3394 - Common General - Tools, Shop, Garage Equipment </t>
  </si>
  <si>
    <t xml:space="preserve">   LGE-3396 - Common General - Power Operated Equipment </t>
  </si>
  <si>
    <t xml:space="preserve">   LGE-3397 - Common General - Communication Equipment </t>
  </si>
  <si>
    <t xml:space="preserve">   LGE-3397 IN - Common General - Communication Equipment </t>
  </si>
  <si>
    <t xml:space="preserve">   LGE-3397 KY - Common General - Communication Equipment </t>
  </si>
  <si>
    <t xml:space="preserve">   LGE-3398 - Common General - Miscellaneous Equipment </t>
  </si>
  <si>
    <t>Common plant</t>
  </si>
  <si>
    <t>Common plant additions</t>
  </si>
  <si>
    <t>C</t>
  </si>
  <si>
    <t>Common plant retirements</t>
  </si>
  <si>
    <t>KENTUCKY &amp; INDIANA</t>
  </si>
  <si>
    <t>Total 101 &amp; 106</t>
  </si>
  <si>
    <t>General</t>
  </si>
  <si>
    <t>Intangible</t>
  </si>
  <si>
    <t>Common General</t>
  </si>
  <si>
    <t>C389.10-Land</t>
  </si>
  <si>
    <t>C389.20-Land Rights</t>
  </si>
  <si>
    <t>C390.10-Struct and Imp-Gen Offices</t>
  </si>
  <si>
    <t>C390.20-Struc and Imp-Transportatio</t>
  </si>
  <si>
    <t>C390.30-Struct and Imp - Stores</t>
  </si>
  <si>
    <t>C390.40-Struct and Imp - Shops</t>
  </si>
  <si>
    <t>C390.60-Struct and Imp - Microwave</t>
  </si>
  <si>
    <t>C391.10-Office Furniture</t>
  </si>
  <si>
    <t>C391.20-Office Equipment</t>
  </si>
  <si>
    <t>C391.30-Computer Equipment</t>
  </si>
  <si>
    <t>C391.31-Personal Computers</t>
  </si>
  <si>
    <t>C391.33 Computer Equip ECR 2006</t>
  </si>
  <si>
    <t>C391.40-Security Equipment</t>
  </si>
  <si>
    <t>C392.00-Cars and Light Trucks</t>
  </si>
  <si>
    <t>C392.10-Heavy Trucks and Other</t>
  </si>
  <si>
    <t xml:space="preserve">C392.20-Trans Equip-Trailers </t>
  </si>
  <si>
    <t>C393.00-Stores Equipment</t>
  </si>
  <si>
    <t>C394.00-Tools, Shop, Garage Equip</t>
  </si>
  <si>
    <t>C395.00-Laboratory Equipment</t>
  </si>
  <si>
    <t>C396.10-Power Op Equip-Lg Machinery</t>
  </si>
  <si>
    <t>C396.20-Power Op Equip - Other</t>
  </si>
  <si>
    <t>C397.00-Communication Equipment</t>
  </si>
  <si>
    <t>C397.10-Communication Equip-Compute</t>
  </si>
  <si>
    <t>C398.00-Miscellaneous Equipment</t>
  </si>
  <si>
    <t>C399.15-ARO Cost Common (L/B)</t>
  </si>
  <si>
    <t>C301.00-Organization</t>
  </si>
  <si>
    <t>C302.00-Franchises and Consents</t>
  </si>
  <si>
    <t>C303.00-Misc Intang Plant-Software</t>
  </si>
  <si>
    <t>C303.10-CCS Software</t>
  </si>
  <si>
    <t>C303.20-Law Library</t>
  </si>
  <si>
    <t>Total Common Plant in Service</t>
  </si>
  <si>
    <t>ARO Cost Common</t>
  </si>
  <si>
    <t>CHECK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</si>
  <si>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</si>
  <si>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</si>
  <si>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</si>
  <si>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</si>
  <si>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</si>
  <si>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</si>
  <si>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</si>
  <si>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</si>
  <si>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</si>
  <si>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</si>
  <si>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>Common Plant (1)</t>
  </si>
  <si>
    <t>COMMON</t>
  </si>
  <si>
    <t xml:space="preserve">   LGE-2117 KY - Gas Storage - Gas Stored Underground - Noncurrent </t>
  </si>
  <si>
    <t xml:space="preserve">   LGE-2302 - Gas Intangible - Franchises and Consents </t>
  </si>
  <si>
    <t xml:space="preserve">   LGE-2350 - Gas Storage - Land &amp; Land Rights </t>
  </si>
  <si>
    <t xml:space="preserve">   LGE-2350 IN - Gas Storage - Land &amp; Land Rights </t>
  </si>
  <si>
    <t xml:space="preserve">   LGE-2350 KY - Gas Storage - Land &amp; Land Rights </t>
  </si>
  <si>
    <t xml:space="preserve">   LGE-2351 - Gas Storage - Structures and Improvements </t>
  </si>
  <si>
    <t xml:space="preserve">   LGE-2351 IN - Gas Storage - Structures and Improvements </t>
  </si>
  <si>
    <t xml:space="preserve">   LGE-2351 KY - Gas Storage - Structures and Improvements </t>
  </si>
  <si>
    <t xml:space="preserve">   LGE-2352 - Gas Storage - Lease </t>
  </si>
  <si>
    <t xml:space="preserve">   LGE-2352 - Gas Storage - Nonrecoverable Natural Gas </t>
  </si>
  <si>
    <t xml:space="preserve">   LGE-2352 - Gas Storage - Reservoirs </t>
  </si>
  <si>
    <t xml:space="preserve">   LGE-2352 IN - Gas Storage - Well Drilling </t>
  </si>
  <si>
    <t xml:space="preserve">   LGE-2352 IN - Gas Storage - Well Equipment </t>
  </si>
  <si>
    <t xml:space="preserve">   LGE-2352 KY - Gas Storage - Well Drilling </t>
  </si>
  <si>
    <t xml:space="preserve">   LGE-2352 KY - Gas Storage - Well Equipment </t>
  </si>
  <si>
    <t xml:space="preserve">   LGE-2353 IN - Gas Storage - Lines. </t>
  </si>
  <si>
    <t xml:space="preserve">   LGE-2353 KY - Gas Storage - Lines. </t>
  </si>
  <si>
    <t xml:space="preserve">   LGE-2354 KY - Gas Storage - Compressor Station Equipment </t>
  </si>
  <si>
    <t xml:space="preserve">   LGE-2355 - Gas Storage - Measuring and Regulating Equipment </t>
  </si>
  <si>
    <t xml:space="preserve">   LGE-2356 - Gas Storage - Purification Equipment </t>
  </si>
  <si>
    <t xml:space="preserve">   LGE-2357 IN - Gas Storage - Other Equipment </t>
  </si>
  <si>
    <t xml:space="preserve">   LGE-2357 KY - Gas Storage - Other Equipment </t>
  </si>
  <si>
    <t xml:space="preserve">   LGE-2358 - Gas Storage - ARO </t>
  </si>
  <si>
    <t xml:space="preserve">   LGE-2365 - Gas Transmission - Rights-of-Way </t>
  </si>
  <si>
    <t xml:space="preserve">   LGE-2367 - Gas Transmission - Mains </t>
  </si>
  <si>
    <t xml:space="preserve">   LGE-2374 - Gas Distribution - Land &amp; Land Rights </t>
  </si>
  <si>
    <t xml:space="preserve">   LGE-2375 - Gas Distribution - Structures and Improvements </t>
  </si>
  <si>
    <t xml:space="preserve">   LGE-2376 - Gas Distribution - Mains </t>
  </si>
  <si>
    <t xml:space="preserve">   LGE-2376 - Gas Mains GLT </t>
  </si>
  <si>
    <t xml:space="preserve">   LGE-2378 - Gas Distribution - Measuring &amp; Reg. Station Equipment - General </t>
  </si>
  <si>
    <t xml:space="preserve">   LGE-2379 - Gas Distribution - Measuring &amp; Reg. Station Equipment - City Gate </t>
  </si>
  <si>
    <t xml:space="preserve">   LGE-2380 - Gas Distribution - Services </t>
  </si>
  <si>
    <t xml:space="preserve">   LGE-2380 - Gas Services GLT </t>
  </si>
  <si>
    <t xml:space="preserve">   LGE-2381 - Gas Distribution - Meters </t>
  </si>
  <si>
    <t xml:space="preserve">   LGE-2383 - Gas Distribution - Regulators </t>
  </si>
  <si>
    <t xml:space="preserve">   LGE-2385 - Gas Distribution - Measuring &amp; Reg. Station Equipment - Industrial </t>
  </si>
  <si>
    <t xml:space="preserve">   LGE-2387 - Gas Distribution - Other Equipment </t>
  </si>
  <si>
    <t xml:space="preserve">   LGE-2388 - Gas Distribution - ARO </t>
  </si>
  <si>
    <t xml:space="preserve">   LGE-2392 - Gas General - Transportation Equipment </t>
  </si>
  <si>
    <t xml:space="preserve">   LGE-2394 - Gas General - Tools, Shop, Garage Equipment </t>
  </si>
  <si>
    <t xml:space="preserve">   LGE-2396 - Gas General - Power Operated Equipment </t>
  </si>
  <si>
    <t>G</t>
  </si>
  <si>
    <t>Gas Distribution</t>
  </si>
  <si>
    <t>G374.12-Other Distribution Land</t>
  </si>
  <si>
    <t>G374.22-Other Distribution Land Rig</t>
  </si>
  <si>
    <t>G375.10-City Gate Check Station Str</t>
  </si>
  <si>
    <t>G375.20-Other Distribution Structur</t>
  </si>
  <si>
    <t>G376.00-Mains</t>
  </si>
  <si>
    <t>G376.10-Mains</t>
  </si>
  <si>
    <t>G378.00-Meas and Reg Station-Genera</t>
  </si>
  <si>
    <t>G379.00-Meas &amp; Reg Station-City Gat</t>
  </si>
  <si>
    <t>G380.00-Services</t>
  </si>
  <si>
    <t>G380.10-Services</t>
  </si>
  <si>
    <t>G381.00-Meters</t>
  </si>
  <si>
    <t>G383.00-Regulators</t>
  </si>
  <si>
    <t>G385.00-Industrial Measuring and Re</t>
  </si>
  <si>
    <t>G387.00-Other Equipment</t>
  </si>
  <si>
    <t>G388.05-ARO Cost Gas Dist (L/B)</t>
  </si>
  <si>
    <t>G388.07-ARO Cost Gas Dist (Eqp)</t>
  </si>
  <si>
    <t>Gas General Plant</t>
  </si>
  <si>
    <t>G392.10-Transportation Equip-Car/Tr</t>
  </si>
  <si>
    <t>G392.20-Transportation Equip-Traile</t>
  </si>
  <si>
    <t>G394.00-Tools, Shop, and Garage Equ</t>
  </si>
  <si>
    <t>G395.00-Laboratory Equipment</t>
  </si>
  <si>
    <t>G396.10-Power Op Equip-Hourly Rated</t>
  </si>
  <si>
    <t>G396.20-Power Op Equip - Other</t>
  </si>
  <si>
    <t>G397.20-DSM Communication Equipment</t>
  </si>
  <si>
    <t>Gas Intangible Plant</t>
  </si>
  <si>
    <t>Gas Storage</t>
  </si>
  <si>
    <t>G350.10-Land</t>
  </si>
  <si>
    <t>G350.20-Land Rights</t>
  </si>
  <si>
    <t>G351.20-Compressor Station Structur</t>
  </si>
  <si>
    <t>G351.30-Measuring and Regulat Stat</t>
  </si>
  <si>
    <t>G351.40-Other Structures</t>
  </si>
  <si>
    <t>G352.10-Storage Leaseholds and Righ</t>
  </si>
  <si>
    <t>G352.20-Reservoirs</t>
  </si>
  <si>
    <t>G352.30-Nonrecoverable Natural Gas</t>
  </si>
  <si>
    <t>G352.40-Well Drilling</t>
  </si>
  <si>
    <t>G352.50-Well Equipment ARO</t>
  </si>
  <si>
    <t>G352.55-Well Equipment</t>
  </si>
  <si>
    <t>G353.00-Lines</t>
  </si>
  <si>
    <t>G354.00-Compressor Station Equipmen</t>
  </si>
  <si>
    <t>G355.00-Measuring and Regulat Equip</t>
  </si>
  <si>
    <t>G356.00-Purification Equipment</t>
  </si>
  <si>
    <t>G357.00-Other Equipment</t>
  </si>
  <si>
    <t>G358.05-ARO Cost Gas UG Store (L/B)</t>
  </si>
  <si>
    <t>G358.07-ARO Cost Gas UG Store (Eqp)</t>
  </si>
  <si>
    <t>Gas Transmission</t>
  </si>
  <si>
    <t>G365.20-Rights of Way</t>
  </si>
  <si>
    <t>G367.00-Mains</t>
  </si>
  <si>
    <t>G372.07-ARO Cost Gas Trans (Eqp)</t>
  </si>
  <si>
    <t>Total Gas Plant in Service</t>
  </si>
  <si>
    <t>INPUT COMMON PLANT ALLOCATOR-GAS</t>
  </si>
  <si>
    <t>Wells</t>
  </si>
  <si>
    <t>Storage Leaseholds and Rights</t>
  </si>
  <si>
    <t>Reservoirs</t>
  </si>
  <si>
    <t>Nonrecoverable Natural Gas</t>
  </si>
  <si>
    <t>Lines</t>
  </si>
  <si>
    <t>Compressor Station Equipment</t>
  </si>
  <si>
    <t>Measuring and Regulating Equipment</t>
  </si>
  <si>
    <t>Purification Equipment</t>
  </si>
  <si>
    <t>Other Equipment</t>
  </si>
  <si>
    <t>ARO Cost Gas UG Store</t>
  </si>
  <si>
    <t>352.2</t>
  </si>
  <si>
    <t>Total Gas Storage</t>
  </si>
  <si>
    <t>Mains</t>
  </si>
  <si>
    <t>Rights of Way</t>
  </si>
  <si>
    <t>ARO Cost Gas Transmission</t>
  </si>
  <si>
    <t>Total Gas Transmission</t>
  </si>
  <si>
    <t>Measuring and Regulating Station Equip-General</t>
  </si>
  <si>
    <t>Measuring and Regulating Station Equip-City Gate</t>
  </si>
  <si>
    <t>House Regulators</t>
  </si>
  <si>
    <t>Industrial Measuring and Regulating Equip</t>
  </si>
  <si>
    <t>ARO Cost Gas Distribution</t>
  </si>
  <si>
    <t>Total Gas Distribution</t>
  </si>
  <si>
    <t>Total Gas General Plant</t>
  </si>
  <si>
    <t>(1) 30% Common Plant allocated to Gas</t>
  </si>
  <si>
    <t>TOTAL GAS PLANT IN SERVICE</t>
  </si>
  <si>
    <t>Total Common Plant allocated to Gas</t>
  </si>
  <si>
    <t>PRODUCTION</t>
  </si>
  <si>
    <t>STORAGE AND PROCESSING</t>
  </si>
  <si>
    <t>TOTAL GAS</t>
  </si>
  <si>
    <t>GAS:</t>
  </si>
  <si>
    <t xml:space="preserve">TOTAL GAS PLANT </t>
  </si>
  <si>
    <t>THE COMPANY HAS NOT MERGED OR ACQUIRED PROPERTY FROM OTHER THAN AFFILIATED COMPANIES.</t>
  </si>
  <si>
    <t>THE COMPANY DOES NOT HAVE ANY CAPITAL LEASES.</t>
  </si>
  <si>
    <t>ALL DATA 100% JURISDICTIONAL</t>
  </si>
  <si>
    <t>NONE</t>
  </si>
  <si>
    <t>SCHEDULE B-4.2</t>
  </si>
  <si>
    <t>ADJUSTMENTS TO CONSTRUCTION WORK IN PROGRESS</t>
  </si>
  <si>
    <t>Gas Stored Underground</t>
  </si>
  <si>
    <t>Interest, Dividends, and Rents Receivable</t>
  </si>
  <si>
    <t>COMPARATIVE BALANCE SHEETS - GAS</t>
  </si>
  <si>
    <t>COMPARATIVE BALANCE SHEETS - TOTAL COMPANY</t>
  </si>
  <si>
    <t>Long Term Obligations Under Capital Leases</t>
  </si>
  <si>
    <t>Accumulated Provision for Postretirement Benefits</t>
  </si>
  <si>
    <t>Adjustment to Balance</t>
  </si>
  <si>
    <t>GAS SUPPLY EXPENSES</t>
  </si>
  <si>
    <t>O&amp;M LESS GAS SUPPLY EXPENSE (LINE 1 - 2)</t>
  </si>
  <si>
    <t>GAS STORED UNDERGROUND</t>
  </si>
  <si>
    <t>OTHER</t>
  </si>
  <si>
    <t>1/8 O&amp;M METHOD LESS GAS SUPPLY EXPENSE</t>
  </si>
  <si>
    <t>Land and Land Rights:</t>
  </si>
  <si>
    <t>Former Camp Taylor Substation - Tract No. D15</t>
  </si>
  <si>
    <t>Non-utility property not included in rate base</t>
  </si>
  <si>
    <t>West Eastwood Distribution Substation</t>
  </si>
  <si>
    <t>943 Fetter Avenue -  Tract No. F8-1</t>
  </si>
  <si>
    <t>Former Strawberry Lane Substation - Tract No. F43</t>
  </si>
  <si>
    <t>Former Plymouth Substation - Tract No. D70</t>
  </si>
  <si>
    <t>Standard Avenue Substation - Tract No. D124</t>
  </si>
  <si>
    <t>3842 Grand Avenue - Tract No. F19-2</t>
  </si>
  <si>
    <t xml:space="preserve">10th St. &amp; Ormsby - Tract No. F3-1 </t>
  </si>
  <si>
    <t>Cherry Hill Coal Mine - Tract No. K2</t>
  </si>
  <si>
    <t>Cherry Hill Coal Mine - Tract No. K4</t>
  </si>
  <si>
    <t>Cherry Hill Coal Mine - Tract No. K5</t>
  </si>
  <si>
    <t>Cherry Hill Coal Mine - Tract No. K6</t>
  </si>
  <si>
    <t>Cherry Hill Coal Mine - Tract No. K12</t>
  </si>
  <si>
    <t>Cherry Hill Coal Mine - Mineral Rights Tract No. K1B</t>
  </si>
  <si>
    <t xml:space="preserve">Cherry Hill Coal Mine - Mineral Rights </t>
  </si>
  <si>
    <t>Cherry Hill Coal Mine - Right of Way</t>
  </si>
  <si>
    <t>TOTAL</t>
  </si>
  <si>
    <t>GAS PLANT</t>
  </si>
  <si>
    <t>CALCULATED</t>
  </si>
  <si>
    <t>FRANCHISE AND CONSENTS</t>
  </si>
  <si>
    <t xml:space="preserve">PRODUCTION PLANT </t>
  </si>
  <si>
    <t xml:space="preserve">RIGHTS OF WAY                                </t>
  </si>
  <si>
    <t xml:space="preserve">COMPRESSOR STATION STRUCTURES                </t>
  </si>
  <si>
    <t>50.R2.5</t>
  </si>
  <si>
    <t xml:space="preserve">MEASURING AND REGULATING STATION STRUCTURES  </t>
  </si>
  <si>
    <t>55.R2.5</t>
  </si>
  <si>
    <t xml:space="preserve">OTHER STRUCTURES                             </t>
  </si>
  <si>
    <t>50-R3</t>
  </si>
  <si>
    <t xml:space="preserve">STORAGE LEASEHOLDS AND RIGHTS                </t>
  </si>
  <si>
    <t xml:space="preserve">-   </t>
  </si>
  <si>
    <t xml:space="preserve">RESERVOIRS                                   </t>
  </si>
  <si>
    <t xml:space="preserve">NONRECOVERABLE NATURAL GAS                   </t>
  </si>
  <si>
    <t>50-SQ</t>
  </si>
  <si>
    <t xml:space="preserve">WELL DRILLING                                </t>
  </si>
  <si>
    <t>55-R2.5</t>
  </si>
  <si>
    <t xml:space="preserve">WELL EQUIPMENT                               </t>
  </si>
  <si>
    <t>45-R1.5</t>
  </si>
  <si>
    <t xml:space="preserve">LINES                                        </t>
  </si>
  <si>
    <t>45-S1</t>
  </si>
  <si>
    <t xml:space="preserve">COMPRESSOR STATION EQUIPMENT                 </t>
  </si>
  <si>
    <t>45-S0.5</t>
  </si>
  <si>
    <t xml:space="preserve">MEASURING AND REGULATING EQUIPMENT           </t>
  </si>
  <si>
    <t>40-R1</t>
  </si>
  <si>
    <t xml:space="preserve">PURIFICATION EQUIPMENT                       </t>
  </si>
  <si>
    <t xml:space="preserve">OTHER EQUIPMENT                              </t>
  </si>
  <si>
    <t>45-R2</t>
  </si>
  <si>
    <t xml:space="preserve">    TOTAL PRODUCTION PLANT </t>
  </si>
  <si>
    <t xml:space="preserve">RIGHTS OF WAY </t>
  </si>
  <si>
    <t>65-S3</t>
  </si>
  <si>
    <t xml:space="preserve">MAINS         </t>
  </si>
  <si>
    <t>65-R2.5</t>
  </si>
  <si>
    <t xml:space="preserve">OTHER DISTRIBUTION LAND RIGHTS                  </t>
  </si>
  <si>
    <t xml:space="preserve">STRUCTURES AND IMPROVEMENTS - CITY GATE STATION              </t>
  </si>
  <si>
    <t>55-R3</t>
  </si>
  <si>
    <t xml:space="preserve">STRUCTURES AND IMPROVEMENTS - OTHER DISTRIBUTION          </t>
  </si>
  <si>
    <t>35-L2</t>
  </si>
  <si>
    <t xml:space="preserve">MAINS                                           </t>
  </si>
  <si>
    <t>65-S2</t>
  </si>
  <si>
    <t xml:space="preserve">MEASURING AND REGULATING STATION EQUIP - GENERAL  </t>
  </si>
  <si>
    <t>41-S0</t>
  </si>
  <si>
    <t>MEASURING AND REGULATING STATION EQUIP - CITY GATE</t>
  </si>
  <si>
    <t>45-R1</t>
  </si>
  <si>
    <t xml:space="preserve">SERVICES                                        </t>
  </si>
  <si>
    <t>42-S0.5</t>
  </si>
  <si>
    <t xml:space="preserve">METERS                                          </t>
  </si>
  <si>
    <t>28-R2</t>
  </si>
  <si>
    <t xml:space="preserve">HOUSE REGULATORS                                </t>
  </si>
  <si>
    <t>30-R3</t>
  </si>
  <si>
    <t xml:space="preserve">MEASURING AND REGULATING STATION EQUIPMENT      </t>
  </si>
  <si>
    <t>40-S2.5</t>
  </si>
  <si>
    <t xml:space="preserve">OTHER EQUIPMENT                                 </t>
  </si>
  <si>
    <t>40-S2</t>
  </si>
  <si>
    <t xml:space="preserve">TRANSPORTATION EQUIPMENT - TRAILERS  </t>
  </si>
  <si>
    <t>20-S1</t>
  </si>
  <si>
    <t xml:space="preserve">TOOLS, SHOP AND GARAGE EQUIPMENT    </t>
  </si>
  <si>
    <t>POWER OPERATED EQUIPMENT - LARGE MACHINERY</t>
  </si>
  <si>
    <t>POWER OPERATED EQUIPMENT - SMALL MACHINERY</t>
  </si>
  <si>
    <t>8-L2</t>
  </si>
  <si>
    <t xml:space="preserve">POWER OPERATED EQUIPMENT - OTHER     </t>
  </si>
  <si>
    <t>17-L3</t>
  </si>
  <si>
    <t>DSM - Gas</t>
  </si>
  <si>
    <t xml:space="preserve">   LGE-2372 - Gas Transmission - ARO </t>
  </si>
  <si>
    <t>Less: Transfers/Adjustments</t>
  </si>
  <si>
    <t>13 Month Average</t>
  </si>
  <si>
    <t>Check</t>
  </si>
  <si>
    <t>REMAINING SERVICE LIFE</t>
  </si>
  <si>
    <t>3.8-7.5</t>
  </si>
  <si>
    <t>43.7-53.5</t>
  </si>
  <si>
    <t>50-R3, 50-R2.5</t>
  </si>
  <si>
    <t>34.4-35.4</t>
  </si>
  <si>
    <t>45-R1.5, 55-R2.5</t>
  </si>
  <si>
    <t>35-L2, 55-R3</t>
  </si>
  <si>
    <t>12.9-50.4</t>
  </si>
  <si>
    <t>6.3-12.4</t>
  </si>
  <si>
    <t>11.3-12.6</t>
  </si>
  <si>
    <t>12-L1.5, 8-L2, 17-L3</t>
  </si>
  <si>
    <t>7-L2.5, 14-S1.5, 20-S1</t>
  </si>
  <si>
    <t>COMMON PLANT</t>
  </si>
  <si>
    <t>DEPRECIABLE PLANT</t>
  </si>
  <si>
    <t>COMPUTER SOFTWARE</t>
  </si>
  <si>
    <t xml:space="preserve">  GENERAL OFFICE     </t>
  </si>
  <si>
    <t xml:space="preserve">  TRANSPORTATION   </t>
  </si>
  <si>
    <t>30-R1.5</t>
  </si>
  <si>
    <t xml:space="preserve">  STORES   </t>
  </si>
  <si>
    <t xml:space="preserve">  SHOPS    </t>
  </si>
  <si>
    <t>45-R0.5</t>
  </si>
  <si>
    <t xml:space="preserve">  MICROWAVE</t>
  </si>
  <si>
    <t>35-R2, 30-R1.5, 45-R3, 45-R0.5</t>
  </si>
  <si>
    <t>15.1-35.8</t>
  </si>
  <si>
    <t xml:space="preserve">OFFICE FURNITURE AND EQUIPMENT     </t>
  </si>
  <si>
    <t xml:space="preserve">  FURNITURE      </t>
  </si>
  <si>
    <t xml:space="preserve">  EQUIPMENT      </t>
  </si>
  <si>
    <t>15-SQ</t>
  </si>
  <si>
    <t xml:space="preserve">  COMPUTER EQUIPMENT     </t>
  </si>
  <si>
    <t xml:space="preserve">  PERSONAL COMPUTER      </t>
  </si>
  <si>
    <t xml:space="preserve">  SECURITY EQUIPMENT      </t>
  </si>
  <si>
    <t>4-SQ, 5-SQ, 10-SQ, 15-SQ, 20-SQ</t>
  </si>
  <si>
    <t>2.2-6.6</t>
  </si>
  <si>
    <t xml:space="preserve">TRANSPORTATION EQUIPMENT - CARS AND LIGHT TRUCKS </t>
  </si>
  <si>
    <t xml:space="preserve">TRANSPORTATION EQUIPMENT - HEAVY TRUCKS AND OTHER </t>
  </si>
  <si>
    <t xml:space="preserve">TRANSPORTATION EQUIPMENT - TRAILERS </t>
  </si>
  <si>
    <t xml:space="preserve">STORES EQUIPMENT                    </t>
  </si>
  <si>
    <t xml:space="preserve">TOOLS, SHOP AND GARAGE EQUIPMENT   </t>
  </si>
  <si>
    <t xml:space="preserve">POWER OPERATED EQUIPMENT - LARGE MACHINERY    </t>
  </si>
  <si>
    <t xml:space="preserve">POWER OPERATED EQUIPMENT - OTHER    </t>
  </si>
  <si>
    <t xml:space="preserve">COMMUNICATION EQUIPMENT - GENERAL ASSETS  </t>
  </si>
  <si>
    <t xml:space="preserve">COMMUNICATION EQUIPMENT - TRANSFER TO METER ACCOUNT  </t>
  </si>
  <si>
    <t>COMMUNICATION EQUIPMENT - TRANSFER TO STRUCTURE ACCOUNT</t>
  </si>
  <si>
    <t xml:space="preserve">MISCELLANEOUS EQUIPMENT             </t>
  </si>
  <si>
    <t xml:space="preserve">   </t>
  </si>
  <si>
    <t>7-L2.5, 14S1.5, 20-S1</t>
  </si>
  <si>
    <t>6.0-9.6</t>
  </si>
  <si>
    <t>12-L1.5, 17-L3</t>
  </si>
  <si>
    <t>3.7-10.6</t>
  </si>
  <si>
    <t>10-SQ, 25-S1, 28-R2, 35-R2</t>
  </si>
  <si>
    <t>3.5-25.9</t>
  </si>
  <si>
    <t>GLT amounts excluded from rate base</t>
  </si>
  <si>
    <t>TOTAL ADJUSTMENTS</t>
  </si>
  <si>
    <t>(000s)</t>
  </si>
  <si>
    <t>OPERATING REVENUES</t>
  </si>
  <si>
    <t>SALES:</t>
  </si>
  <si>
    <t>ELECTRIC SALES - ULTIMATE CONSUMERS</t>
  </si>
  <si>
    <t>GAS SALES - ULTIMATE CONSUMERS</t>
  </si>
  <si>
    <t>456.4-PROVISION FOR RATE REFUND</t>
  </si>
  <si>
    <t>Distribution Goal Seek Revenue</t>
  </si>
  <si>
    <t>FERC Revenue Adjustments</t>
  </si>
  <si>
    <t>Sub-total Rate Revenue (excl Rate Case)</t>
  </si>
  <si>
    <t>INTERSYSTEM SALES:</t>
  </si>
  <si>
    <t>447-DEMAND</t>
  </si>
  <si>
    <t>447-ENERGY</t>
  </si>
  <si>
    <t>447-PARIS REVENUES</t>
  </si>
  <si>
    <t>447.12&amp;13-BROKERED FINANCIAL SWAP</t>
  </si>
  <si>
    <t>483-SALES FOR RESALE GAS</t>
  </si>
  <si>
    <t>TOTAL INTERSYSTEM SALES</t>
  </si>
  <si>
    <t>TOTAL REVENUES</t>
  </si>
  <si>
    <t>OTHER OPERATING REVENUES:</t>
  </si>
  <si>
    <t>450,487-LATE PAYMENT - DIRECT</t>
  </si>
  <si>
    <t>POWER CHARGES (N/A)</t>
  </si>
  <si>
    <t>454-FACILITY LEASES</t>
  </si>
  <si>
    <t>456-TRANSMISSION REVENUE</t>
  </si>
  <si>
    <t>456-ANCILLARY SERVICES</t>
  </si>
  <si>
    <t>451,456-MISC ELECTRIC REVENUE</t>
  </si>
  <si>
    <t>489-GAS TRANSPORTATION REVENUE</t>
  </si>
  <si>
    <t>488,493,495-MISC GAS REVENUE</t>
  </si>
  <si>
    <t>TOTAL OTHER REVENUES</t>
  </si>
  <si>
    <t>TOTAL OPERATING REVENUES</t>
  </si>
  <si>
    <t>OPERATION &amp; MAINTENANCE EXP:</t>
  </si>
  <si>
    <t>PRODUCTION EXPENSE-STEAM:</t>
  </si>
  <si>
    <t>500-SUPERV &amp; ENGINEERING</t>
  </si>
  <si>
    <t>501-FUEL</t>
  </si>
  <si>
    <t>501-I/S SALES &amp; PARIS VAR EXP.</t>
  </si>
  <si>
    <t>502 &amp; 504-STEAM EXPENSES</t>
  </si>
  <si>
    <t>503 - STEAM FORM OTHER SOURCES</t>
  </si>
  <si>
    <t>505-ELECTRIC EXPENSES</t>
  </si>
  <si>
    <t>506-MISC STEAM POWER EXP</t>
  </si>
  <si>
    <t>507-RENTS</t>
  </si>
  <si>
    <t>509-ALLOWANCE</t>
  </si>
  <si>
    <t>TOTAL STEAM OPERATIONS</t>
  </si>
  <si>
    <t>510-SUPERV &amp; ENGINEERING</t>
  </si>
  <si>
    <t>511-STRUCTURES</t>
  </si>
  <si>
    <t>512-BOILER PLANT</t>
  </si>
  <si>
    <t>513-ELECTRIC PLANT</t>
  </si>
  <si>
    <t>514-MISC STEAM PLANT</t>
  </si>
  <si>
    <t>TOTAL STEAM MAINTENANCE</t>
  </si>
  <si>
    <t>TOTAL STEAM GENERATION</t>
  </si>
  <si>
    <t>PRODUCTION EXPENSE-HYDRO:</t>
  </si>
  <si>
    <t>535-SUPERV &amp; ENGINEERING</t>
  </si>
  <si>
    <t>536-WATER FOR POWER</t>
  </si>
  <si>
    <t>538-ELECTRIC EXPENSES</t>
  </si>
  <si>
    <t>539-MISC HYDR POWER GENER</t>
  </si>
  <si>
    <t>540-RENTS</t>
  </si>
  <si>
    <t>TOTAL HYDRO OPERATIONS</t>
  </si>
  <si>
    <t>541-SUPERV &amp; ENGINEERING</t>
  </si>
  <si>
    <t>542-STRUCTURES</t>
  </si>
  <si>
    <t>543-RESERV, DAMS &amp; WATERWAY</t>
  </si>
  <si>
    <t>544-ELECTRIC PLANT</t>
  </si>
  <si>
    <t>545-MISC HYDRAULIC PLANT</t>
  </si>
  <si>
    <t>TOTAL HYDRO MAINTENANCE</t>
  </si>
  <si>
    <t>TOTAL HYDRO GENERATION</t>
  </si>
  <si>
    <t>PRODUCTION EXPENSE-OTHER:</t>
  </si>
  <si>
    <t>546-SUPERV &amp; ENGINEERING</t>
  </si>
  <si>
    <t>547-FUEL</t>
  </si>
  <si>
    <t>548-GENERATION EXPENSES</t>
  </si>
  <si>
    <t>549-MISC</t>
  </si>
  <si>
    <t>550-RENTS</t>
  </si>
  <si>
    <t>TOTAL OTHER OPERATIONS</t>
  </si>
  <si>
    <t>551-SUPERV &amp; ENGINEERING</t>
  </si>
  <si>
    <t>552-STRUCTURES</t>
  </si>
  <si>
    <t>553-GENERATING &amp; ELECT PLT</t>
  </si>
  <si>
    <t>554-MISC OTH POWER GEN PLT</t>
  </si>
  <si>
    <t>TOTAL OTHER MAINTENANCE</t>
  </si>
  <si>
    <t>TOTAL OTHER GENERATION</t>
  </si>
  <si>
    <t>555-PURCHASED POWER:</t>
  </si>
  <si>
    <t>CAPACITY COMPONENT</t>
  </si>
  <si>
    <t>ENERGY COMPONENT</t>
  </si>
  <si>
    <t>555-TOTAL ACCT 555</t>
  </si>
  <si>
    <t>556-SYSTEM CONTROL &amp; DISP</t>
  </si>
  <si>
    <t>557-OTHER EXPENSES</t>
  </si>
  <si>
    <t>TOTAL PRODUCTION EXPENSES</t>
  </si>
  <si>
    <t>TRANSMISSION EXPENSES:</t>
  </si>
  <si>
    <t>560-SUPERV &amp; ENGINEERING</t>
  </si>
  <si>
    <t>561-LOAD DISPATCHING</t>
  </si>
  <si>
    <t>562-STATION EXPENSES</t>
  </si>
  <si>
    <t>563-OVERHEAD LINE EXPENSES</t>
  </si>
  <si>
    <t>564-UNDERGROUND LINE EXP</t>
  </si>
  <si>
    <t>565-TRANSM OF ELECT BY OTH</t>
  </si>
  <si>
    <t>566-MISC TRANSMISSION EXP</t>
  </si>
  <si>
    <t>567-RENTS</t>
  </si>
  <si>
    <t>575-MISO DAY 1 &amp;2 EXP</t>
  </si>
  <si>
    <t>TOTAL TRANSM OPERATIONS</t>
  </si>
  <si>
    <t>568-SUPERV &amp; ENGINEERING</t>
  </si>
  <si>
    <t>569-MAINT OF STRUCTURES</t>
  </si>
  <si>
    <t>570-MAINT OF STATION EQUIP</t>
  </si>
  <si>
    <t>571-MAINT OF OH LINES</t>
  </si>
  <si>
    <t>572-MAINT OF UG LINES</t>
  </si>
  <si>
    <t>573-MAINT OF MISC TRAN PLT</t>
  </si>
  <si>
    <t>TOTAL TRANSM MAINTENANCE</t>
  </si>
  <si>
    <t>TOTAL TRANSMISSION EXPENSES</t>
  </si>
  <si>
    <t>DISTRIBUTION EXPENSES:</t>
  </si>
  <si>
    <t>580-SUPERV &amp; ENGINEERING</t>
  </si>
  <si>
    <t>581-DIST SYSTEM CONTROL</t>
  </si>
  <si>
    <t>582-STATION EXPENSES</t>
  </si>
  <si>
    <t>583-OVERHEAD LINES</t>
  </si>
  <si>
    <t>584-UNDERGROUND LINES</t>
  </si>
  <si>
    <t>585-STREET LIGHTING</t>
  </si>
  <si>
    <t>586-METERS</t>
  </si>
  <si>
    <t>587-CUSTOMER INSTALLATIONS</t>
  </si>
  <si>
    <t>588-MISCELLANEOUS EXP</t>
  </si>
  <si>
    <t>589-RENTS</t>
  </si>
  <si>
    <t>TOTAL DISTR OPERATIONS</t>
  </si>
  <si>
    <t>590-SUPERV &amp; ENGINEERING</t>
  </si>
  <si>
    <t>591-MAINT OF STRUCTURES</t>
  </si>
  <si>
    <t>592-MAINT OF STATION EQUIP</t>
  </si>
  <si>
    <t>593-MAINT OF OH LINES</t>
  </si>
  <si>
    <t>594-MAINT OF UG LINES</t>
  </si>
  <si>
    <t>595-MAINT OF LINE TRANSF</t>
  </si>
  <si>
    <t>596-MAINT OF ST LIGHTING</t>
  </si>
  <si>
    <t>597-MAINT OF METERS</t>
  </si>
  <si>
    <t>598-MISCELLANEOUS</t>
  </si>
  <si>
    <t>TOTAL DISTR MAINTENANCE</t>
  </si>
  <si>
    <t>TOTAL DISTRIBUTION EXPENSES</t>
  </si>
  <si>
    <t>803 - GAS TRANSMISSION LINE PURCHASES</t>
  </si>
  <si>
    <t>805 - GAS (OVER)/UNDER</t>
  </si>
  <si>
    <t>806 - EXCHANGE GAS</t>
  </si>
  <si>
    <t>807 - GAS PROCUREMENT EXP</t>
  </si>
  <si>
    <t>808 - GAS WITHDRAWN FR/DELIVERED TO STORAGE</t>
  </si>
  <si>
    <t>812 - GAS USED FOR UTILITY OPERATIONS</t>
  </si>
  <si>
    <t>813 - OTHER GAS SUPPLY EXPENSES</t>
  </si>
  <si>
    <t>823 - GAS LOSSES</t>
  </si>
  <si>
    <t>TOTAL GAS SUPPLY EXPENSES</t>
  </si>
  <si>
    <t>814 - SUPV-STOR/COMPR STA</t>
  </si>
  <si>
    <t>816 - WELLS EXPENSE</t>
  </si>
  <si>
    <t>817 - LINES EXPENSE</t>
  </si>
  <si>
    <t>818 - COMPR STATION EXP</t>
  </si>
  <si>
    <t>819 - COMPR STATION FUEL U/G</t>
  </si>
  <si>
    <t>821 - PURIFICATION EXP</t>
  </si>
  <si>
    <t>824 - OTHER EXPENSES</t>
  </si>
  <si>
    <t>825 - ROYALTIES</t>
  </si>
  <si>
    <t>826 - RENTS-STORAGE FIELDS</t>
  </si>
  <si>
    <t>TOTAL GAS STORAGE OPERATION</t>
  </si>
  <si>
    <t>830 - MTCE-SUPERV AND ENGINEERING</t>
  </si>
  <si>
    <t>832 - MTCE-RESERVOIRS AND WELLS</t>
  </si>
  <si>
    <t>833 - MTCE-LINES</t>
  </si>
  <si>
    <t>834 - MTCE-COMP STA EQUIP</t>
  </si>
  <si>
    <t>835 - MTCE-M/R EQ-COMPR</t>
  </si>
  <si>
    <t>836 - MTCE-PURIFICATION EQUP</t>
  </si>
  <si>
    <t>837 - MTCE-OTHER EQUIP</t>
  </si>
  <si>
    <t>TOTAL GAS STORAGE MAINTENANCE</t>
  </si>
  <si>
    <t>810 - GAS USED FOR COMPRESSOR STATION - CR</t>
  </si>
  <si>
    <t>850 - OPERATION SUPERV AND ENGINEERING</t>
  </si>
  <si>
    <t>851 - SYS CTRL/DSPTCH-GAS</t>
  </si>
  <si>
    <t>856 - MAIN EXPENSES</t>
  </si>
  <si>
    <t>860 - RENTS-GAS TRANS</t>
  </si>
  <si>
    <t>TOTAL GAS TRANSMISSION OPERATION</t>
  </si>
  <si>
    <t>863 - MTCE-GAS MAINS-TRANS</t>
  </si>
  <si>
    <t>TOTAL GAS TRANSMISSION MAINTENANCE</t>
  </si>
  <si>
    <t>871 - DISTR LOAD DISPATCH</t>
  </si>
  <si>
    <t>874 - OTHER MAINS/SERV EXP</t>
  </si>
  <si>
    <t>875 - MEAS/REG STA-GENERAL</t>
  </si>
  <si>
    <t>876 - MEAS/REG STA-INDUSTRIAL</t>
  </si>
  <si>
    <t>877 - MEAS/REG STA-CITY GATE</t>
  </si>
  <si>
    <t>878 - METER/REG EXPENSE</t>
  </si>
  <si>
    <t>879 - CUST INSTALL EXPENSE</t>
  </si>
  <si>
    <t>880 - OTH GAS DISTR EXPENSE</t>
  </si>
  <si>
    <t>881 - RENTS-GAS DISTR</t>
  </si>
  <si>
    <t>TOTAL GAS DISTRIBUTION OPERATION</t>
  </si>
  <si>
    <t>886 - MTCE-GAS DIST STRUCT</t>
  </si>
  <si>
    <t>887 - MTCE-GAS MAINS-DISTR</t>
  </si>
  <si>
    <t>889 - MTCE-M/R STA EQ-GENL</t>
  </si>
  <si>
    <t>890 - MTCE-M/R STA EQ-INDL</t>
  </si>
  <si>
    <t>891 - MTCE-M/R ST EQ-CITY GATE</t>
  </si>
  <si>
    <t>892 - MTCE-OTH SERVICES</t>
  </si>
  <si>
    <t>894 - MTCE-OTHER EQUIP</t>
  </si>
  <si>
    <t>TOTAL GAS DISTRIBUTION MAINTENANCE</t>
  </si>
  <si>
    <t>CUSTOMER ACCOUNTING EXPENSES:</t>
  </si>
  <si>
    <t>901-SUPERVISION</t>
  </si>
  <si>
    <t>902-METER READING</t>
  </si>
  <si>
    <t>903-CUSTOMER RECORDS</t>
  </si>
  <si>
    <t>904-UNCOLLECTIBLE ACCOUNTS</t>
  </si>
  <si>
    <t>905-MISCELLANEOUS</t>
  </si>
  <si>
    <t>TOTAL CUSTOMER ACCOUNTS</t>
  </si>
  <si>
    <t>CUSTOMER SERVICES:</t>
  </si>
  <si>
    <t>907-SUPERVISION</t>
  </si>
  <si>
    <t>908-CUSTOMER ASSISTANCE</t>
  </si>
  <si>
    <t>909-INFORMATION &amp; INSTRUCT</t>
  </si>
  <si>
    <t>910-MISCELLANEOUS</t>
  </si>
  <si>
    <t>TOTAL CUSTOMER SERVICE</t>
  </si>
  <si>
    <t>SALES EXPENSE:</t>
  </si>
  <si>
    <t>911-SUPERVISION</t>
  </si>
  <si>
    <t>912-DEMONSTRATING &amp; SELLING</t>
  </si>
  <si>
    <t>913-ADVERTISING</t>
  </si>
  <si>
    <t>916-MISCELLANEOUS</t>
  </si>
  <si>
    <t>TOTAL SALES EXPENSE</t>
  </si>
  <si>
    <t>ADMINISTRATIVE &amp; GENERAL:</t>
  </si>
  <si>
    <t>PLANT COMPONENT:</t>
  </si>
  <si>
    <t>924-PROPERTY INSURANCE</t>
  </si>
  <si>
    <t>LABOR COMPONENT:</t>
  </si>
  <si>
    <t>920-ADMIN &amp; GENERAL EXP</t>
  </si>
  <si>
    <t>921-OFFICE SUPPLIES &amp; EXP</t>
  </si>
  <si>
    <t>922-ADMIN EXP TRANSF-CRED</t>
  </si>
  <si>
    <t>923-OUTSIDE SERVICES</t>
  </si>
  <si>
    <t>925-INJURIES &amp; DAMAGES</t>
  </si>
  <si>
    <t>926-PENSIONS &amp; BENEFITS</t>
  </si>
  <si>
    <t>929-DUPLICATE CHARGES-CR</t>
  </si>
  <si>
    <t>930.1-MISC GENERAL ADVERTISING EXPENSE</t>
  </si>
  <si>
    <t>930.2-MISC GENERAL OTHER EXPENSE</t>
  </si>
  <si>
    <t>931-RENTS</t>
  </si>
  <si>
    <t>Subtotal Oper Labor Component</t>
  </si>
  <si>
    <t>935-MAINTENANCE</t>
  </si>
  <si>
    <t>TOTAL LABOR COMPONENT</t>
  </si>
  <si>
    <t>928-REGULATORY COMMISSION:</t>
  </si>
  <si>
    <t>928-FEDERAL JURISDICTION</t>
  </si>
  <si>
    <t>928.1-ALLOCATED</t>
  </si>
  <si>
    <t>928.2-KY JURISDICTION</t>
  </si>
  <si>
    <t>928.3-VA JURISDICTION</t>
  </si>
  <si>
    <t>928.4-TN JURISDICTION</t>
  </si>
  <si>
    <t>TOTAL ACCOUNT 928</t>
  </si>
  <si>
    <t>927-FRANCHISE NJ VA</t>
  </si>
  <si>
    <t>TOTAL ADMINISTRATIVE &amp; GEN</t>
  </si>
  <si>
    <t>TOTAL OPERATION</t>
  </si>
  <si>
    <t>TOTAL MAINTENANCE</t>
  </si>
  <si>
    <t>TOTAL OPERATION &amp; MAINTENANCE</t>
  </si>
  <si>
    <t>TOTAL OPERATION LESS FUEL AND PURCHASED POWER</t>
  </si>
  <si>
    <t>DEPRECIATION &amp; AMORT EXPENSE:</t>
  </si>
  <si>
    <t>403/404-DEPRECIATION &amp; AMORT EXPENSE</t>
  </si>
  <si>
    <t>OTHER TAXES &amp; OTHER EXPENSES:</t>
  </si>
  <si>
    <t>TAXES OTHER THAN INCOME TAX:</t>
  </si>
  <si>
    <t>408.1-MISCELLANEOUS</t>
  </si>
  <si>
    <t>408.2-GROSS RECEIPT</t>
  </si>
  <si>
    <t>408.3-PROPERTY TAXES</t>
  </si>
  <si>
    <t>408.6-FICA &amp; UNEMPLOYMENT</t>
  </si>
  <si>
    <t>408.7-PSC ASSESSMENT-KY REVENUE</t>
  </si>
  <si>
    <t>408.14-PROPERTY TAX ECR &amp; GLT</t>
  </si>
  <si>
    <t>TOTAL OTHER TAXES</t>
  </si>
  <si>
    <t>GAINS/LOSSES:</t>
  </si>
  <si>
    <t>411.8-GAIN DISPOSITION OF ALLOWANCES</t>
  </si>
  <si>
    <t>TOTAL GAINS/LOSSES</t>
  </si>
  <si>
    <t>OPERATING INC BEFORE INC TAXES &amp; INTEREST</t>
  </si>
  <si>
    <t>Base Period Total</t>
  </si>
  <si>
    <t>Forecast Period Total</t>
  </si>
  <si>
    <t>OPERATING AND MAINTENANCE EXPENSE</t>
  </si>
  <si>
    <t>Total LG&amp;E</t>
  </si>
  <si>
    <t>151.0 - Fuel Stock</t>
  </si>
  <si>
    <t>154.0 - Plant materials and operating supplies</t>
  </si>
  <si>
    <t>158.0 - Allowance inventory</t>
  </si>
  <si>
    <t>163.0 - Stores expense undistributed</t>
  </si>
  <si>
    <t>164.0 - Gas inventory</t>
  </si>
  <si>
    <t>165    - Prepayments</t>
  </si>
  <si>
    <t>252.0 Customer advances for construction Current</t>
  </si>
  <si>
    <t>252.1 - Customer advances for construction LT</t>
  </si>
  <si>
    <t>LG&amp;E Electric 154 and 163 M&amp;S and Stores expense</t>
  </si>
  <si>
    <t>LG&amp;E Electric 165 - Prepayments</t>
  </si>
  <si>
    <t>LG&amp;E Electric 252.0 - Cust Advances Current</t>
  </si>
  <si>
    <t>LG&amp;E Electric 252.1 - Cust Advances LT</t>
  </si>
  <si>
    <t>LG&amp;E Electric</t>
  </si>
  <si>
    <t>LG&amp;E Gas</t>
  </si>
  <si>
    <t>13MOAVG</t>
  </si>
  <si>
    <t>B-3.2</t>
  </si>
  <si>
    <t>B-4.2</t>
  </si>
  <si>
    <t>DEFERRED TAX BALANCES</t>
  </si>
  <si>
    <t>Total Accumulated Deferred Income Taxes</t>
  </si>
  <si>
    <t xml:space="preserve">       Electric</t>
  </si>
  <si>
    <t xml:space="preserve">       Gas</t>
  </si>
  <si>
    <t>Total Def. Investment Tax Credit</t>
  </si>
  <si>
    <t>13 month Average</t>
  </si>
  <si>
    <t>Deferred Income Taxes (a)</t>
  </si>
  <si>
    <t>Pro Forma</t>
  </si>
  <si>
    <t>Title of Account</t>
  </si>
  <si>
    <t>Total Electric</t>
  </si>
  <si>
    <t>ECR</t>
  </si>
  <si>
    <t>DSM</t>
  </si>
  <si>
    <t>ARO</t>
  </si>
  <si>
    <t>Base Electric</t>
  </si>
  <si>
    <t>Total Gas</t>
  </si>
  <si>
    <t>GLT</t>
  </si>
  <si>
    <t>Base Gas</t>
  </si>
  <si>
    <t>Total Company</t>
  </si>
  <si>
    <t>(2)</t>
  </si>
  <si>
    <t>(3)</t>
  </si>
  <si>
    <t>Utility Plant at Original Cost (a)</t>
  </si>
  <si>
    <t>Deduct:</t>
  </si>
  <si>
    <t xml:space="preserve">  Reserve for Depreciation (a)</t>
  </si>
  <si>
    <t xml:space="preserve">  Customer Advances for Construction</t>
  </si>
  <si>
    <t xml:space="preserve">  Accumulated Deferred Income Taxes (a)</t>
  </si>
  <si>
    <t xml:space="preserve">     Total Deductions</t>
  </si>
  <si>
    <t>Net Plant Deductions</t>
  </si>
  <si>
    <t>Add:</t>
  </si>
  <si>
    <t xml:space="preserve">  Gas Stored Underground (b)</t>
  </si>
  <si>
    <t xml:space="preserve">  Cash Working Capital (page 2)</t>
  </si>
  <si>
    <t xml:space="preserve">     Total Additions</t>
  </si>
  <si>
    <t>Total Net Original Cost Rate Base</t>
  </si>
  <si>
    <t>Percentage of Rate Base to Total Company Rate Base</t>
  </si>
  <si>
    <t>(a)</t>
  </si>
  <si>
    <t>Common utility plant and the reserve for depreciation are allocated 70% to the Electric Department and 30% to the Gas Department.</t>
  </si>
  <si>
    <t>(b)</t>
  </si>
  <si>
    <t>Average for 13 months.</t>
  </si>
  <si>
    <t>(c)</t>
  </si>
  <si>
    <t>Excludes PSC fees.</t>
  </si>
  <si>
    <t>(d)</t>
  </si>
  <si>
    <t>Includes emission allowances.</t>
  </si>
  <si>
    <t>Calculation of Cash Working Capital</t>
  </si>
  <si>
    <t>1.</t>
  </si>
  <si>
    <t>Operating and maintenance expense for the</t>
  </si>
  <si>
    <t>2.</t>
  </si>
  <si>
    <t>3.</t>
  </si>
  <si>
    <t xml:space="preserve">  Electric Power Purchased</t>
  </si>
  <si>
    <t>4.</t>
  </si>
  <si>
    <t xml:space="preserve">  Gas Supply Expenses</t>
  </si>
  <si>
    <t>5.</t>
  </si>
  <si>
    <t>6.</t>
  </si>
  <si>
    <t>Remainder (Line 1 - Line 5)</t>
  </si>
  <si>
    <t>7.</t>
  </si>
  <si>
    <t>Cash Working Capital (12 1/2% of Line 6)</t>
  </si>
  <si>
    <t>LGE_GLT </t>
  </si>
  <si>
    <t>Trimble County</t>
  </si>
  <si>
    <t>Inventories</t>
  </si>
  <si>
    <t>117-352.3</t>
  </si>
  <si>
    <t>SUPPORTING SCHEDULE B-1.1</t>
  </si>
  <si>
    <t>Thirteen Month Average</t>
  </si>
  <si>
    <t>ARO Balance Sheet Offset</t>
  </si>
  <si>
    <t>Total Net Original Cost Rate Base for Capital Allocation</t>
  </si>
  <si>
    <t>IMPROVE PIPELINES</t>
  </si>
  <si>
    <t>080LGE14</t>
  </si>
  <si>
    <t>Lockout/Tagout (LOTO)-LGE14</t>
  </si>
  <si>
    <t>019LGE15</t>
  </si>
  <si>
    <t>Design Tool Repl (WIM)-LGE15</t>
  </si>
  <si>
    <t>Environmental Equipment LGE</t>
  </si>
  <si>
    <t>204LGE16</t>
  </si>
  <si>
    <t>SAP CRM/ECC Upgr-LGE16</t>
  </si>
  <si>
    <t>REPL ALDYL-A PIPE CENT,SAV,CAN</t>
  </si>
  <si>
    <t>CATHODIC PROTECTION SYS</t>
  </si>
  <si>
    <t>203LGE16</t>
  </si>
  <si>
    <t>PS 9.2 Upgrade-LGE16</t>
  </si>
  <si>
    <t>129LGE16</t>
  </si>
  <si>
    <t>Implement SDE Replace-LGE16</t>
  </si>
  <si>
    <t>HR Cap Equip Improvmnts LGE</t>
  </si>
  <si>
    <t>200LGE16</t>
  </si>
  <si>
    <t>Application Sec Enhance-LGE16</t>
  </si>
  <si>
    <t>LG&amp;E </t>
  </si>
  <si>
    <t>ASSETS AND OTHER DEBITS</t>
  </si>
  <si>
    <t xml:space="preserve">     Gross Utility Plant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</si>
  <si>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</si>
  <si>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</si>
  <si>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</si>
  <si>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</si>
  <si>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</si>
  <si>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</si>
  <si>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Net nonutility property</t>
  </si>
  <si>
    <t xml:space="preserve">     Special funds</t>
  </si>
  <si>
    <t>Total other Property and Investments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</si>
  <si>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</si>
  <si>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</si>
  <si>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</si>
  <si>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</si>
  <si>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</si>
  <si>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</si>
  <si>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142.0 - Customer accounts receivable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</si>
  <si>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</si>
  <si>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</si>
  <si>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</si>
  <si>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</si>
  <si>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</si>
  <si>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</si>
  <si>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</si>
  <si>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</si>
  <si>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</si>
  <si>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</si>
  <si>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</si>
  <si>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</si>
  <si>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</si>
  <si>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</si>
  <si>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</si>
  <si>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</si>
  <si>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     164.0 - Gas inventory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</si>
  <si>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</si>
  <si>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</si>
  <si>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</si>
  <si>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</si>
  <si>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</si>
  <si>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 xml:space="preserve">          Other Derivative Instrument Assets</t>
  </si>
  <si>
    <t>DEFERRED DEBITS &amp; OTHER</t>
  </si>
  <si>
    <t xml:space="preserve">     Unamortized Debt Expenses</t>
  </si>
  <si>
    <t xml:space="preserve">          181.0 - Unamortized debt expense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</si>
  <si>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</si>
  <si>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</si>
  <si>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</si>
  <si>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190.1 deferred tax - other assets</t>
  </si>
  <si>
    <t xml:space="preserve">          190.3 Acc Def Inc Tax NC FASB 109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</si>
  <si>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</si>
  <si>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</si>
  <si>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</si>
  <si>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</si>
  <si>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</si>
  <si>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Regulatory assets Swaps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</si>
  <si>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</si>
  <si>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</si>
  <si>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</si>
  <si>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</si>
  <si>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</si>
  <si>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</si>
  <si>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</si>
  <si>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</si>
  <si>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</si>
  <si>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</si>
  <si>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</si>
  <si>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</si>
  <si>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</si>
  <si>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</si>
  <si>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</si>
  <si>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</si>
  <si>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</si>
  <si>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</si>
  <si>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</si>
  <si>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</si>
  <si>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</si>
  <si>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</si>
  <si>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</si>
  <si>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</si>
  <si>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</si>
  <si>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</si>
  <si>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</si>
  <si>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>Total proprietary Capital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</si>
  <si>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</si>
  <si>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</si>
  <si>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</si>
  <si>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</si>
  <si>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</si>
  <si>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</si>
  <si>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</si>
  <si>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</si>
  <si>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</si>
  <si>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</si>
  <si>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</si>
  <si>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232.1 - AP Fuel</t>
  </si>
  <si>
    <t xml:space="preserve">          232.2 - AP Payroll</t>
  </si>
  <si>
    <t xml:space="preserve">          232.3 - AP Purchased Power</t>
  </si>
  <si>
    <t xml:space="preserve">          232.1 - AP Fuel Beg. Balance Reclass from 232.4 below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</si>
  <si>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</si>
  <si>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</si>
  <si>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</si>
  <si>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</si>
  <si>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</si>
  <si>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</si>
  <si>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</si>
  <si>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</si>
  <si>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</si>
  <si>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     237.1 - Interest Accrued (Tax Accr)</t>
  </si>
  <si>
    <t xml:space="preserve">     Dividends Payable Affiliate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</si>
  <si>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</si>
  <si>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</si>
  <si>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</si>
  <si>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</si>
  <si>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</si>
  <si>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</si>
  <si>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</si>
  <si>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</si>
  <si>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     244.0 - Liab. ST trading current</t>
  </si>
  <si>
    <t xml:space="preserve">          244.2 - Liab Trading noncurrent</t>
  </si>
  <si>
    <t xml:space="preserve">          244.4 - Deriv Instr Liab LT Affil Non-LKE</t>
  </si>
  <si>
    <t xml:space="preserve">     Miscellaneous Current Liabilities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</si>
  <si>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</si>
  <si>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</si>
  <si>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</si>
  <si>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</si>
  <si>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     283.9 - Def income tax asset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</si>
  <si>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</si>
  <si>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</si>
  <si>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</si>
  <si>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</si>
  <si>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</si>
  <si>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</si>
  <si>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</si>
  <si>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</si>
  <si>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</si>
  <si>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</si>
  <si>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</si>
  <si>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</si>
  <si>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</si>
  <si>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</si>
  <si>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</si>
  <si>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</si>
  <si>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</si>
  <si>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</si>
  <si>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     253.2 - Other deferred credits (LT Tax Position)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</si>
  <si>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</si>
  <si>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</si>
  <si>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</si>
  <si>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     244.5 - Deriv Instr Liab LT Liab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</si>
  <si>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</si>
  <si>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</si>
  <si>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</si>
  <si>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</si>
  <si>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</si>
  <si>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Electric/Gas Balancing Adjustment</t>
  </si>
  <si>
    <t>Total liabilities and other Credits</t>
  </si>
  <si>
    <t>PAGE 3 OF 4</t>
  </si>
  <si>
    <t>PAGE 4 OF 4</t>
  </si>
  <si>
    <t>PAGE 2 OF 4</t>
  </si>
  <si>
    <t>PAGE 1 OF 4</t>
  </si>
  <si>
    <t>Type</t>
  </si>
  <si>
    <t>Acct</t>
  </si>
  <si>
    <t>Description</t>
  </si>
  <si>
    <t>CO</t>
  </si>
  <si>
    <t xml:space="preserve">  Material and Supplies (b)(c)</t>
  </si>
  <si>
    <t xml:space="preserve">  Prepayments (d)</t>
  </si>
  <si>
    <t>For the 2016 Rate Case Filing</t>
  </si>
  <si>
    <t>FEBRUARY 28, 2017</t>
  </si>
  <si>
    <t>AS OF FEBRUARY 28, 2017</t>
  </si>
  <si>
    <t>MARCH 2016 TO FEBRUARY 2017</t>
  </si>
  <si>
    <t>FROM MARCH 1, 2016 TO FEBRUARY 28, 2017</t>
  </si>
  <si>
    <t>BASE YEAR FOR THE 12 MONTHS ENDED FEBRUARY 28, 2017</t>
  </si>
  <si>
    <t>FOR THE 12 MONTHS ENDED FEBRUARY 28, 2017</t>
  </si>
  <si>
    <t>JUNE 30, 2018</t>
  </si>
  <si>
    <t>AS OF JUNE 30, 2018</t>
  </si>
  <si>
    <t>JULY 2017 TO JUNE 30, 2018</t>
  </si>
  <si>
    <t>FROM JULY 1, 2017 TO JUNE 30, 2018</t>
  </si>
  <si>
    <t>FORECAST PERIOD FOR THE 12 MONTHS ENDED JUNE 30, 2018</t>
  </si>
  <si>
    <t>FOR THE 12 MONTHS ENDED JUNE 30, 2018</t>
  </si>
  <si>
    <t>C. M. GARRETT</t>
  </si>
  <si>
    <t>a-Mar 1 2016</t>
  </si>
  <si>
    <t>Feb 28 2017</t>
  </si>
  <si>
    <t>plus RWIP</t>
  </si>
  <si>
    <t>Plant Report Check</t>
  </si>
  <si>
    <t>Spec ID</t>
  </si>
  <si>
    <t>a-Jan 2016</t>
  </si>
  <si>
    <t>a-Feb 2016</t>
  </si>
  <si>
    <t>a-Mar 2016</t>
  </si>
  <si>
    <t>a-Apr 2016</t>
  </si>
  <si>
    <t>a-May 2016</t>
  </si>
  <si>
    <t>a-Jun 2016</t>
  </si>
  <si>
    <t>a-Jul 2016</t>
  </si>
  <si>
    <t>a-Aug 2016</t>
  </si>
  <si>
    <t>Sep 2016</t>
  </si>
  <si>
    <t>Oct 2016</t>
  </si>
  <si>
    <t>Nov 2016</t>
  </si>
  <si>
    <t>Dec 2016</t>
  </si>
  <si>
    <t>Jan 2017</t>
  </si>
  <si>
    <t>Feb 2017</t>
  </si>
  <si>
    <t>Mar2016-Feb 2017</t>
  </si>
  <si>
    <t xml:space="preserve">   LGE-2392 - Gas General - Cars and Trailers </t>
  </si>
  <si>
    <t xml:space="preserve">   LGE-2396 - Gas General - Transportation Equipment </t>
  </si>
  <si>
    <t xml:space="preserve">   LGE-3392 - Common General - Cars and Trailers </t>
  </si>
  <si>
    <t xml:space="preserve">   LGE-3396 - Common General - Transportation Equipment </t>
  </si>
  <si>
    <t xml:space="preserve">   LGE-2380 - Gas Distribution - Services - GLT</t>
  </si>
  <si>
    <t>Property Group</t>
  </si>
  <si>
    <t>Jul 1 2017</t>
  </si>
  <si>
    <t>Jun 30 2018</t>
  </si>
  <si>
    <t>Jun 2017</t>
  </si>
  <si>
    <t>Jul 2017</t>
  </si>
  <si>
    <t>Aug 2017</t>
  </si>
  <si>
    <t>Sep 2017</t>
  </si>
  <si>
    <t>Oct 2017</t>
  </si>
  <si>
    <t>Nov 2017</t>
  </si>
  <si>
    <t>Dec 2017</t>
  </si>
  <si>
    <t>Jan 2018</t>
  </si>
  <si>
    <t>Feb 2018</t>
  </si>
  <si>
    <t>Mar 2018</t>
  </si>
  <si>
    <t>Apr 2018</t>
  </si>
  <si>
    <t>May 2018</t>
  </si>
  <si>
    <t>Jun 2018</t>
  </si>
  <si>
    <t>Forecast Period            Jul 2017-Jun 2018</t>
  </si>
  <si>
    <t>13-MO Average Jun 2018</t>
  </si>
  <si>
    <t>Russell Corner - Tract No. D143</t>
  </si>
  <si>
    <t>AS OF  DECEMBER 31, 2011 - 2015 AND BASE AND FORECASTED PERIODS</t>
  </si>
  <si>
    <t xml:space="preserve">  Unamortized Closure Costs</t>
  </si>
  <si>
    <t>Net Original Cost Rate Base as of February 28, 2017</t>
  </si>
  <si>
    <t>Net Original Cost Rate Base as of June 30, 2018</t>
  </si>
  <si>
    <t xml:space="preserve">   LGE Gas Transmission GLT </t>
  </si>
  <si>
    <t>141004</t>
  </si>
  <si>
    <t>ST HELEN FACILITY</t>
  </si>
  <si>
    <t>137976</t>
  </si>
  <si>
    <t>140568</t>
  </si>
  <si>
    <t>MT WASHI LEBANON JCTN</t>
  </si>
  <si>
    <t>144856</t>
  </si>
  <si>
    <t>IT0101L</t>
  </si>
  <si>
    <t>Smallworld GIS Upgr-LGE17-19</t>
  </si>
  <si>
    <t>149330</t>
  </si>
  <si>
    <t>MAG REPL LOWBOY TRAILER</t>
  </si>
  <si>
    <t>138LGE16</t>
  </si>
  <si>
    <t>PowerPlant Module Upgr-LGE16</t>
  </si>
  <si>
    <t>IT0077L</t>
  </si>
  <si>
    <t>Oracle NMS Upgrade-LGE17</t>
  </si>
  <si>
    <t>148018</t>
  </si>
  <si>
    <t>REPL AIR HANDLERS-BOC MAIN</t>
  </si>
  <si>
    <t>152561</t>
  </si>
  <si>
    <t>REPLACE PAD METERS</t>
  </si>
  <si>
    <t>152541</t>
  </si>
  <si>
    <t>RIVER RD WIDENING - RELOCATION</t>
  </si>
  <si>
    <t>152543</t>
  </si>
  <si>
    <t>RIVER RD MEDIUM PRESSURE</t>
  </si>
  <si>
    <t>152544</t>
  </si>
  <si>
    <t>GAS SYSTEM REINFORCEMENT</t>
  </si>
  <si>
    <t>152545</t>
  </si>
  <si>
    <t>BRIDGE RPL E PKWY &amp; BEARGRASS</t>
  </si>
  <si>
    <t>152546</t>
  </si>
  <si>
    <t>EAST END REINFORCEMENT</t>
  </si>
  <si>
    <t>IT0011L</t>
  </si>
  <si>
    <t>Cascade Biennial Tech-LGE17</t>
  </si>
  <si>
    <t>152477</t>
  </si>
  <si>
    <t>STATION PIPE REPL MULD</t>
  </si>
  <si>
    <t>149394</t>
  </si>
  <si>
    <t>INST ADDTL FILTR IRON SULF REM</t>
  </si>
  <si>
    <t>IT0059L</t>
  </si>
  <si>
    <t>Mob Disp Rep (Elect OMS)-LGE17</t>
  </si>
  <si>
    <t>IT0105L</t>
  </si>
  <si>
    <t>Tech Refesh desk/lap-LGE17</t>
  </si>
  <si>
    <t>152467</t>
  </si>
  <si>
    <t>REPL PROCCESSORS &amp; IO MODULES</t>
  </si>
  <si>
    <t>152468</t>
  </si>
  <si>
    <t>TANK LEVEL TRANSMITTERS</t>
  </si>
  <si>
    <t>IT0003L</t>
  </si>
  <si>
    <t>AIS Deciscion Trans-LGE17</t>
  </si>
  <si>
    <t>IT0018L</t>
  </si>
  <si>
    <t>CIP Compliance Infr Yr7-LGE17</t>
  </si>
  <si>
    <t>IT0029L</t>
  </si>
  <si>
    <t>Electric Inspect Enhance-LGE17</t>
  </si>
  <si>
    <t>IT0114L</t>
  </si>
  <si>
    <t>TRMS Upgrade-LGE17</t>
  </si>
  <si>
    <t>149344</t>
  </si>
  <si>
    <t>SC CAPITAL - 2016 BP - LGE</t>
  </si>
  <si>
    <t>149426</t>
  </si>
  <si>
    <t>2017 SCADA HARDWARE RPLC</t>
  </si>
  <si>
    <t>IT0050L</t>
  </si>
  <si>
    <t>Next Gen Radio Sys Des-LGE17</t>
  </si>
  <si>
    <t>IT0060L</t>
  </si>
  <si>
    <t>Mobile Infra-LGE17</t>
  </si>
  <si>
    <t>IT0015L</t>
  </si>
  <si>
    <t>CIP Compliance Tools Yr7-LGE17</t>
  </si>
  <si>
    <t>IT0115L</t>
  </si>
  <si>
    <t>TRODS-LGE17</t>
  </si>
  <si>
    <t>IT0006L</t>
  </si>
  <si>
    <t>Aspect Workfor Sched App-LGE17</t>
  </si>
  <si>
    <t>IT0024L</t>
  </si>
  <si>
    <t>Daily Shift Log Repl-LGE17</t>
  </si>
  <si>
    <t>IT0044L</t>
  </si>
  <si>
    <t>Impedance App-LGE17</t>
  </si>
  <si>
    <t>IT0103L</t>
  </si>
  <si>
    <t>Sys Lab software replace-LGE16</t>
  </si>
  <si>
    <t>149393</t>
  </si>
  <si>
    <t>2018 H2S REMOVAL UNIT TOWER</t>
  </si>
  <si>
    <t>149534</t>
  </si>
  <si>
    <t>Meter Shop 2017 LG&amp;E Gas</t>
  </si>
  <si>
    <t>149483</t>
  </si>
  <si>
    <t>LGE FURN &amp; CHAIR 2017</t>
  </si>
  <si>
    <t>149325</t>
  </si>
  <si>
    <t>MAG 2017 SMALL TOOLS</t>
  </si>
  <si>
    <t>IT0004L</t>
  </si>
  <si>
    <t>Analog Sunset-LGE17</t>
  </si>
  <si>
    <t>IT0085L</t>
  </si>
  <si>
    <t>Rate Case 2017-LGE17</t>
  </si>
  <si>
    <t>IT0073L</t>
  </si>
  <si>
    <t>OpenText HR- Mercer file-LGE17</t>
  </si>
  <si>
    <t>IT0074L</t>
  </si>
  <si>
    <t>OpenText Reg and Rates-LGE17</t>
  </si>
  <si>
    <t>IT0056L</t>
  </si>
  <si>
    <t>Microsoft Office Upgrade-LGE17</t>
  </si>
  <si>
    <t>145402</t>
  </si>
  <si>
    <t>IT0113CG</t>
  </si>
  <si>
    <t>TC Plant Alt Transport-LGE17</t>
  </si>
  <si>
    <t>IT0122L</t>
  </si>
  <si>
    <t>Windows 10 Remediation-LGE17</t>
  </si>
  <si>
    <t>IT0079L</t>
  </si>
  <si>
    <t>Outside Cable Plant-LGE17</t>
  </si>
  <si>
    <t>IT0008L</t>
  </si>
  <si>
    <t>Bulk Power &amp; Env Sys-LGE17</t>
  </si>
  <si>
    <t>IT0049L</t>
  </si>
  <si>
    <t>KU MW Tower Repl Badger-LGE17</t>
  </si>
  <si>
    <t>IT0061L</t>
  </si>
  <si>
    <t>Mobile Radio-LGE17</t>
  </si>
  <si>
    <t>IT0051L</t>
  </si>
  <si>
    <t>Louisville Elect Upgrds-LGE17</t>
  </si>
  <si>
    <t>IT0094L</t>
  </si>
  <si>
    <t>Server Hardware Refr-LGE17</t>
  </si>
  <si>
    <t>IT0048L</t>
  </si>
  <si>
    <t>IT Security CIP Lab Enhn-LGE17</t>
  </si>
  <si>
    <t>IT0053L</t>
  </si>
  <si>
    <t>Microsoft AppV Major Upg-LGE17</t>
  </si>
  <si>
    <t>IT0084L</t>
  </si>
  <si>
    <t>Purch/Rebuild Radio Site-LGE17</t>
  </si>
  <si>
    <t>IT0062L</t>
  </si>
  <si>
    <t>Monitor Replacement-LGE17</t>
  </si>
  <si>
    <t>IT0071L</t>
  </si>
  <si>
    <t>Network Test Equip-LGE17</t>
  </si>
  <si>
    <t>IT0121L</t>
  </si>
  <si>
    <t>Phone Expansion-LGE17</t>
  </si>
  <si>
    <t>IT0067L</t>
  </si>
  <si>
    <t>Network Access Dev-LGE17</t>
  </si>
  <si>
    <t>IT0106L</t>
  </si>
  <si>
    <t>Telecom Shelter Renov-LGE17</t>
  </si>
  <si>
    <t>IT0119L</t>
  </si>
  <si>
    <t>Upgrade Vmware Infra-LGE17</t>
  </si>
  <si>
    <t>PAGE 1 OF 5</t>
  </si>
  <si>
    <t>PAGE 2 OF 5</t>
  </si>
  <si>
    <t>PAGE 3 OF 5</t>
  </si>
  <si>
    <t>153087</t>
  </si>
  <si>
    <t>AMI - MDMS &amp; LICENSES-LGE GAS</t>
  </si>
  <si>
    <t>153084</t>
  </si>
  <si>
    <t>AMI - MDMS &amp; LICENSES - LGE</t>
  </si>
  <si>
    <t>149155</t>
  </si>
  <si>
    <t>UPGRADE ELEVATED PRESSURE</t>
  </si>
  <si>
    <t>149183</t>
  </si>
  <si>
    <t>DRILL WELLS MAG DEEP 2018</t>
  </si>
  <si>
    <t>152499</t>
  </si>
  <si>
    <t>MULD STATN PIPE 2018</t>
  </si>
  <si>
    <t>149318</t>
  </si>
  <si>
    <t>STOR FLD TRUNKLINE MODIF</t>
  </si>
  <si>
    <t>138032</t>
  </si>
  <si>
    <t>149185</t>
  </si>
  <si>
    <t>DRILL WELLS MAG UPPER 2018</t>
  </si>
  <si>
    <t>149182</t>
  </si>
  <si>
    <t>DRILL WELLS CENTER 2018</t>
  </si>
  <si>
    <t>149180</t>
  </si>
  <si>
    <t>DRILL OBSV WELLS MULD 2018</t>
  </si>
  <si>
    <t>144869</t>
  </si>
  <si>
    <t>PRESTON CITY GATE STATION</t>
  </si>
  <si>
    <t>149427</t>
  </si>
  <si>
    <t>2018 SCADA HARDWARE RPLC</t>
  </si>
  <si>
    <t>IT0287L</t>
  </si>
  <si>
    <t>Tech Refesh desk/lap-LGE18</t>
  </si>
  <si>
    <t>152959</t>
  </si>
  <si>
    <t>LTP Repl Ohio River Crossing</t>
  </si>
  <si>
    <t>149156</t>
  </si>
  <si>
    <t>WEST END GAS REINFORCE</t>
  </si>
  <si>
    <t>152501</t>
  </si>
  <si>
    <t>17 BP BOOSTER COMP PHASE 2</t>
  </si>
  <si>
    <t>IT0301L</t>
  </si>
  <si>
    <t>Rep ASTRO Spectra Yr 1/3-LGE18</t>
  </si>
  <si>
    <t>152494</t>
  </si>
  <si>
    <t>MULD ENG &amp; COMP UPGRADE 2018</t>
  </si>
  <si>
    <t>IT0125L</t>
  </si>
  <si>
    <t>NE KY Build Des&amp;Yr 1/3-LG16-18</t>
  </si>
  <si>
    <t>IT0259L</t>
  </si>
  <si>
    <t>OTN Ext Lex-Dix Ring-LGE18</t>
  </si>
  <si>
    <t>149312</t>
  </si>
  <si>
    <t>COOLER HOUSING/SHROUDS</t>
  </si>
  <si>
    <t>IT0201L</t>
  </si>
  <si>
    <t>ABB Upgrade-LGE18</t>
  </si>
  <si>
    <t>IT0300L</t>
  </si>
  <si>
    <t>WMS Upgrade-LGE18-19</t>
  </si>
  <si>
    <t>IT0246L</t>
  </si>
  <si>
    <t>Mobile Dispatch Enhance-LGE18</t>
  </si>
  <si>
    <t>149304</t>
  </si>
  <si>
    <t>MAG STOR FLD BARRICADES</t>
  </si>
  <si>
    <t>IT0305L</t>
  </si>
  <si>
    <t>Repl Quant Repeat Yr 1/2-LGE18</t>
  </si>
  <si>
    <t>IT0277L</t>
  </si>
  <si>
    <t>Server Hardware Refresh-LGE18</t>
  </si>
  <si>
    <t>149158</t>
  </si>
  <si>
    <t>SMALL TOOLS 2018 004190</t>
  </si>
  <si>
    <t>IT0075L</t>
  </si>
  <si>
    <t>OpenText Transmission-LGE17-18</t>
  </si>
  <si>
    <t>IT0274L</t>
  </si>
  <si>
    <t>SAP Roadmap Strategy -LGE18</t>
  </si>
  <si>
    <t>IT0202L</t>
  </si>
  <si>
    <t>Access Switch Rotation-LGE18</t>
  </si>
  <si>
    <t>149316</t>
  </si>
  <si>
    <t>MAG REPLACE MUFFLERS</t>
  </si>
  <si>
    <t>IT0211L</t>
  </si>
  <si>
    <t>CIP Compliance Tools Yr8-LGE18</t>
  </si>
  <si>
    <t>152496</t>
  </si>
  <si>
    <t>MUL STATN &amp; FLD WASTE TANKS</t>
  </si>
  <si>
    <t>PAGE 4 OF 5</t>
  </si>
  <si>
    <t>149296</t>
  </si>
  <si>
    <t>MULD STOR FLD VALVE REPL</t>
  </si>
  <si>
    <t>IT0215L</t>
  </si>
  <si>
    <t>CIP Compl Infrastrct Yr8-LGE18</t>
  </si>
  <si>
    <t>152519</t>
  </si>
  <si>
    <t>MAG16 20IN REPLACEMENT</t>
  </si>
  <si>
    <t>IT0219L</t>
  </si>
  <si>
    <t>EE DSM Filing-LGE18-19</t>
  </si>
  <si>
    <t>IT0209L</t>
  </si>
  <si>
    <t>CERUS IV-LGE18</t>
  </si>
  <si>
    <t>IT0242L</t>
  </si>
  <si>
    <t>Megastar &amp; DVM MW Repl-LGE18</t>
  </si>
  <si>
    <t>IT0263L</t>
  </si>
  <si>
    <t>Purch/Rebuild Radio Site-LGE18</t>
  </si>
  <si>
    <t>IT0237L</t>
  </si>
  <si>
    <t>KU Tower RepL Bch Grove-LGE18</t>
  </si>
  <si>
    <t>IT0283L</t>
  </si>
  <si>
    <t>SOA Middleware Upgrade-LGE18</t>
  </si>
  <si>
    <t>IT0220L</t>
  </si>
  <si>
    <t>Elec Facility Enhance-LGE18-19</t>
  </si>
  <si>
    <t>IT0204L</t>
  </si>
  <si>
    <t>Analog Sunset-LGE18</t>
  </si>
  <si>
    <t>149406</t>
  </si>
  <si>
    <t>2018 RPL VLVS CG &amp; DIST REG FC</t>
  </si>
  <si>
    <t>IT0216L</t>
  </si>
  <si>
    <t>Computer HW for LOB's-LGE18</t>
  </si>
  <si>
    <t>IT0111L</t>
  </si>
  <si>
    <t>Transmission Work Mgt-LGE17-18</t>
  </si>
  <si>
    <t>IT0241L</t>
  </si>
  <si>
    <t>Maximo Upgrade-LGE18-19</t>
  </si>
  <si>
    <t>IT0285CG</t>
  </si>
  <si>
    <t>SynerGEE Gas Area Module-LGE18</t>
  </si>
  <si>
    <t>IT0286CG</t>
  </si>
  <si>
    <t>TC2 tracking IMEA/IMPA-LGE18</t>
  </si>
  <si>
    <t>149175</t>
  </si>
  <si>
    <t>CONV DR DEEP TO UPPER 2018</t>
  </si>
  <si>
    <t>149484</t>
  </si>
  <si>
    <t>LGE FURN &amp; CHAIR 2018</t>
  </si>
  <si>
    <t>IT0213L</t>
  </si>
  <si>
    <t>Citrix XenMobile Upgr-LGE18</t>
  </si>
  <si>
    <t>IT0248L</t>
  </si>
  <si>
    <t>Mobile Radio-LGE18</t>
  </si>
  <si>
    <t>145016</t>
  </si>
  <si>
    <t>LGE CAMERAS 2018</t>
  </si>
  <si>
    <t>IT0298L</t>
  </si>
  <si>
    <t>Wireless Buildout-LGE18</t>
  </si>
  <si>
    <t>IT0224L</t>
  </si>
  <si>
    <t>Exchange 20xx Upgrade-LGE18</t>
  </si>
  <si>
    <t>IT0247L</t>
  </si>
  <si>
    <t>Mobile Infrastructure-LGE18</t>
  </si>
  <si>
    <t>149476</t>
  </si>
  <si>
    <t>LGE FAC IMPROVEMENTS 2018</t>
  </si>
  <si>
    <t>149493</t>
  </si>
  <si>
    <t>AV EQUIPMENT - LGE 2018</t>
  </si>
  <si>
    <t>IT0261L</t>
  </si>
  <si>
    <t>PeopleSoft Tools Enhance-LGE18</t>
  </si>
  <si>
    <t>IT0260L</t>
  </si>
  <si>
    <t>Outside Cable Plant-LGE18</t>
  </si>
  <si>
    <t>IT0212L</t>
  </si>
  <si>
    <t>Citrix XenDsktp Mjr Upg-LGE18</t>
  </si>
  <si>
    <t>IT0206L</t>
  </si>
  <si>
    <t>Bulk Power &amp; Env Syst-LGE18</t>
  </si>
  <si>
    <t>IT0296L</t>
  </si>
  <si>
    <t>Video Streaming Appl Upg-LGE18</t>
  </si>
  <si>
    <t>IT0297L</t>
  </si>
  <si>
    <t>Phone Expan/Break Fix-LGE18</t>
  </si>
  <si>
    <t>IT0256L</t>
  </si>
  <si>
    <t>Network Test Equip-LGE18</t>
  </si>
  <si>
    <t>152497</t>
  </si>
  <si>
    <t>PURCH ATTACH CONSTR EQUIP</t>
  </si>
  <si>
    <t>IT0266L</t>
  </si>
  <si>
    <t>Reporting/Business Intel-LGE18</t>
  </si>
  <si>
    <t>IT0221L</t>
  </si>
  <si>
    <t>EMS CIP-LGE18</t>
  </si>
  <si>
    <t>141390</t>
  </si>
  <si>
    <t>149438</t>
  </si>
  <si>
    <t>2018 IM&amp;E SMALL TOOLS</t>
  </si>
  <si>
    <t>142367</t>
  </si>
  <si>
    <t>Retail Hardware LG&amp;E 2018</t>
  </si>
  <si>
    <t>IT0253L</t>
  </si>
  <si>
    <t>Network Access Infrast-LGE18</t>
  </si>
  <si>
    <t>IT0249L</t>
  </si>
  <si>
    <t>Monitor Replacement-LGE18</t>
  </si>
  <si>
    <t>149332</t>
  </si>
  <si>
    <t>MAG 2018 SMALL TOOLS</t>
  </si>
  <si>
    <t>PAGE 5 OF 5</t>
  </si>
  <si>
    <t>IT0258L</t>
  </si>
  <si>
    <t>Open Text Data Automate-LGE18</t>
  </si>
  <si>
    <t>IT0244L</t>
  </si>
  <si>
    <t>Microsoft Lic True-up-LGE18</t>
  </si>
  <si>
    <t>IT0265L</t>
  </si>
  <si>
    <t>Replace Video Units-LGE18</t>
  </si>
  <si>
    <t>IT0275L</t>
  </si>
  <si>
    <t>Security Infrast Enhance-LGE18</t>
  </si>
  <si>
    <t>149441</t>
  </si>
  <si>
    <t>2018 SR&amp;O SMALL TOOLS</t>
  </si>
  <si>
    <t>IT0291L</t>
  </si>
  <si>
    <t>TRODS-LGE18</t>
  </si>
  <si>
    <t>IT0026L</t>
  </si>
  <si>
    <t>Data Protection-LGE17-18</t>
  </si>
  <si>
    <t>IT0276L</t>
  </si>
  <si>
    <t>Server Cap Expn &amp; Reliab-LGE18</t>
  </si>
  <si>
    <t>IT0264L</t>
  </si>
  <si>
    <t>Rate Case 2018-LGE18-19</t>
  </si>
  <si>
    <t>IT0290L</t>
  </si>
  <si>
    <t>Transmission Map-LGE18</t>
  </si>
  <si>
    <t>IT0299L</t>
  </si>
  <si>
    <t>WMS Work Mgmt Sys Enh-LGE18</t>
  </si>
  <si>
    <t>IT0234L</t>
  </si>
  <si>
    <t>IT Security Infras-LGE18</t>
  </si>
  <si>
    <t>149491</t>
  </si>
  <si>
    <t>CARPET/FLOORING - LGE 2018</t>
  </si>
  <si>
    <t>149313</t>
  </si>
  <si>
    <t>SECUR UPGRADES MAG &amp; CANMER</t>
  </si>
  <si>
    <t>IT0288L</t>
  </si>
  <si>
    <t>Telecom Shelter Reno-LGE18</t>
  </si>
  <si>
    <t>IT0245L</t>
  </si>
  <si>
    <t>Mbl &amp; Wrkst Lic True-up-LGE18</t>
  </si>
  <si>
    <t>IT0207L</t>
  </si>
  <si>
    <t>Cabling Server Connect-LGE18</t>
  </si>
  <si>
    <t>IT0238L</t>
  </si>
  <si>
    <t>Louisv Electrical Upgr-LGE18</t>
  </si>
  <si>
    <t>144857</t>
  </si>
  <si>
    <t>MOIST REMOVAL UNIT</t>
  </si>
  <si>
    <t>IT0254L</t>
  </si>
  <si>
    <t>Network Access Gateways-LGE18</t>
  </si>
  <si>
    <t>IT0280L</t>
  </si>
  <si>
    <t>Simpsonville Elect Upgr-LGE18</t>
  </si>
  <si>
    <t>IT0282L</t>
  </si>
  <si>
    <t>Site Security Improvemts-LGE18</t>
  </si>
  <si>
    <t>IT0250L</t>
  </si>
  <si>
    <t>MR Hardware-LGE18</t>
  </si>
  <si>
    <t>IT0251L</t>
  </si>
  <si>
    <t>Multi-Func Dev Ref-LGE18</t>
  </si>
  <si>
    <t>149400</t>
  </si>
  <si>
    <t>VINE GROVE BACKUP FEED</t>
  </si>
  <si>
    <t>IT0289L</t>
  </si>
  <si>
    <t>TOA-LGE18</t>
  </si>
  <si>
    <t>IT0295L</t>
  </si>
  <si>
    <t>Upgrade Vmware Infrast-LGE18</t>
  </si>
  <si>
    <t>Year 2016</t>
  </si>
  <si>
    <t>Mar 2017</t>
  </si>
  <si>
    <t>Apr 2017</t>
  </si>
  <si>
    <t>May 2017</t>
  </si>
  <si>
    <t>Year 2017</t>
  </si>
  <si>
    <t>(a) Adjustment reflects GLT jurisdictional amounts.</t>
  </si>
  <si>
    <t>Mar-16</t>
  </si>
  <si>
    <t>Jun-16</t>
  </si>
  <si>
    <t>Aug-16</t>
  </si>
  <si>
    <t>165.1 - Prepayments - LT</t>
  </si>
  <si>
    <t>165.9 - Tax prepayments</t>
  </si>
  <si>
    <t>Ratios</t>
  </si>
  <si>
    <t>LGE Gas </t>
  </si>
  <si>
    <t>484-INTERCOMPANY SALES</t>
  </si>
  <si>
    <t>893 - MTCE-OTH SERVICES</t>
  </si>
  <si>
    <t>407-REGULATORY DEBITS</t>
  </si>
  <si>
    <t>421-GAIN/LOSS PROP DISPOSITION - BTL</t>
  </si>
  <si>
    <t>INCOME TAXES:</t>
  </si>
  <si>
    <t>StateIncome Taxes</t>
  </si>
  <si>
    <t>Federal Income Taxes</t>
  </si>
  <si>
    <t>ITC</t>
  </si>
  <si>
    <t>Total Income Taxes</t>
  </si>
  <si>
    <t>Total Income Taxes to Use</t>
  </si>
  <si>
    <t>JURISDICTIONAL NET OPERATING INCOME</t>
  </si>
  <si>
    <t>Other income (expense) - actual input</t>
  </si>
  <si>
    <t>Federal Taxes - BTL</t>
  </si>
  <si>
    <t>State Taxes - BTL</t>
  </si>
  <si>
    <t>Other income (expense) - net of Taxes</t>
  </si>
  <si>
    <t>431     Interest Expense</t>
  </si>
  <si>
    <t>Interest</t>
  </si>
  <si>
    <t>NET INCOME</t>
  </si>
  <si>
    <t>12 months ended June 30, 2018</t>
  </si>
  <si>
    <t>As of June 30, 2018</t>
  </si>
  <si>
    <t>As of February 28, 2017</t>
  </si>
  <si>
    <t>12 months ended February 28, 2017</t>
  </si>
  <si>
    <t>Pro rata</t>
  </si>
  <si>
    <t>(2 - 3 - 4 - 5 - 6- 7)</t>
  </si>
  <si>
    <t>(9 - 10 - 11 - 12 - 13)</t>
  </si>
  <si>
    <t>(2 + 9)</t>
  </si>
  <si>
    <t>LOUISVILLE GAS AND ELECTRIC</t>
  </si>
  <si>
    <t>TABLE 3.  SUMMARY OF ESTIMATED SURVIVOR CURVES, NET SALVAGE, ORIGINAL COST, BOOK DEPRECIATION RESERVE AND</t>
  </si>
  <si>
    <t>CALCULATED ANNUAL DEPRECIATION RATES BY COMPONENT AS OF DECEMBER 31, 2015</t>
  </si>
  <si>
    <t xml:space="preserve">GROSS </t>
  </si>
  <si>
    <t xml:space="preserve">LIFE </t>
  </si>
  <si>
    <t xml:space="preserve">REMOVAL </t>
  </si>
  <si>
    <t xml:space="preserve">SALVAGE </t>
  </si>
  <si>
    <t>LAND RIGHTS</t>
  </si>
  <si>
    <t>40-S0.5</t>
  </si>
  <si>
    <t>30-L0.5</t>
  </si>
  <si>
    <t>18.1-37.1</t>
  </si>
  <si>
    <t>2.8-18</t>
  </si>
  <si>
    <t>9-S2.5</t>
  </si>
  <si>
    <t>12-S0.5</t>
  </si>
  <si>
    <t>23-L1.5</t>
  </si>
  <si>
    <t>22-L4</t>
  </si>
  <si>
    <t>24-L2.5</t>
  </si>
  <si>
    <t>COMMUNICATION EQUIPMENT - MICROWAVE, FIBER AND OTHER</t>
  </si>
  <si>
    <t>22-L2</t>
  </si>
  <si>
    <t>COMMUNICATION EQUIPMENT - RADIO AND TELEPHONE</t>
  </si>
  <si>
    <t>9-S2.5, 12-S0.5,23-L1.5</t>
  </si>
  <si>
    <t>3.3-13.9</t>
  </si>
  <si>
    <t>22-L4, 24-L2.5</t>
  </si>
  <si>
    <t>7.6-16</t>
  </si>
  <si>
    <t>10-SQ, 22-L2</t>
  </si>
  <si>
    <t>8.2-20.9</t>
  </si>
  <si>
    <t>TABLE 2.  SUMMARY OF ESTIMATED SURVIVOR CURVES, NET SALVAGE, ORIGINAL COST, BOOK DEPRECIATION RESERVE AND</t>
  </si>
  <si>
    <t>FRANCHISES AND CONSENTS</t>
  </si>
  <si>
    <t>60-R4</t>
  </si>
  <si>
    <t>60-R3</t>
  </si>
  <si>
    <t>60-R2.5</t>
  </si>
  <si>
    <t xml:space="preserve">             -</t>
  </si>
  <si>
    <t>70-R4</t>
  </si>
  <si>
    <t>48-R2</t>
  </si>
  <si>
    <t>70-S3</t>
  </si>
  <si>
    <t>STRUCTURES AND IMPROVEMENTS - CITY GATE STATION</t>
  </si>
  <si>
    <t>STRUCTURES AND IMPROVEMENTS - OTHER DISTRIBUTION</t>
  </si>
  <si>
    <t>40-S1</t>
  </si>
  <si>
    <t>63-R2.5</t>
  </si>
  <si>
    <t>MEASURING AND REGULATING STATION EQUIPMENT - GENERAL</t>
  </si>
  <si>
    <t>43-S0</t>
  </si>
  <si>
    <t>MEASURING AND REGULATING STATION EQUIPMENT - CITY GATE</t>
  </si>
  <si>
    <t>38-S0</t>
  </si>
  <si>
    <t>42-R1.5</t>
  </si>
  <si>
    <t>30-R2</t>
  </si>
  <si>
    <t>32-S1.5</t>
  </si>
  <si>
    <t>40-R2.5</t>
  </si>
  <si>
    <t>10-S2</t>
  </si>
  <si>
    <t>11-L3</t>
  </si>
  <si>
    <t>18-S1.5</t>
  </si>
  <si>
    <t xml:space="preserve">TOOLS, SHOP, AND GARAGE EQUIPMENT    </t>
  </si>
  <si>
    <t>POWER OPERATED EQUIPMENT - HOURLY RATED</t>
  </si>
  <si>
    <t>14-S2</t>
  </si>
  <si>
    <t>20-S0.5</t>
  </si>
  <si>
    <t>55-R2.5, 60-R2.5, 60-R3</t>
  </si>
  <si>
    <t>49.5-54.6</t>
  </si>
  <si>
    <t>-5%,-15%</t>
  </si>
  <si>
    <t>0%,-35%</t>
  </si>
  <si>
    <t>40-S1, 50-R3</t>
  </si>
  <si>
    <t>21.3-39.9</t>
  </si>
  <si>
    <t>0%</t>
  </si>
  <si>
    <t>10-S2, 11-L3, 18-S1.5</t>
  </si>
  <si>
    <t>5-11.5</t>
  </si>
  <si>
    <t>11.7-16.8</t>
  </si>
  <si>
    <t>14-S2, 20-S0.5</t>
  </si>
  <si>
    <t>-5%,-10%</t>
  </si>
  <si>
    <t>0%,5%</t>
  </si>
  <si>
    <t>0%,10%</t>
  </si>
  <si>
    <t>30-L0.5, 40-S.05, 45-R1, 50-R3, 50-R4</t>
  </si>
  <si>
    <t>4-SQ, 5-SQ, 10-SQ-15-SQ, 20-SQ</t>
  </si>
  <si>
    <t>Proposed DeprECIATION ACCRUAL RATES AND ACCUMULATED BALANCES BY ACCOUNT</t>
  </si>
  <si>
    <t>45-R0.5, 60-R3</t>
  </si>
  <si>
    <t>37.4-45.1</t>
  </si>
  <si>
    <t>KY Aug 2016 Forecast (2017 BP-Prelim View)- No RC</t>
  </si>
  <si>
    <t>146.5 - Acct Rec Assoc Co (Inc Tax Rec)</t>
  </si>
  <si>
    <t>181.2 - Unamortized debt expense rollovers/lcs</t>
  </si>
  <si>
    <t xml:space="preserve">          182.2 - Unrecovered plant and regulatory study costs</t>
  </si>
  <si>
    <t>184.6 - Clearing Accts (Int Div Payable)</t>
  </si>
  <si>
    <t>188.1 - Misc Def Debits Resrch/Dev/Demo Exp</t>
  </si>
  <si>
    <t xml:space="preserve">          233 - Notes Payable To Assoc Companies</t>
  </si>
  <si>
    <t xml:space="preserve">          244.3 - Derivative Liab. Current Affil Non-LKE</t>
  </si>
  <si>
    <t>CASE NO. 2016-00371 - GAS OPERATIONS</t>
  </si>
  <si>
    <t>140058</t>
  </si>
  <si>
    <t>EMS DBASE EXPANSION-LGE-2018</t>
  </si>
  <si>
    <t>141583</t>
  </si>
  <si>
    <t>Meter Shop 2018 LG&amp;E Electric</t>
  </si>
  <si>
    <t>D. K. ARBOUGH</t>
  </si>
  <si>
    <t>SCH 1.1</t>
  </si>
  <si>
    <t>TYPE OF FILING: _____ ORIGINAL  _____ UPDATED  __X__ REVISED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</si>
</sst>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0.000%"/>
    <numFmt numFmtId="176" formatCode="[$-409]mmm\-yy;@"/>
    <numFmt numFmtId="177" formatCode="0_);\(0\)"/>
    <numFmt numFmtId="178" formatCode="0.0"/>
    <numFmt numFmtId="179" formatCode="_(* #,##0.0_);_(* \(#,##0.0\);_(* &quot;-&quot;??_);_(@_)"/>
    <numFmt numFmtId="180" formatCode="#,##0_);[Red]\(#,##0\);&quot; &quot;"/>
    <numFmt numFmtId="181" formatCode="#,##0.0000_);\(#,##0.0000\)"/>
    <numFmt numFmtId="182" formatCode="_(&quot;$&quot;* #,##0_);_(&quot;$&quot;* \(#,##0\);_(&quot;$&quot;* &quot;-&quot;??_);_(@_)"/>
    <numFmt numFmtId="183" formatCode=";;;"/>
    <numFmt numFmtId="184" formatCode="&quot;$&quot;#,##0.00"/>
    <numFmt numFmtId="185" formatCode="#,##0.0_);[Red]\(#,##0.0\);&quot; &quot;"/>
    <numFmt numFmtId="186" formatCode="d\-mmm\-yyyy"/>
    <numFmt numFmtId="187" formatCode="\-"/>
    <numFmt numFmtId="188" formatCode="#,##0.00\ &quot;DM&quot;;[Red]\-#,##0.00\ &quot;DM&quot;"/>
    <numFmt numFmtId="189" formatCode="#,##0.00%_);[Red]\(#,##0.00%\);&quot; &quot;"/>
    <numFmt numFmtId="190" formatCode="."/>
    <numFmt numFmtId="191" formatCode="0.000"/>
    <numFmt numFmtId="192" formatCode="_([$€-2]* #,##0.00_);_([$€-2]* \(#,##0.00\);_([$€-2]* &quot;-&quot;??_)"/>
    <numFmt numFmtId="193" formatCode="_-* #,##0\ _F_-;\-* #,##0\ _F_-;_-* &quot;-&quot;\ _F_-;_-@_-"/>
    <numFmt numFmtId="194" formatCode="_-* #,##0.00\ _F_-;\-* #,##0.00\ _F_-;_-* &quot;-&quot;??\ _F_-;_-@_-"/>
    <numFmt numFmtId="195" formatCode="_-* #,##0\ &quot;F&quot;_-;\-* #,##0\ &quot;F&quot;_-;_-* &quot;-&quot;\ &quot;F&quot;_-;_-@_-"/>
    <numFmt numFmtId="196" formatCode="_-* #,##0.00\ &quot;F&quot;_-;\-* #,##0.00\ &quot;F&quot;_-;_-* &quot;-&quot;??\ &quot;F&quot;_-;_-@_-"/>
    <numFmt numFmtId="197" formatCode="00000000"/>
    <numFmt numFmtId="198" formatCode="#,##0.000_);[Red]\(#,##0.000\);&quot; &quot;"/>
    <numFmt numFmtId="199" formatCode="#,##0.00_);[Red]\(#,##0.00\);&quot; &quot;"/>
    <numFmt numFmtId="200" formatCode="###,000"/>
    <numFmt numFmtId="201" formatCode="0.00_);\(0.00\)"/>
    <numFmt numFmtId="202" formatCode="#,##0.000000_);[Red]\(#,##0.000000\);&quot; &quot;"/>
  </numFmts>
  <fonts count="212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1"/>
      <color theme="1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0"/>
      <color theme="2"/>
      <name val="Arial"/>
      <family val="2"/>
    </font>
    <font>
      <u val="double"/>
      <sz val="10"/>
      <color rgb="FF000000"/>
      <name val="Arial"/>
      <family val="2"/>
    </font>
    <font>
      <sz val="10"/>
      <name val="Arial"/>
      <family val="2"/>
    </font>
    <font>
      <sz val="12"/>
      <color theme="1"/>
      <name val="Times New Roman"/>
      <family val="2"/>
    </font>
    <font>
      <sz val="10"/>
      <color theme="1"/>
      <name val="Arial"/>
      <family val="2"/>
    </font>
    <font>
      <sz val="10"/>
      <color indexed="12"/>
      <name val="Arial"/>
      <family val="2"/>
    </font>
    <font>
      <b/>
      <i/>
      <u val="singleAccounting"/>
      <sz val="10"/>
      <name val="Arial"/>
      <family val="2"/>
    </font>
    <font>
      <u val="singleAccounting"/>
      <sz val="10"/>
      <name val="Arial"/>
      <family val="2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0"/>
      <name val="Arial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2"/>
      <name val="Times New Roman"/>
      <family val="1"/>
    </font>
    <font>
      <b/>
      <sz val="12"/>
      <color indexed="10"/>
      <name val="Times New Roman"/>
      <family val="1"/>
    </font>
    <font>
      <sz val="11"/>
      <color theme="0"/>
      <name val="Times New Roman"/>
      <family val="2"/>
    </font>
    <font>
      <sz val="11"/>
      <color theme="0"/>
      <name val="Arial"/>
      <family val="2"/>
    </font>
    <font>
      <sz val="11"/>
      <color rgb="FF9C0006"/>
      <name val="Times New Roman"/>
      <family val="2"/>
    </font>
    <font>
      <sz val="11"/>
      <color rgb="FF9C0006"/>
      <name val="Arial"/>
      <family val="2"/>
    </font>
    <font>
      <sz val="10"/>
      <name val="Helv"/>
    </font>
    <font>
      <b/>
      <sz val="11"/>
      <color theme="0"/>
      <name val="Times New Roman"/>
      <family val="2"/>
    </font>
    <font>
      <b/>
      <sz val="11"/>
      <color theme="0"/>
      <name val="Arial"/>
      <family val="2"/>
    </font>
    <font>
      <sz val="8"/>
      <name val="Times New Roman"/>
      <family val="1"/>
    </font>
    <font>
      <i/>
      <sz val="11"/>
      <color rgb="FF7F7F7F"/>
      <name val="Times New Roman"/>
      <family val="2"/>
    </font>
    <font>
      <i/>
      <sz val="11"/>
      <color rgb="FF7F7F7F"/>
      <name val="Arial"/>
      <family val="2"/>
    </font>
    <font>
      <sz val="11"/>
      <color rgb="FF006100"/>
      <name val="Times New Roman"/>
      <family val="2"/>
    </font>
    <font>
      <sz val="11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theme="3"/>
      <name val="Arial"/>
      <family val="2"/>
    </font>
    <font>
      <u/>
      <sz val="8.25"/>
      <color indexed="12"/>
      <name val="Arial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rgb="FFFA7D00"/>
      <name val="Arial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rgb="FF9C6500"/>
      <name val="Arial"/>
      <family val="2"/>
    </font>
    <font>
      <sz val="10"/>
      <name val="Calibri"/>
      <family val="1"/>
      <scheme val="minor"/>
    </font>
    <font>
      <sz val="11"/>
      <color theme="1"/>
      <name val="Arial"/>
      <family val="2"/>
    </font>
    <font>
      <b/>
      <sz val="11"/>
      <color rgb="FF3F3F3F"/>
      <name val="Times New Roman"/>
      <family val="2"/>
    </font>
    <font>
      <b/>
      <sz val="11"/>
      <color rgb="FF3F3F3F"/>
      <name val="Arial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b/>
      <sz val="11"/>
      <color theme="1"/>
      <name val="Arial"/>
      <family val="2"/>
    </font>
    <font>
      <sz val="11"/>
      <color rgb="FFFF0000"/>
      <name val="Times New Roman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sz val="10"/>
      <color rgb="FF000000"/>
      <name val="3"/>
    </font>
    <font>
      <sz val="11"/>
      <color indexed="63"/>
      <name val="Calibri"/>
      <family val="2"/>
    </font>
    <font>
      <sz val="11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sz val="12"/>
      <color indexed="13"/>
      <name val="Tms Rmn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theme="1"/>
      <name val="Times New Roman"/>
      <family val="2"/>
    </font>
    <font>
      <sz val="11"/>
      <name val="Times New Roman"/>
      <family val="1"/>
    </font>
    <font>
      <sz val="18"/>
      <name val="Arial"/>
      <family val="2"/>
    </font>
    <font>
      <b/>
      <sz val="16"/>
      <color indexed="13"/>
      <name val="Arial"/>
      <family val="2"/>
    </font>
    <font>
      <sz val="12"/>
      <color indexed="10"/>
      <name val="Times New Roman"/>
      <family val="1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0"/>
      <name val="Courier"/>
    </font>
    <font>
      <sz val="10"/>
      <color theme="1"/>
      <name val="Calibri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8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gray06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ouble">
        <color indexed="0"/>
      </top>
      <bottom/>
      <diagonal/>
    </border>
  </borders>
  <cellStyleXfs count="62041">
    <xf numFmtId="37" fontId="0" fillId="0" borderId="0"/>
    <xf numFmtId="0" fontId="15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6" borderId="0"/>
    <xf numFmtId="0" fontId="14" fillId="16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8" fillId="17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8" fillId="18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8" fillId="19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9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8" fillId="21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8" fillId="22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9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8" fillId="19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9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8" fillId="22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9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8" fillId="18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9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8" fillId="23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9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8" fillId="24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8" fillId="2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9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19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20" fillId="22" borderId="0" applyNumberFormat="0" applyBorder="0" applyAlignment="0" applyProtection="0"/>
    <xf numFmtId="166" fontId="21" fillId="25" borderId="0" applyNumberFormat="0" applyBorder="0" applyAlignment="0" applyProtection="0"/>
    <xf numFmtId="166" fontId="21" fillId="25" borderId="0" applyNumberFormat="0" applyBorder="0" applyAlignment="0" applyProtection="0"/>
    <xf numFmtId="166" fontId="21" fillId="25" borderId="0" applyNumberFormat="0" applyBorder="0" applyAlignment="0" applyProtection="0"/>
    <xf numFmtId="0" fontId="20" fillId="26" borderId="0" applyNumberFormat="0" applyBorder="0" applyAlignment="0" applyProtection="0"/>
    <xf numFmtId="166" fontId="21" fillId="18" borderId="0" applyNumberFormat="0" applyBorder="0" applyAlignment="0" applyProtection="0"/>
    <xf numFmtId="166" fontId="21" fillId="18" borderId="0" applyNumberFormat="0" applyBorder="0" applyAlignment="0" applyProtection="0"/>
    <xf numFmtId="166" fontId="21" fillId="18" borderId="0" applyNumberFormat="0" applyBorder="0" applyAlignment="0" applyProtection="0"/>
    <xf numFmtId="0" fontId="20" fillId="27" borderId="0" applyNumberFormat="0" applyBorder="0" applyAlignment="0" applyProtection="0"/>
    <xf numFmtId="166" fontId="21" fillId="28" borderId="0" applyNumberFormat="0" applyBorder="0" applyAlignment="0" applyProtection="0"/>
    <xf numFmtId="166" fontId="21" fillId="28" borderId="0" applyNumberFormat="0" applyBorder="0" applyAlignment="0" applyProtection="0"/>
    <xf numFmtId="166" fontId="21" fillId="28" borderId="0" applyNumberFormat="0" applyBorder="0" applyAlignment="0" applyProtection="0"/>
    <xf numFmtId="0" fontId="20" fillId="24" borderId="0" applyNumberFormat="0" applyBorder="0" applyAlignment="0" applyProtection="0"/>
    <xf numFmtId="166" fontId="21" fillId="20" borderId="0" applyNumberFormat="0" applyBorder="0" applyAlignment="0" applyProtection="0"/>
    <xf numFmtId="166" fontId="21" fillId="20" borderId="0" applyNumberFormat="0" applyBorder="0" applyAlignment="0" applyProtection="0"/>
    <xf numFmtId="166" fontId="21" fillId="20" borderId="0" applyNumberFormat="0" applyBorder="0" applyAlignment="0" applyProtection="0"/>
    <xf numFmtId="0" fontId="20" fillId="22" borderId="0" applyNumberFormat="0" applyBorder="0" applyAlignment="0" applyProtection="0"/>
    <xf numFmtId="166" fontId="21" fillId="25" borderId="0" applyNumberFormat="0" applyBorder="0" applyAlignment="0" applyProtection="0"/>
    <xf numFmtId="166" fontId="21" fillId="25" borderId="0" applyNumberFormat="0" applyBorder="0" applyAlignment="0" applyProtection="0"/>
    <xf numFmtId="166" fontId="21" fillId="25" borderId="0" applyNumberFormat="0" applyBorder="0" applyAlignment="0" applyProtection="0"/>
    <xf numFmtId="0" fontId="20" fillId="18" borderId="0" applyNumberFormat="0" applyBorder="0" applyAlignment="0" applyProtection="0"/>
    <xf numFmtId="166" fontId="21" fillId="21" borderId="0" applyNumberFormat="0" applyBorder="0" applyAlignment="0" applyProtection="0"/>
    <xf numFmtId="166" fontId="21" fillId="21" borderId="0" applyNumberFormat="0" applyBorder="0" applyAlignment="0" applyProtection="0"/>
    <xf numFmtId="166" fontId="21" fillId="21" borderId="0" applyNumberFormat="0" applyBorder="0" applyAlignment="0" applyProtection="0"/>
    <xf numFmtId="0" fontId="20" fillId="29" borderId="0" applyNumberFormat="0" applyBorder="0" applyAlignment="0" applyProtection="0"/>
    <xf numFmtId="166" fontId="21" fillId="30" borderId="0" applyNumberFormat="0" applyBorder="0" applyAlignment="0" applyProtection="0"/>
    <xf numFmtId="166" fontId="21" fillId="30" borderId="0" applyNumberFormat="0" applyBorder="0" applyAlignment="0" applyProtection="0"/>
    <xf numFmtId="166" fontId="21" fillId="30" borderId="0" applyNumberFormat="0" applyBorder="0" applyAlignment="0" applyProtection="0"/>
    <xf numFmtId="0" fontId="20" fillId="26" borderId="0" applyNumberFormat="0" applyBorder="0" applyAlignment="0" applyProtection="0"/>
    <xf numFmtId="166" fontId="21" fillId="31" borderId="0" applyNumberFormat="0" applyBorder="0" applyAlignment="0" applyProtection="0"/>
    <xf numFmtId="166" fontId="21" fillId="31" borderId="0" applyNumberFormat="0" applyBorder="0" applyAlignment="0" applyProtection="0"/>
    <xf numFmtId="166" fontId="21" fillId="31" borderId="0" applyNumberFormat="0" applyBorder="0" applyAlignment="0" applyProtection="0"/>
    <xf numFmtId="0" fontId="20" fillId="27" borderId="0" applyNumberFormat="0" applyBorder="0" applyAlignment="0" applyProtection="0"/>
    <xf numFmtId="166" fontId="21" fillId="32" borderId="0" applyNumberFormat="0" applyBorder="0" applyAlignment="0" applyProtection="0"/>
    <xf numFmtId="166" fontId="21" fillId="32" borderId="0" applyNumberFormat="0" applyBorder="0" applyAlignment="0" applyProtection="0"/>
    <xf numFmtId="166" fontId="21" fillId="32" borderId="0" applyNumberFormat="0" applyBorder="0" applyAlignment="0" applyProtection="0"/>
    <xf numFmtId="0" fontId="20" fillId="33" borderId="0" applyNumberFormat="0" applyBorder="0" applyAlignment="0" applyProtection="0"/>
    <xf numFmtId="166" fontId="21" fillId="33" borderId="0" applyNumberFormat="0" applyBorder="0" applyAlignment="0" applyProtection="0"/>
    <xf numFmtId="166" fontId="21" fillId="33" borderId="0" applyNumberFormat="0" applyBorder="0" applyAlignment="0" applyProtection="0"/>
    <xf numFmtId="166" fontId="21" fillId="33" borderId="0" applyNumberFormat="0" applyBorder="0" applyAlignment="0" applyProtection="0"/>
    <xf numFmtId="0" fontId="20" fillId="30" borderId="0" applyNumberFormat="0" applyBorder="0" applyAlignment="0" applyProtection="0"/>
    <xf numFmtId="166" fontId="21" fillId="30" borderId="0" applyNumberFormat="0" applyBorder="0" applyAlignment="0" applyProtection="0"/>
    <xf numFmtId="166" fontId="21" fillId="30" borderId="0" applyNumberFormat="0" applyBorder="0" applyAlignment="0" applyProtection="0"/>
    <xf numFmtId="166" fontId="21" fillId="30" borderId="0" applyNumberFormat="0" applyBorder="0" applyAlignment="0" applyProtection="0"/>
    <xf numFmtId="0" fontId="20" fillId="31" borderId="0" applyNumberFormat="0" applyBorder="0" applyAlignment="0" applyProtection="0"/>
    <xf numFmtId="166" fontId="21" fillId="26" borderId="0" applyNumberFormat="0" applyBorder="0" applyAlignment="0" applyProtection="0"/>
    <xf numFmtId="166" fontId="21" fillId="26" borderId="0" applyNumberFormat="0" applyBorder="0" applyAlignment="0" applyProtection="0"/>
    <xf numFmtId="166" fontId="21" fillId="26" borderId="0" applyNumberFormat="0" applyBorder="0" applyAlignment="0" applyProtection="0"/>
    <xf numFmtId="0" fontId="22" fillId="34" borderId="0" applyNumberFormat="0" applyBorder="0" applyAlignment="0" applyProtection="0"/>
    <xf numFmtId="166" fontId="23" fillId="24" borderId="0" applyNumberFormat="0" applyBorder="0" applyAlignment="0" applyProtection="0"/>
    <xf numFmtId="166" fontId="23" fillId="24" borderId="0" applyNumberFormat="0" applyBorder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66" fontId="25" fillId="36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66" fontId="25" fillId="36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66" fontId="25" fillId="36" borderId="8" applyNumberFormat="0" applyAlignment="0" applyProtection="0"/>
    <xf numFmtId="0" fontId="24" fillId="35" borderId="8" applyNumberFormat="0" applyAlignment="0" applyProtection="0"/>
    <xf numFmtId="166" fontId="25" fillId="36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6" fillId="37" borderId="9" applyNumberFormat="0" applyAlignment="0" applyProtection="0"/>
    <xf numFmtId="166" fontId="27" fillId="37" borderId="9" applyNumberFormat="0" applyAlignment="0" applyProtection="0"/>
    <xf numFmtId="166" fontId="27" fillId="37" borderId="9" applyNumberFormat="0" applyAlignment="0" applyProtection="0"/>
    <xf numFmtId="167" fontId="28" fillId="0" borderId="10" applyBorder="0">
      <alignment horizontal="center" vertical="center"/>
    </xf>
    <xf numFmtId="164" fontId="27" fillId="38" borderId="0">
      <alignment horizontal="left"/>
    </xf>
    <xf numFmtId="0" fontId="27" fillId="38" borderId="0">
      <alignment horizontal="left"/>
    </xf>
    <xf numFmtId="166" fontId="27" fillId="38" borderId="0">
      <alignment horizontal="left"/>
    </xf>
    <xf numFmtId="164" fontId="29" fillId="38" borderId="0">
      <alignment horizontal="right"/>
    </xf>
    <xf numFmtId="0" fontId="29" fillId="38" borderId="0">
      <alignment horizontal="right"/>
    </xf>
    <xf numFmtId="166" fontId="29" fillId="38" borderId="0">
      <alignment horizontal="right"/>
    </xf>
    <xf numFmtId="164" fontId="30" fillId="35" borderId="0">
      <alignment horizontal="center"/>
    </xf>
    <xf numFmtId="0" fontId="30" fillId="35" borderId="0">
      <alignment horizontal="center"/>
    </xf>
    <xf numFmtId="166" fontId="30" fillId="35" borderId="0">
      <alignment horizontal="center"/>
    </xf>
    <xf numFmtId="164" fontId="29" fillId="38" borderId="0">
      <alignment horizontal="right"/>
    </xf>
    <xf numFmtId="0" fontId="29" fillId="38" borderId="0">
      <alignment horizontal="right"/>
    </xf>
    <xf numFmtId="166" fontId="29" fillId="38" borderId="0">
      <alignment horizontal="right"/>
    </xf>
    <xf numFmtId="164" fontId="31" fillId="35" borderId="0">
      <alignment horizontal="left"/>
    </xf>
    <xf numFmtId="0" fontId="31" fillId="35" borderId="0">
      <alignment horizontal="left"/>
    </xf>
    <xf numFmtId="166" fontId="31" fillId="35" borderId="0">
      <alignment horizontal="left"/>
    </xf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5" fontId="12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4" fontId="12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39" borderId="11" applyNumberFormat="0" applyFont="0" applyAlignment="0">
      <protection locked="0"/>
    </xf>
    <xf numFmtId="0" fontId="14" fillId="39" borderId="11" applyNumberFormat="0" applyFont="0" applyAlignment="0">
      <protection locked="0"/>
    </xf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0" fontId="13" fillId="0" borderId="0" applyProtection="0"/>
    <xf numFmtId="166" fontId="13" fillId="0" borderId="0" applyProtection="0"/>
    <xf numFmtId="0" fontId="36" fillId="0" borderId="0" applyProtection="0"/>
    <xf numFmtId="166" fontId="36" fillId="0" borderId="0" applyProtection="0"/>
    <xf numFmtId="0" fontId="37" fillId="0" borderId="0" applyProtection="0"/>
    <xf numFmtId="166" fontId="37" fillId="0" borderId="0" applyProtection="0"/>
    <xf numFmtId="0" fontId="38" fillId="0" borderId="0" applyProtection="0"/>
    <xf numFmtId="166" fontId="38" fillId="0" borderId="0" applyProtection="0"/>
    <xf numFmtId="166" fontId="38" fillId="0" borderId="0" applyProtection="0"/>
    <xf numFmtId="0" fontId="14" fillId="0" borderId="0" applyProtection="0"/>
    <xf numFmtId="0" fontId="14" fillId="0" borderId="0" applyProtection="0"/>
    <xf numFmtId="166" fontId="14" fillId="0" borderId="0" applyProtection="0"/>
    <xf numFmtId="166" fontId="14" fillId="0" borderId="0" applyProtection="0"/>
    <xf numFmtId="0" fontId="13" fillId="0" borderId="0" applyProtection="0"/>
    <xf numFmtId="166" fontId="13" fillId="0" borderId="0" applyProtection="0"/>
    <xf numFmtId="0" fontId="39" fillId="0" borderId="0" applyProtection="0"/>
    <xf numFmtId="166" fontId="39" fillId="0" borderId="0" applyProtection="0"/>
    <xf numFmtId="2" fontId="12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40" fillId="22" borderId="0" applyNumberFormat="0" applyBorder="0" applyAlignment="0" applyProtection="0"/>
    <xf numFmtId="166" fontId="28" fillId="40" borderId="0" applyNumberFormat="0" applyBorder="0" applyAlignment="0" applyProtection="0"/>
    <xf numFmtId="166" fontId="28" fillId="40" borderId="0" applyNumberFormat="0" applyBorder="0" applyAlignment="0" applyProtection="0"/>
    <xf numFmtId="0" fontId="41" fillId="0" borderId="12" applyNumberFormat="0" applyFill="0" applyAlignment="0" applyProtection="0"/>
    <xf numFmtId="166" fontId="42" fillId="0" borderId="13" applyNumberFormat="0" applyFill="0" applyAlignment="0" applyProtection="0"/>
    <xf numFmtId="0" fontId="9" fillId="0" borderId="1" applyNumberFormat="0" applyFill="0" applyAlignment="0" applyProtection="0"/>
    <xf numFmtId="166" fontId="42" fillId="0" borderId="13" applyNumberFormat="0" applyFill="0" applyAlignment="0" applyProtection="0"/>
    <xf numFmtId="0" fontId="43" fillId="0" borderId="14" applyNumberFormat="0" applyFill="0" applyAlignment="0" applyProtection="0"/>
    <xf numFmtId="166" fontId="44" fillId="0" borderId="15" applyNumberFormat="0" applyFill="0" applyAlignment="0" applyProtection="0"/>
    <xf numFmtId="0" fontId="10" fillId="0" borderId="2" applyNumberFormat="0" applyFill="0" applyAlignment="0" applyProtection="0"/>
    <xf numFmtId="166" fontId="44" fillId="0" borderId="15" applyNumberFormat="0" applyFill="0" applyAlignment="0" applyProtection="0"/>
    <xf numFmtId="0" fontId="45" fillId="0" borderId="16" applyNumberFormat="0" applyFill="0" applyAlignment="0" applyProtection="0"/>
    <xf numFmtId="166" fontId="46" fillId="0" borderId="17" applyNumberFormat="0" applyFill="0" applyAlignment="0" applyProtection="0"/>
    <xf numFmtId="166" fontId="46" fillId="0" borderId="17" applyNumberFormat="0" applyFill="0" applyAlignment="0" applyProtection="0"/>
    <xf numFmtId="166" fontId="46" fillId="0" borderId="17" applyNumberFormat="0" applyFill="0" applyAlignment="0" applyProtection="0"/>
    <xf numFmtId="166" fontId="46" fillId="0" borderId="17" applyNumberFormat="0" applyFill="0" applyAlignment="0" applyProtection="0"/>
    <xf numFmtId="166" fontId="46" fillId="0" borderId="17" applyNumberFormat="0" applyFill="0" applyAlignment="0" applyProtection="0"/>
    <xf numFmtId="0" fontId="45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4" fontId="47" fillId="0" borderId="0" applyNumberFormat="0" applyFill="0" applyBorder="0" applyAlignment="0" applyProtection="0">
      <alignment vertical="top"/>
      <protection locked="0"/>
    </xf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66" fontId="49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66" fontId="49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66" fontId="49" fillId="21" borderId="8" applyNumberFormat="0" applyAlignment="0" applyProtection="0"/>
    <xf numFmtId="0" fontId="48" fillId="23" borderId="8" applyNumberFormat="0" applyAlignment="0" applyProtection="0"/>
    <xf numFmtId="166" fontId="49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64" fontId="27" fillId="38" borderId="0">
      <alignment horizontal="left"/>
    </xf>
    <xf numFmtId="0" fontId="27" fillId="38" borderId="0">
      <alignment horizontal="left"/>
    </xf>
    <xf numFmtId="166" fontId="27" fillId="38" borderId="0">
      <alignment horizontal="left"/>
    </xf>
    <xf numFmtId="164" fontId="50" fillId="35" borderId="0">
      <alignment horizontal="left"/>
    </xf>
    <xf numFmtId="0" fontId="50" fillId="35" borderId="0">
      <alignment horizontal="left"/>
    </xf>
    <xf numFmtId="0" fontId="50" fillId="35" borderId="0">
      <alignment horizontal="left"/>
    </xf>
    <xf numFmtId="166" fontId="50" fillId="35" borderId="0">
      <alignment horizontal="left"/>
    </xf>
    <xf numFmtId="0" fontId="51" fillId="0" borderId="18" applyNumberFormat="0" applyFill="0" applyAlignment="0" applyProtection="0"/>
    <xf numFmtId="166" fontId="52" fillId="0" borderId="19" applyNumberFormat="0" applyFill="0" applyAlignment="0" applyProtection="0"/>
    <xf numFmtId="166" fontId="52" fillId="0" borderId="19" applyNumberFormat="0" applyFill="0" applyAlignment="0" applyProtection="0"/>
    <xf numFmtId="0" fontId="53" fillId="23" borderId="0" applyNumberFormat="0" applyBorder="0" applyAlignment="0" applyProtection="0"/>
    <xf numFmtId="166" fontId="54" fillId="23" borderId="0" applyNumberFormat="0" applyBorder="0" applyAlignment="0" applyProtection="0"/>
    <xf numFmtId="166" fontId="54" fillId="23" borderId="0" applyNumberFormat="0" applyBorder="0" applyAlignment="0" applyProtection="0"/>
    <xf numFmtId="164" fontId="14" fillId="0" borderId="0"/>
    <xf numFmtId="0" fontId="14" fillId="0" borderId="0"/>
    <xf numFmtId="166" fontId="14" fillId="0" borderId="0"/>
    <xf numFmtId="164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/>
    <xf numFmtId="0" fontId="14" fillId="0" borderId="0"/>
    <xf numFmtId="0" fontId="14" fillId="0" borderId="0"/>
    <xf numFmtId="166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166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14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166" fontId="14" fillId="0" borderId="0"/>
    <xf numFmtId="0" fontId="19" fillId="0" borderId="0"/>
    <xf numFmtId="170" fontId="14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8" fillId="0" borderId="0"/>
    <xf numFmtId="170" fontId="14" fillId="0" borderId="0"/>
    <xf numFmtId="0" fontId="8" fillId="0" borderId="0"/>
    <xf numFmtId="0" fontId="14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166" fontId="14" fillId="0" borderId="0"/>
    <xf numFmtId="37" fontId="36" fillId="0" borderId="0"/>
    <xf numFmtId="0" fontId="8" fillId="0" borderId="0"/>
    <xf numFmtId="0" fontId="8" fillId="0" borderId="0"/>
    <xf numFmtId="164" fontId="14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14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14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14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39" fontId="5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8" fillId="0" borderId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8" fillId="0" borderId="0"/>
    <xf numFmtId="0" fontId="8" fillId="0" borderId="0"/>
    <xf numFmtId="0" fontId="8" fillId="0" borderId="0"/>
    <xf numFmtId="171" fontId="57" fillId="35" borderId="0">
      <alignment horizontal="right"/>
    </xf>
    <xf numFmtId="40" fontId="58" fillId="41" borderId="0">
      <alignment horizontal="right"/>
    </xf>
    <xf numFmtId="4" fontId="57" fillId="41" borderId="0">
      <alignment horizontal="right"/>
    </xf>
    <xf numFmtId="0" fontId="8" fillId="0" borderId="0"/>
    <xf numFmtId="40" fontId="58" fillId="41" borderId="0">
      <alignment horizontal="right"/>
    </xf>
    <xf numFmtId="164" fontId="59" fillId="42" borderId="0">
      <alignment horizontal="center"/>
    </xf>
    <xf numFmtId="0" fontId="60" fillId="41" borderId="0">
      <alignment horizontal="right"/>
    </xf>
    <xf numFmtId="0" fontId="8" fillId="0" borderId="0"/>
    <xf numFmtId="0" fontId="59" fillId="41" borderId="0">
      <alignment horizontal="center" vertical="center"/>
    </xf>
    <xf numFmtId="0" fontId="8" fillId="0" borderId="0"/>
    <xf numFmtId="0" fontId="60" fillId="41" borderId="0">
      <alignment horizontal="right"/>
    </xf>
    <xf numFmtId="164" fontId="27" fillId="43" borderId="0"/>
    <xf numFmtId="0" fontId="61" fillId="41" borderId="10"/>
    <xf numFmtId="0" fontId="50" fillId="41" borderId="10"/>
    <xf numFmtId="0" fontId="8" fillId="0" borderId="0"/>
    <xf numFmtId="0" fontId="50" fillId="41" borderId="10"/>
    <xf numFmtId="0" fontId="8" fillId="0" borderId="0"/>
    <xf numFmtId="0" fontId="61" fillId="41" borderId="10"/>
    <xf numFmtId="164" fontId="62" fillId="35" borderId="0" applyBorder="0">
      <alignment horizontal="centerContinuous"/>
    </xf>
    <xf numFmtId="0" fontId="61" fillId="0" borderId="0" applyBorder="0">
      <alignment horizontal="centerContinuous"/>
    </xf>
    <xf numFmtId="0" fontId="8" fillId="0" borderId="0"/>
    <xf numFmtId="0" fontId="59" fillId="41" borderId="0" applyBorder="0">
      <alignment horizontal="centerContinuous"/>
    </xf>
    <xf numFmtId="0" fontId="8" fillId="0" borderId="0"/>
    <xf numFmtId="0" fontId="61" fillId="0" borderId="0" applyBorder="0">
      <alignment horizontal="centerContinuous"/>
    </xf>
    <xf numFmtId="164" fontId="63" fillId="43" borderId="0" applyBorder="0">
      <alignment horizontal="centerContinuous"/>
    </xf>
    <xf numFmtId="0" fontId="64" fillId="0" borderId="0" applyBorder="0">
      <alignment horizontal="centerContinuous"/>
    </xf>
    <xf numFmtId="0" fontId="8" fillId="0" borderId="0"/>
    <xf numFmtId="0" fontId="65" fillId="41" borderId="0" applyBorder="0">
      <alignment horizontal="centerContinuous"/>
    </xf>
    <xf numFmtId="0" fontId="8" fillId="0" borderId="0"/>
    <xf numFmtId="0" fontId="64" fillId="0" borderId="0" applyBorder="0">
      <alignment horizontal="centerContinuous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3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6" fillId="0" borderId="0" applyNumberFormat="0" applyFont="0" applyFill="0" applyBorder="0" applyAlignment="0" applyProtection="0">
      <alignment horizontal="left"/>
    </xf>
    <xf numFmtId="15" fontId="66" fillId="0" borderId="0" applyFont="0" applyFill="0" applyBorder="0" applyAlignment="0" applyProtection="0"/>
    <xf numFmtId="4" fontId="66" fillId="0" borderId="0" applyFont="0" applyFill="0" applyBorder="0" applyAlignment="0" applyProtection="0"/>
    <xf numFmtId="0" fontId="67" fillId="0" borderId="22">
      <alignment horizontal="center"/>
    </xf>
    <xf numFmtId="3" fontId="66" fillId="0" borderId="0" applyFont="0" applyFill="0" applyBorder="0" applyAlignment="0" applyProtection="0"/>
    <xf numFmtId="0" fontId="66" fillId="44" borderId="0" applyNumberFormat="0" applyFont="0" applyBorder="0" applyAlignment="0" applyProtection="0"/>
    <xf numFmtId="164" fontId="50" fillId="23" borderId="0">
      <alignment horizontal="center"/>
    </xf>
    <xf numFmtId="0" fontId="50" fillId="23" borderId="0">
      <alignment horizontal="center"/>
    </xf>
    <xf numFmtId="0" fontId="50" fillId="23" borderId="0">
      <alignment horizontal="center"/>
    </xf>
    <xf numFmtId="0" fontId="8" fillId="0" borderId="0"/>
    <xf numFmtId="49" fontId="68" fillId="35" borderId="0">
      <alignment horizontal="center"/>
    </xf>
    <xf numFmtId="0" fontId="8" fillId="0" borderId="0"/>
    <xf numFmtId="164" fontId="29" fillId="38" borderId="0">
      <alignment horizontal="center"/>
    </xf>
    <xf numFmtId="0" fontId="29" fillId="38" borderId="0">
      <alignment horizontal="center"/>
    </xf>
    <xf numFmtId="0" fontId="8" fillId="0" borderId="0"/>
    <xf numFmtId="164" fontId="29" fillId="38" borderId="0">
      <alignment horizontal="centerContinuous"/>
    </xf>
    <xf numFmtId="0" fontId="29" fillId="38" borderId="0">
      <alignment horizontal="centerContinuous"/>
    </xf>
    <xf numFmtId="0" fontId="8" fillId="0" borderId="0"/>
    <xf numFmtId="164" fontId="69" fillId="35" borderId="0">
      <alignment horizontal="left"/>
    </xf>
    <xf numFmtId="0" fontId="69" fillId="35" borderId="0">
      <alignment horizontal="left"/>
    </xf>
    <xf numFmtId="0" fontId="8" fillId="0" borderId="0"/>
    <xf numFmtId="49" fontId="69" fillId="35" borderId="0">
      <alignment horizontal="center"/>
    </xf>
    <xf numFmtId="0" fontId="8" fillId="0" borderId="0"/>
    <xf numFmtId="164" fontId="27" fillId="38" borderId="0">
      <alignment horizontal="left"/>
    </xf>
    <xf numFmtId="0" fontId="27" fillId="38" borderId="0">
      <alignment horizontal="left"/>
    </xf>
    <xf numFmtId="0" fontId="8" fillId="0" borderId="0"/>
    <xf numFmtId="49" fontId="69" fillId="35" borderId="0">
      <alignment horizontal="left"/>
    </xf>
    <xf numFmtId="0" fontId="8" fillId="0" borderId="0"/>
    <xf numFmtId="164" fontId="27" fillId="38" borderId="0">
      <alignment horizontal="centerContinuous"/>
    </xf>
    <xf numFmtId="0" fontId="27" fillId="38" borderId="0">
      <alignment horizontal="centerContinuous"/>
    </xf>
    <xf numFmtId="0" fontId="8" fillId="0" borderId="0"/>
    <xf numFmtId="164" fontId="27" fillId="38" borderId="0">
      <alignment horizontal="right"/>
    </xf>
    <xf numFmtId="0" fontId="27" fillId="38" borderId="0">
      <alignment horizontal="right"/>
    </xf>
    <xf numFmtId="0" fontId="8" fillId="0" borderId="0"/>
    <xf numFmtId="49" fontId="50" fillId="35" borderId="0">
      <alignment horizontal="left"/>
    </xf>
    <xf numFmtId="49" fontId="50" fillId="35" borderId="0">
      <alignment horizontal="left"/>
    </xf>
    <xf numFmtId="0" fontId="8" fillId="0" borderId="0"/>
    <xf numFmtId="164" fontId="29" fillId="38" borderId="0">
      <alignment horizontal="right"/>
    </xf>
    <xf numFmtId="0" fontId="29" fillId="38" borderId="0">
      <alignment horizontal="right"/>
    </xf>
    <xf numFmtId="0" fontId="8" fillId="0" borderId="0"/>
    <xf numFmtId="164" fontId="69" fillId="21" borderId="0">
      <alignment horizontal="center"/>
    </xf>
    <xf numFmtId="0" fontId="69" fillId="21" borderId="0">
      <alignment horizontal="center"/>
    </xf>
    <xf numFmtId="0" fontId="8" fillId="0" borderId="0"/>
    <xf numFmtId="164" fontId="70" fillId="21" borderId="0">
      <alignment horizontal="center"/>
    </xf>
    <xf numFmtId="0" fontId="70" fillId="21" borderId="0">
      <alignment horizontal="center"/>
    </xf>
    <xf numFmtId="0" fontId="8" fillId="0" borderId="0"/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4" fontId="13" fillId="43" borderId="0" applyNumberFormat="0" applyProtection="0">
      <alignment horizontal="left" vertical="center" indent="1"/>
    </xf>
    <xf numFmtId="4" fontId="13" fillId="43" borderId="0" applyNumberFormat="0" applyProtection="0">
      <alignment horizontal="left" vertical="center" indent="1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3" fillId="50" borderId="0" applyNumberFormat="0" applyProtection="0">
      <alignment horizontal="left" vertical="center" indent="1"/>
    </xf>
    <xf numFmtId="4" fontId="13" fillId="50" borderId="0" applyNumberFormat="0" applyProtection="0">
      <alignment horizontal="left" vertical="center" indent="1"/>
    </xf>
    <xf numFmtId="4" fontId="14" fillId="26" borderId="0" applyNumberFormat="0" applyProtection="0">
      <alignment horizontal="left" vertical="center" indent="1"/>
    </xf>
    <xf numFmtId="4" fontId="14" fillId="26" borderId="0" applyNumberFormat="0" applyProtection="0">
      <alignment horizontal="left" vertical="center" indent="1"/>
    </xf>
    <xf numFmtId="4" fontId="68" fillId="51" borderId="0" applyNumberFormat="0" applyProtection="0">
      <alignment horizontal="left" vertical="center" indent="1"/>
    </xf>
    <xf numFmtId="4" fontId="68" fillId="51" borderId="0" applyNumberFormat="0" applyProtection="0">
      <alignment horizontal="left" vertical="center" indent="1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0" applyNumberFormat="0" applyProtection="0">
      <alignment horizontal="left" vertical="center" indent="1"/>
    </xf>
    <xf numFmtId="4" fontId="14" fillId="26" borderId="0" applyNumberFormat="0" applyProtection="0">
      <alignment horizontal="left" vertical="center" indent="1"/>
    </xf>
    <xf numFmtId="4" fontId="14" fillId="46" borderId="0" applyNumberFormat="0" applyProtection="0">
      <alignment horizontal="left" vertical="center" indent="1"/>
    </xf>
    <xf numFmtId="4" fontId="14" fillId="46" borderId="0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4" fontId="74" fillId="0" borderId="0" applyNumberFormat="0" applyProtection="0">
      <alignment horizontal="left" vertical="center" indent="1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 applyNumberFormat="0" applyFill="0" applyBorder="0" applyAlignment="0" applyProtection="0"/>
    <xf numFmtId="0" fontId="8" fillId="0" borderId="0"/>
    <xf numFmtId="0" fontId="8" fillId="0" borderId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8" fillId="0" borderId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8" fillId="0" borderId="0"/>
    <xf numFmtId="0" fontId="11" fillId="0" borderId="4" applyNumberFormat="0" applyFill="0" applyAlignment="0" applyProtection="0"/>
    <xf numFmtId="0" fontId="8" fillId="0" borderId="0"/>
    <xf numFmtId="0" fontId="8" fillId="0" borderId="0"/>
    <xf numFmtId="0" fontId="77" fillId="0" borderId="0"/>
    <xf numFmtId="164" fontId="78" fillId="35" borderId="0">
      <alignment horizontal="center"/>
    </xf>
    <xf numFmtId="0" fontId="78" fillId="35" borderId="0">
      <alignment horizontal="center"/>
    </xf>
    <xf numFmtId="0" fontId="8" fillId="0" borderId="0"/>
    <xf numFmtId="0" fontId="51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79" fillId="0" borderId="0"/>
    <xf numFmtId="172" fontId="14" fillId="0" borderId="0"/>
    <xf numFmtId="172" fontId="1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0" fontId="80" fillId="0" borderId="0"/>
    <xf numFmtId="43" fontId="80" fillId="0" borderId="0" applyFont="0" applyFill="0" applyBorder="0" applyAlignment="0" applyProtection="0"/>
    <xf numFmtId="9" fontId="82" fillId="0" borderId="0" applyFont="0" applyFill="0" applyBorder="0" applyAlignment="0" applyProtection="0"/>
    <xf numFmtId="37" fontId="77" fillId="0" borderId="0"/>
    <xf numFmtId="0" fontId="12" fillId="0" borderId="0"/>
    <xf numFmtId="0" fontId="88" fillId="0" borderId="0"/>
    <xf numFmtId="0" fontId="14" fillId="0" borderId="0"/>
    <xf numFmtId="0" fontId="14" fillId="0" borderId="0"/>
    <xf numFmtId="0" fontId="89" fillId="0" borderId="0"/>
    <xf numFmtId="0" fontId="92" fillId="0" borderId="0"/>
    <xf numFmtId="0" fontId="89" fillId="0" borderId="0"/>
    <xf numFmtId="0" fontId="89" fillId="0" borderId="0"/>
    <xf numFmtId="0" fontId="89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9" fillId="0" borderId="0"/>
    <xf numFmtId="184" fontId="38" fillId="0" borderId="0" applyFill="0"/>
    <xf numFmtId="184" fontId="38" fillId="0" borderId="0">
      <alignment horizontal="center"/>
    </xf>
    <xf numFmtId="0" fontId="38" fillId="0" borderId="0" applyFill="0">
      <alignment horizontal="center"/>
    </xf>
    <xf numFmtId="184" fontId="37" fillId="0" borderId="30" applyFill="0"/>
    <xf numFmtId="0" fontId="89" fillId="0" borderId="0" applyFont="0" applyAlignment="0"/>
    <xf numFmtId="0" fontId="94" fillId="0" borderId="0" applyFill="0">
      <alignment vertical="top"/>
    </xf>
    <xf numFmtId="0" fontId="37" fillId="0" borderId="0" applyFill="0">
      <alignment horizontal="left" vertical="top"/>
    </xf>
    <xf numFmtId="184" fontId="83" fillId="0" borderId="6" applyFill="0"/>
    <xf numFmtId="0" fontId="89" fillId="0" borderId="0" applyNumberFormat="0" applyFont="0" applyAlignment="0"/>
    <xf numFmtId="0" fontId="94" fillId="0" borderId="0" applyFill="0">
      <alignment wrapText="1"/>
    </xf>
    <xf numFmtId="0" fontId="37" fillId="0" borderId="0" applyFill="0">
      <alignment horizontal="left" vertical="top" wrapText="1"/>
    </xf>
    <xf numFmtId="184" fontId="95" fillId="0" borderId="0" applyFill="0"/>
    <xf numFmtId="0" fontId="96" fillId="0" borderId="0" applyNumberFormat="0" applyFont="0" applyAlignment="0">
      <alignment horizontal="center"/>
    </xf>
    <xf numFmtId="0" fontId="97" fillId="0" borderId="0" applyFill="0">
      <alignment vertical="top" wrapText="1"/>
    </xf>
    <xf numFmtId="0" fontId="83" fillId="0" borderId="0" applyFill="0">
      <alignment horizontal="left" vertical="top" wrapText="1"/>
    </xf>
    <xf numFmtId="184" fontId="89" fillId="0" borderId="0" applyFill="0"/>
    <xf numFmtId="0" fontId="96" fillId="0" borderId="0" applyNumberFormat="0" applyFont="0" applyAlignment="0">
      <alignment horizontal="center"/>
    </xf>
    <xf numFmtId="0" fontId="98" fillId="0" borderId="0" applyFill="0">
      <alignment vertical="center" wrapText="1"/>
    </xf>
    <xf numFmtId="0" fontId="12" fillId="0" borderId="0">
      <alignment horizontal="left" vertical="center" wrapText="1"/>
    </xf>
    <xf numFmtId="184" fontId="99" fillId="0" borderId="0" applyFill="0"/>
    <xf numFmtId="0" fontId="96" fillId="0" borderId="0" applyNumberFormat="0" applyFont="0" applyAlignment="0">
      <alignment horizontal="center"/>
    </xf>
    <xf numFmtId="0" fontId="100" fillId="0" borderId="0" applyFill="0">
      <alignment horizontal="center" vertical="center" wrapText="1"/>
    </xf>
    <xf numFmtId="0" fontId="14" fillId="0" borderId="0" applyFill="0">
      <alignment horizontal="center" vertical="center" wrapText="1"/>
    </xf>
    <xf numFmtId="184" fontId="101" fillId="0" borderId="0" applyFill="0"/>
    <xf numFmtId="0" fontId="96" fillId="0" borderId="0" applyNumberFormat="0" applyFont="0" applyAlignment="0">
      <alignment horizontal="center"/>
    </xf>
    <xf numFmtId="0" fontId="102" fillId="0" borderId="0" applyFill="0">
      <alignment horizontal="center" vertical="center" wrapText="1"/>
    </xf>
    <xf numFmtId="0" fontId="103" fillId="0" borderId="0" applyFill="0">
      <alignment horizontal="center" vertical="center" wrapText="1"/>
    </xf>
    <xf numFmtId="184" fontId="104" fillId="0" borderId="0" applyFill="0"/>
    <xf numFmtId="0" fontId="96" fillId="0" borderId="0" applyNumberFormat="0" applyFont="0" applyAlignment="0">
      <alignment horizontal="center"/>
    </xf>
    <xf numFmtId="0" fontId="105" fillId="0" borderId="0">
      <alignment horizontal="center" wrapText="1"/>
    </xf>
    <xf numFmtId="0" fontId="101" fillId="0" borderId="0" applyFill="0">
      <alignment horizontal="center" wrapText="1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39" fontId="38" fillId="16" borderId="0" applyFill="0"/>
    <xf numFmtId="0" fontId="106" fillId="0" borderId="0">
      <alignment horizontal="left" indent="7"/>
    </xf>
    <xf numFmtId="0" fontId="38" fillId="0" borderId="0" applyFill="0">
      <alignment horizontal="left" indent="7"/>
    </xf>
    <xf numFmtId="7" fontId="107" fillId="0" borderId="28" applyFill="0">
      <alignment horizontal="right"/>
    </xf>
    <xf numFmtId="0" fontId="83" fillId="0" borderId="0" applyNumberFormat="0">
      <alignment horizontal="right"/>
    </xf>
    <xf numFmtId="0" fontId="108" fillId="0" borderId="28" applyFont="0" applyFill="0"/>
    <xf numFmtId="0" fontId="83" fillId="0" borderId="28" applyFill="0"/>
    <xf numFmtId="39" fontId="107" fillId="0" borderId="0" applyFill="0"/>
    <xf numFmtId="0" fontId="89" fillId="0" borderId="0" applyNumberFormat="0" applyFont="0" applyBorder="0" applyAlignment="0"/>
    <xf numFmtId="0" fontId="97" fillId="0" borderId="0" applyFill="0">
      <alignment horizontal="left" indent="1"/>
    </xf>
    <xf numFmtId="0" fontId="83" fillId="0" borderId="0" applyFill="0">
      <alignment horizontal="left" indent="1"/>
    </xf>
    <xf numFmtId="39" fontId="99" fillId="0" borderId="0" applyFill="0"/>
    <xf numFmtId="0" fontId="89" fillId="0" borderId="0" applyNumberFormat="0" applyFont="0" applyFill="0" applyBorder="0" applyAlignment="0"/>
    <xf numFmtId="0" fontId="97" fillId="0" borderId="0" applyFill="0">
      <alignment horizontal="left" indent="2"/>
    </xf>
    <xf numFmtId="0" fontId="68" fillId="0" borderId="0" applyFill="0">
      <alignment horizontal="left" indent="2"/>
    </xf>
    <xf numFmtId="39" fontId="99" fillId="0" borderId="0" applyFill="0"/>
    <xf numFmtId="0" fontId="89" fillId="0" borderId="0" applyNumberFormat="0" applyFont="0" applyBorder="0" applyAlignment="0"/>
    <xf numFmtId="0" fontId="109" fillId="0" borderId="0">
      <alignment horizontal="left" indent="3"/>
    </xf>
    <xf numFmtId="0" fontId="110" fillId="0" borderId="0" applyFill="0">
      <alignment horizontal="left" indent="3"/>
    </xf>
    <xf numFmtId="39" fontId="99" fillId="0" borderId="0" applyFill="0"/>
    <xf numFmtId="0" fontId="89" fillId="0" borderId="0" applyNumberFormat="0" applyFont="0" applyBorder="0" applyAlignment="0"/>
    <xf numFmtId="0" fontId="100" fillId="0" borderId="0">
      <alignment horizontal="left" indent="4"/>
    </xf>
    <xf numFmtId="0" fontId="14" fillId="0" borderId="0" applyFill="0">
      <alignment horizontal="left" indent="4"/>
    </xf>
    <xf numFmtId="39" fontId="99" fillId="0" borderId="0" applyFill="0"/>
    <xf numFmtId="0" fontId="89" fillId="0" borderId="0" applyNumberFormat="0" applyFont="0" applyBorder="0" applyAlignment="0"/>
    <xf numFmtId="0" fontId="102" fillId="0" borderId="0">
      <alignment horizontal="left" indent="5"/>
    </xf>
    <xf numFmtId="0" fontId="103" fillId="0" borderId="0" applyFill="0">
      <alignment horizontal="left" indent="5"/>
    </xf>
    <xf numFmtId="39" fontId="104" fillId="0" borderId="0" applyFill="0"/>
    <xf numFmtId="0" fontId="89" fillId="0" borderId="0" applyNumberFormat="0" applyFont="0" applyFill="0" applyBorder="0" applyAlignment="0"/>
    <xf numFmtId="0" fontId="105" fillId="0" borderId="0" applyFill="0">
      <alignment horizontal="left" indent="6"/>
    </xf>
    <xf numFmtId="0" fontId="101" fillId="0" borderId="0" applyFill="0">
      <alignment horizontal="left" indent="6"/>
    </xf>
    <xf numFmtId="0" fontId="33" fillId="0" borderId="0"/>
    <xf numFmtId="0" fontId="113" fillId="0" borderId="0"/>
    <xf numFmtId="0" fontId="12" fillId="0" borderId="0"/>
    <xf numFmtId="166" fontId="14" fillId="0" borderId="0"/>
    <xf numFmtId="166" fontId="14" fillId="0" borderId="0"/>
    <xf numFmtId="0" fontId="14" fillId="0" borderId="0"/>
    <xf numFmtId="166" fontId="14" fillId="0" borderId="0"/>
    <xf numFmtId="166" fontId="14" fillId="0" borderId="0"/>
    <xf numFmtId="44" fontId="114" fillId="0" borderId="0" applyFont="0" applyFill="0" applyBorder="0" applyAlignment="0" applyProtection="0"/>
    <xf numFmtId="166" fontId="14" fillId="0" borderId="0"/>
    <xf numFmtId="166" fontId="1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14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66" fillId="0" borderId="0" applyNumberFormat="0" applyFont="0" applyFill="0" applyBorder="0" applyAlignment="0" applyProtection="0">
      <alignment horizontal="left"/>
    </xf>
    <xf numFmtId="38" fontId="14" fillId="54" borderId="0" applyNumberFormat="0" applyFont="0" applyBorder="0" applyAlignment="0" applyProtection="0"/>
    <xf numFmtId="188" fontId="66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14" fillId="0" borderId="0"/>
    <xf numFmtId="43" fontId="77" fillId="0" borderId="0" applyFont="0" applyFill="0" applyBorder="0" applyAlignment="0" applyProtection="0"/>
    <xf numFmtId="0" fontId="114" fillId="0" borderId="0"/>
    <xf numFmtId="0" fontId="6" fillId="0" borderId="0"/>
    <xf numFmtId="44" fontId="6" fillId="0" borderId="0" applyFont="0" applyFill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19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19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19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19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9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19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9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19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9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166" fontId="21" fillId="25" borderId="0" applyNumberFormat="0" applyBorder="0" applyAlignment="0" applyProtection="0"/>
    <xf numFmtId="0" fontId="119" fillId="62" borderId="0" applyNumberFormat="0" applyBorder="0" applyAlignment="0" applyProtection="0"/>
    <xf numFmtId="166" fontId="21" fillId="18" borderId="0" applyNumberFormat="0" applyBorder="0" applyAlignment="0" applyProtection="0"/>
    <xf numFmtId="0" fontId="119" fillId="64" borderId="0" applyNumberFormat="0" applyBorder="0" applyAlignment="0" applyProtection="0"/>
    <xf numFmtId="166" fontId="21" fillId="28" borderId="0" applyNumberFormat="0" applyBorder="0" applyAlignment="0" applyProtection="0"/>
    <xf numFmtId="0" fontId="119" fillId="66" borderId="0" applyNumberFormat="0" applyBorder="0" applyAlignment="0" applyProtection="0"/>
    <xf numFmtId="166" fontId="21" fillId="20" borderId="0" applyNumberFormat="0" applyBorder="0" applyAlignment="0" applyProtection="0"/>
    <xf numFmtId="0" fontId="119" fillId="68" borderId="0" applyNumberFormat="0" applyBorder="0" applyAlignment="0" applyProtection="0"/>
    <xf numFmtId="166" fontId="21" fillId="25" borderId="0" applyNumberFormat="0" applyBorder="0" applyAlignment="0" applyProtection="0"/>
    <xf numFmtId="0" fontId="119" fillId="70" borderId="0" applyNumberFormat="0" applyBorder="0" applyAlignment="0" applyProtection="0"/>
    <xf numFmtId="166" fontId="21" fillId="21" borderId="0" applyNumberFormat="0" applyBorder="0" applyAlignment="0" applyProtection="0"/>
    <xf numFmtId="0" fontId="119" fillId="72" borderId="0" applyNumberFormat="0" applyBorder="0" applyAlignment="0" applyProtection="0"/>
    <xf numFmtId="166" fontId="21" fillId="30" borderId="0" applyNumberFormat="0" applyBorder="0" applyAlignment="0" applyProtection="0"/>
    <xf numFmtId="0" fontId="119" fillId="61" borderId="0" applyNumberFormat="0" applyBorder="0" applyAlignment="0" applyProtection="0"/>
    <xf numFmtId="166" fontId="21" fillId="31" borderId="0" applyNumberFormat="0" applyBorder="0" applyAlignment="0" applyProtection="0"/>
    <xf numFmtId="0" fontId="119" fillId="63" borderId="0" applyNumberFormat="0" applyBorder="0" applyAlignment="0" applyProtection="0"/>
    <xf numFmtId="166" fontId="21" fillId="32" borderId="0" applyNumberFormat="0" applyBorder="0" applyAlignment="0" applyProtection="0"/>
    <xf numFmtId="0" fontId="119" fillId="65" borderId="0" applyNumberFormat="0" applyBorder="0" applyAlignment="0" applyProtection="0"/>
    <xf numFmtId="166" fontId="21" fillId="33" borderId="0" applyNumberFormat="0" applyBorder="0" applyAlignment="0" applyProtection="0"/>
    <xf numFmtId="0" fontId="119" fillId="67" borderId="0" applyNumberFormat="0" applyBorder="0" applyAlignment="0" applyProtection="0"/>
    <xf numFmtId="166" fontId="21" fillId="30" borderId="0" applyNumberFormat="0" applyBorder="0" applyAlignment="0" applyProtection="0"/>
    <xf numFmtId="0" fontId="119" fillId="69" borderId="0" applyNumberFormat="0" applyBorder="0" applyAlignment="0" applyProtection="0"/>
    <xf numFmtId="166" fontId="21" fillId="26" borderId="0" applyNumberFormat="0" applyBorder="0" applyAlignment="0" applyProtection="0"/>
    <xf numFmtId="0" fontId="119" fillId="71" borderId="0" applyNumberFormat="0" applyBorder="0" applyAlignment="0" applyProtection="0"/>
    <xf numFmtId="166" fontId="23" fillId="24" borderId="0" applyNumberFormat="0" applyBorder="0" applyAlignment="0" applyProtection="0"/>
    <xf numFmtId="0" fontId="120" fillId="56" borderId="0" applyNumberFormat="0" applyBorder="0" applyAlignment="0" applyProtection="0"/>
    <xf numFmtId="0" fontId="121" fillId="59" borderId="32" applyNumberFormat="0" applyAlignment="0" applyProtection="0"/>
    <xf numFmtId="0" fontId="24" fillId="35" borderId="8" applyNumberFormat="0" applyAlignment="0" applyProtection="0"/>
    <xf numFmtId="166" fontId="27" fillId="37" borderId="9" applyNumberFormat="0" applyAlignment="0" applyProtection="0"/>
    <xf numFmtId="0" fontId="122" fillId="60" borderId="35" applyNumberFormat="0" applyAlignment="0" applyProtection="0"/>
    <xf numFmtId="164" fontId="27" fillId="38" borderId="0">
      <alignment horizontal="left"/>
    </xf>
    <xf numFmtId="164" fontId="29" fillId="38" borderId="0">
      <alignment horizontal="right"/>
    </xf>
    <xf numFmtId="164" fontId="30" fillId="35" borderId="0">
      <alignment horizontal="center"/>
    </xf>
    <xf numFmtId="164" fontId="29" fillId="38" borderId="0">
      <alignment horizontal="right"/>
    </xf>
    <xf numFmtId="164" fontId="31" fillId="35" borderId="0">
      <alignment horizontal="left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3" fillId="0" borderId="0" applyFont="0" applyFill="0" applyBorder="0" applyAlignment="0" applyProtection="0"/>
    <xf numFmtId="42" fontId="1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3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66" fontId="28" fillId="40" borderId="0" applyNumberFormat="0" applyBorder="0" applyAlignment="0" applyProtection="0"/>
    <xf numFmtId="0" fontId="124" fillId="55" borderId="0" applyNumberFormat="0" applyBorder="0" applyAlignment="0" applyProtection="0"/>
    <xf numFmtId="0" fontId="125" fillId="0" borderId="1" applyNumberFormat="0" applyFill="0" applyAlignment="0" applyProtection="0"/>
    <xf numFmtId="0" fontId="125" fillId="0" borderId="1" applyNumberFormat="0" applyFill="0" applyAlignment="0" applyProtection="0"/>
    <xf numFmtId="0" fontId="126" fillId="0" borderId="2" applyNumberFormat="0" applyFill="0" applyAlignment="0" applyProtection="0"/>
    <xf numFmtId="0" fontId="126" fillId="0" borderId="2" applyNumberFormat="0" applyFill="0" applyAlignment="0" applyProtection="0"/>
    <xf numFmtId="166" fontId="46" fillId="0" borderId="17" applyNumberFormat="0" applyFill="0" applyAlignment="0" applyProtection="0"/>
    <xf numFmtId="0" fontId="127" fillId="0" borderId="31" applyNumberFormat="0" applyFill="0" applyAlignment="0" applyProtection="0"/>
    <xf numFmtId="166" fontId="4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58" borderId="32" applyNumberFormat="0" applyAlignment="0" applyProtection="0"/>
    <xf numFmtId="0" fontId="48" fillId="23" borderId="8" applyNumberFormat="0" applyAlignment="0" applyProtection="0"/>
    <xf numFmtId="164" fontId="27" fillId="38" borderId="0">
      <alignment horizontal="left"/>
    </xf>
    <xf numFmtId="164" fontId="50" fillId="35" borderId="0">
      <alignment horizontal="left"/>
    </xf>
    <xf numFmtId="166" fontId="52" fillId="0" borderId="19" applyNumberFormat="0" applyFill="0" applyAlignment="0" applyProtection="0"/>
    <xf numFmtId="0" fontId="129" fillId="0" borderId="34" applyNumberFormat="0" applyFill="0" applyAlignment="0" applyProtection="0"/>
    <xf numFmtId="166" fontId="54" fillId="23" borderId="0" applyNumberFormat="0" applyBorder="0" applyAlignment="0" applyProtection="0"/>
    <xf numFmtId="0" fontId="130" fillId="57" borderId="0" applyNumberFormat="0" applyBorder="0" applyAlignment="0" applyProtection="0"/>
    <xf numFmtId="164" fontId="14" fillId="0" borderId="0"/>
    <xf numFmtId="164" fontId="14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14" fillId="0" borderId="0"/>
    <xf numFmtId="166" fontId="14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14" fillId="0" borderId="0"/>
    <xf numFmtId="0" fontId="6" fillId="0" borderId="0"/>
    <xf numFmtId="0" fontId="6" fillId="0" borderId="0"/>
    <xf numFmtId="170" fontId="14" fillId="0" borderId="0"/>
    <xf numFmtId="0" fontId="6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5" fillId="0" borderId="0"/>
    <xf numFmtId="0" fontId="14" fillId="0" borderId="0"/>
    <xf numFmtId="0" fontId="6" fillId="0" borderId="0"/>
    <xf numFmtId="0" fontId="14" fillId="0" borderId="0"/>
    <xf numFmtId="0" fontId="15" fillId="0" borderId="0"/>
    <xf numFmtId="37" fontId="77" fillId="0" borderId="0"/>
    <xf numFmtId="164" fontId="14" fillId="0" borderId="0"/>
    <xf numFmtId="0" fontId="1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3" applyNumberFormat="0" applyFont="0" applyAlignment="0" applyProtection="0"/>
    <xf numFmtId="0" fontId="33" fillId="19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3" fillId="19" borderId="20" applyNumberFormat="0" applyFont="0" applyAlignment="0" applyProtection="0"/>
    <xf numFmtId="0" fontId="6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15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6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6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6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6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6" fillId="0" borderId="0"/>
    <xf numFmtId="0" fontId="132" fillId="59" borderId="33" applyNumberFormat="0" applyAlignment="0" applyProtection="0"/>
    <xf numFmtId="4" fontId="57" fillId="41" borderId="0">
      <alignment horizontal="right"/>
    </xf>
    <xf numFmtId="171" fontId="57" fillId="35" borderId="0">
      <alignment horizontal="right"/>
    </xf>
    <xf numFmtId="0" fontId="59" fillId="41" borderId="0">
      <alignment horizontal="center" vertical="center"/>
    </xf>
    <xf numFmtId="164" fontId="59" fillId="42" borderId="0">
      <alignment horizontal="center"/>
    </xf>
    <xf numFmtId="0" fontId="50" fillId="41" borderId="10"/>
    <xf numFmtId="164" fontId="27" fillId="43" borderId="0"/>
    <xf numFmtId="0" fontId="59" fillId="41" borderId="0" applyBorder="0">
      <alignment horizontal="centerContinuous"/>
    </xf>
    <xf numFmtId="164" fontId="62" fillId="35" borderId="0" applyBorder="0">
      <alignment horizontal="centerContinuous"/>
    </xf>
    <xf numFmtId="0" fontId="65" fillId="41" borderId="0" applyBorder="0">
      <alignment horizontal="centerContinuous"/>
    </xf>
    <xf numFmtId="164" fontId="63" fillId="43" borderId="0" applyBorder="0">
      <alignment horizontal="centerContinuous"/>
    </xf>
    <xf numFmtId="164" fontId="50" fillId="23" borderId="0">
      <alignment horizontal="center"/>
    </xf>
    <xf numFmtId="164" fontId="29" fillId="38" borderId="0">
      <alignment horizontal="center"/>
    </xf>
    <xf numFmtId="164" fontId="29" fillId="38" borderId="0">
      <alignment horizontal="centerContinuous"/>
    </xf>
    <xf numFmtId="164" fontId="69" fillId="35" borderId="0">
      <alignment horizontal="left"/>
    </xf>
    <xf numFmtId="164" fontId="27" fillId="38" borderId="0">
      <alignment horizontal="left"/>
    </xf>
    <xf numFmtId="164" fontId="27" fillId="38" borderId="0">
      <alignment horizontal="centerContinuous"/>
    </xf>
    <xf numFmtId="164" fontId="27" fillId="38" borderId="0">
      <alignment horizontal="right"/>
    </xf>
    <xf numFmtId="164" fontId="29" fillId="38" borderId="0">
      <alignment horizontal="right"/>
    </xf>
    <xf numFmtId="164" fontId="69" fillId="21" borderId="0">
      <alignment horizontal="center"/>
    </xf>
    <xf numFmtId="164" fontId="70" fillId="21" borderId="0">
      <alignment horizontal="center"/>
    </xf>
    <xf numFmtId="0" fontId="6" fillId="0" borderId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164" fontId="78" fillId="35" borderId="0">
      <alignment horizontal="center"/>
    </xf>
    <xf numFmtId="0" fontId="6" fillId="0" borderId="0"/>
    <xf numFmtId="0" fontId="133" fillId="0" borderId="0" applyNumberFormat="0" applyFill="0" applyBorder="0" applyAlignment="0" applyProtection="0"/>
    <xf numFmtId="9" fontId="14" fillId="0" borderId="0" applyFont="0" applyFill="0" applyBorder="0" applyAlignment="0" applyProtection="0"/>
    <xf numFmtId="0" fontId="38" fillId="0" borderId="0"/>
    <xf numFmtId="39" fontId="55" fillId="0" borderId="0"/>
    <xf numFmtId="191" fontId="14" fillId="0" borderId="0">
      <alignment horizontal="left" wrapText="1"/>
    </xf>
    <xf numFmtId="0" fontId="14" fillId="16" borderId="0"/>
    <xf numFmtId="172" fontId="14" fillId="0" borderId="0"/>
    <xf numFmtId="172" fontId="14" fillId="0" borderId="0"/>
    <xf numFmtId="0" fontId="14" fillId="0" borderId="0"/>
    <xf numFmtId="176" fontId="19" fillId="3" borderId="0" applyNumberFormat="0" applyBorder="0" applyAlignment="0" applyProtection="0"/>
    <xf numFmtId="176" fontId="19" fillId="3" borderId="0" applyNumberFormat="0" applyBorder="0" applyAlignment="0" applyProtection="0"/>
    <xf numFmtId="0" fontId="18" fillId="7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6" fontId="19" fillId="5" borderId="0" applyNumberFormat="0" applyBorder="0" applyAlignment="0" applyProtection="0"/>
    <xf numFmtId="176" fontId="19" fillId="5" borderId="0" applyNumberFormat="0" applyBorder="0" applyAlignment="0" applyProtection="0"/>
    <xf numFmtId="0" fontId="18" fillId="2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6" fontId="19" fillId="7" borderId="0" applyNumberFormat="0" applyBorder="0" applyAlignment="0" applyProtection="0"/>
    <xf numFmtId="176" fontId="19" fillId="7" borderId="0" applyNumberFormat="0" applyBorder="0" applyAlignment="0" applyProtection="0"/>
    <xf numFmtId="0" fontId="18" fillId="40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6" fontId="19" fillId="9" borderId="0" applyNumberFormat="0" applyBorder="0" applyAlignment="0" applyProtection="0"/>
    <xf numFmtId="0" fontId="18" fillId="3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6" fontId="19" fillId="11" borderId="0" applyNumberFormat="0" applyBorder="0" applyAlignment="0" applyProtection="0"/>
    <xf numFmtId="176" fontId="19" fillId="11" borderId="0" applyNumberFormat="0" applyBorder="0" applyAlignment="0" applyProtection="0"/>
    <xf numFmtId="0" fontId="18" fillId="2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6" fontId="19" fillId="13" borderId="0" applyNumberFormat="0" applyBorder="0" applyAlignment="0" applyProtection="0"/>
    <xf numFmtId="176" fontId="19" fillId="13" borderId="0" applyNumberFormat="0" applyBorder="0" applyAlignment="0" applyProtection="0"/>
    <xf numFmtId="0" fontId="18" fillId="21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6" fontId="19" fillId="4" borderId="0" applyNumberFormat="0" applyBorder="0" applyAlignment="0" applyProtection="0"/>
    <xf numFmtId="176" fontId="19" fillId="4" borderId="0" applyNumberFormat="0" applyBorder="0" applyAlignment="0" applyProtection="0"/>
    <xf numFmtId="0" fontId="18" fillId="1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6" fontId="19" fillId="6" borderId="0" applyNumberFormat="0" applyBorder="0" applyAlignment="0" applyProtection="0"/>
    <xf numFmtId="176" fontId="19" fillId="6" borderId="0" applyNumberFormat="0" applyBorder="0" applyAlignment="0" applyProtection="0"/>
    <xf numFmtId="0" fontId="18" fillId="18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6" fontId="19" fillId="8" borderId="0" applyNumberFormat="0" applyBorder="0" applyAlignment="0" applyProtection="0"/>
    <xf numFmtId="176" fontId="19" fillId="8" borderId="0" applyNumberFormat="0" applyBorder="0" applyAlignment="0" applyProtection="0"/>
    <xf numFmtId="0" fontId="18" fillId="3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6" fontId="19" fillId="10" borderId="0" applyNumberFormat="0" applyBorder="0" applyAlignment="0" applyProtection="0"/>
    <xf numFmtId="176" fontId="19" fillId="10" borderId="0" applyNumberFormat="0" applyBorder="0" applyAlignment="0" applyProtection="0"/>
    <xf numFmtId="0" fontId="18" fillId="34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6" fontId="19" fillId="12" borderId="0" applyNumberFormat="0" applyBorder="0" applyAlignment="0" applyProtection="0"/>
    <xf numFmtId="176" fontId="19" fillId="12" borderId="0" applyNumberFormat="0" applyBorder="0" applyAlignment="0" applyProtection="0"/>
    <xf numFmtId="0" fontId="18" fillId="17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6" fontId="19" fillId="14" borderId="0" applyNumberFormat="0" applyBorder="0" applyAlignment="0" applyProtection="0"/>
    <xf numFmtId="176" fontId="19" fillId="14" borderId="0" applyNumberFormat="0" applyBorder="0" applyAlignment="0" applyProtection="0"/>
    <xf numFmtId="0" fontId="18" fillId="27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0" fillId="74" borderId="0" applyNumberFormat="0" applyBorder="0" applyAlignment="0" applyProtection="0"/>
    <xf numFmtId="0" fontId="20" fillId="74" borderId="0" applyNumberFormat="0" applyBorder="0" applyAlignment="0" applyProtection="0"/>
    <xf numFmtId="0" fontId="20" fillId="74" borderId="0" applyNumberFormat="0" applyBorder="0" applyAlignment="0" applyProtection="0"/>
    <xf numFmtId="0" fontId="20" fillId="74" borderId="0" applyNumberFormat="0" applyBorder="0" applyAlignment="0" applyProtection="0"/>
    <xf numFmtId="0" fontId="20" fillId="74" borderId="0" applyNumberFormat="0" applyBorder="0" applyAlignment="0" applyProtection="0"/>
    <xf numFmtId="176" fontId="147" fillId="62" borderId="0" applyNumberFormat="0" applyBorder="0" applyAlignment="0" applyProtection="0"/>
    <xf numFmtId="176" fontId="147" fillId="62" borderId="0" applyNumberFormat="0" applyBorder="0" applyAlignment="0" applyProtection="0"/>
    <xf numFmtId="0" fontId="20" fillId="74" borderId="0" applyNumberFormat="0" applyBorder="0" applyAlignment="0" applyProtection="0"/>
    <xf numFmtId="0" fontId="20" fillId="22" borderId="0" applyNumberFormat="0" applyBorder="0" applyAlignment="0" applyProtection="0"/>
    <xf numFmtId="172" fontId="21" fillId="30" borderId="0" applyNumberFormat="0" applyBorder="0" applyAlignment="0" applyProtection="0"/>
    <xf numFmtId="0" fontId="144" fillId="62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166" fontId="21" fillId="25" borderId="0" applyNumberFormat="0" applyBorder="0" applyAlignment="0" applyProtection="0"/>
    <xf numFmtId="0" fontId="21" fillId="30" borderId="0" applyNumberFormat="0" applyBorder="0" applyAlignment="0" applyProtection="0"/>
    <xf numFmtId="0" fontId="21" fillId="25" borderId="0" applyNumberFormat="0" applyBorder="0" applyAlignment="0" applyProtection="0"/>
    <xf numFmtId="0" fontId="119" fillId="62" borderId="0" applyNumberFormat="0" applyBorder="0" applyAlignment="0" applyProtection="0"/>
    <xf numFmtId="172" fontId="20" fillId="74" borderId="0" applyNumberFormat="0" applyBorder="0" applyAlignment="0" applyProtection="0"/>
    <xf numFmtId="0" fontId="148" fillId="62" borderId="0" applyNumberFormat="0" applyBorder="0" applyAlignment="0" applyProtection="0"/>
    <xf numFmtId="172" fontId="20" fillId="74" borderId="0" applyNumberFormat="0" applyBorder="0" applyAlignment="0" applyProtection="0"/>
    <xf numFmtId="0" fontId="144" fillId="62" borderId="0" applyNumberFormat="0" applyBorder="0" applyAlignment="0" applyProtection="0"/>
    <xf numFmtId="172" fontId="20" fillId="74" borderId="0" applyNumberFormat="0" applyBorder="0" applyAlignment="0" applyProtection="0"/>
    <xf numFmtId="0" fontId="144" fillId="62" borderId="0" applyNumberFormat="0" applyBorder="0" applyAlignment="0" applyProtection="0"/>
    <xf numFmtId="0" fontId="20" fillId="7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176" fontId="147" fillId="64" borderId="0" applyNumberFormat="0" applyBorder="0" applyAlignment="0" applyProtection="0"/>
    <xf numFmtId="176" fontId="147" fillId="64" borderId="0" applyNumberFormat="0" applyBorder="0" applyAlignment="0" applyProtection="0"/>
    <xf numFmtId="0" fontId="20" fillId="18" borderId="0" applyNumberFormat="0" applyBorder="0" applyAlignment="0" applyProtection="0"/>
    <xf numFmtId="0" fontId="20" fillId="26" borderId="0" applyNumberFormat="0" applyBorder="0" applyAlignment="0" applyProtection="0"/>
    <xf numFmtId="172" fontId="21" fillId="28" borderId="0" applyNumberFormat="0" applyBorder="0" applyAlignment="0" applyProtection="0"/>
    <xf numFmtId="0" fontId="144" fillId="6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166" fontId="21" fillId="18" borderId="0" applyNumberFormat="0" applyBorder="0" applyAlignment="0" applyProtection="0"/>
    <xf numFmtId="0" fontId="21" fillId="28" borderId="0" applyNumberFormat="0" applyBorder="0" applyAlignment="0" applyProtection="0"/>
    <xf numFmtId="0" fontId="21" fillId="18" borderId="0" applyNumberFormat="0" applyBorder="0" applyAlignment="0" applyProtection="0"/>
    <xf numFmtId="0" fontId="119" fillId="64" borderId="0" applyNumberFormat="0" applyBorder="0" applyAlignment="0" applyProtection="0"/>
    <xf numFmtId="172" fontId="20" fillId="18" borderId="0" applyNumberFormat="0" applyBorder="0" applyAlignment="0" applyProtection="0"/>
    <xf numFmtId="0" fontId="148" fillId="64" borderId="0" applyNumberFormat="0" applyBorder="0" applyAlignment="0" applyProtection="0"/>
    <xf numFmtId="172" fontId="20" fillId="18" borderId="0" applyNumberFormat="0" applyBorder="0" applyAlignment="0" applyProtection="0"/>
    <xf numFmtId="0" fontId="144" fillId="64" borderId="0" applyNumberFormat="0" applyBorder="0" applyAlignment="0" applyProtection="0"/>
    <xf numFmtId="172" fontId="20" fillId="18" borderId="0" applyNumberFormat="0" applyBorder="0" applyAlignment="0" applyProtection="0"/>
    <xf numFmtId="0" fontId="144" fillId="64" borderId="0" applyNumberFormat="0" applyBorder="0" applyAlignment="0" applyProtection="0"/>
    <xf numFmtId="0" fontId="20" fillId="1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6" fontId="147" fillId="66" borderId="0" applyNumberFormat="0" applyBorder="0" applyAlignment="0" applyProtection="0"/>
    <xf numFmtId="176" fontId="147" fillId="66" borderId="0" applyNumberFormat="0" applyBorder="0" applyAlignment="0" applyProtection="0"/>
    <xf numFmtId="0" fontId="20" fillId="39" borderId="0" applyNumberFormat="0" applyBorder="0" applyAlignment="0" applyProtection="0"/>
    <xf numFmtId="0" fontId="20" fillId="27" borderId="0" applyNumberFormat="0" applyBorder="0" applyAlignment="0" applyProtection="0"/>
    <xf numFmtId="172" fontId="21" fillId="28" borderId="0" applyNumberFormat="0" applyBorder="0" applyAlignment="0" applyProtection="0"/>
    <xf numFmtId="0" fontId="144" fillId="66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166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19" fillId="66" borderId="0" applyNumberFormat="0" applyBorder="0" applyAlignment="0" applyProtection="0"/>
    <xf numFmtId="172" fontId="20" fillId="39" borderId="0" applyNumberFormat="0" applyBorder="0" applyAlignment="0" applyProtection="0"/>
    <xf numFmtId="0" fontId="148" fillId="66" borderId="0" applyNumberFormat="0" applyBorder="0" applyAlignment="0" applyProtection="0"/>
    <xf numFmtId="172" fontId="20" fillId="39" borderId="0" applyNumberFormat="0" applyBorder="0" applyAlignment="0" applyProtection="0"/>
    <xf numFmtId="0" fontId="144" fillId="66" borderId="0" applyNumberFormat="0" applyBorder="0" applyAlignment="0" applyProtection="0"/>
    <xf numFmtId="172" fontId="20" fillId="39" borderId="0" applyNumberFormat="0" applyBorder="0" applyAlignment="0" applyProtection="0"/>
    <xf numFmtId="0" fontId="144" fillId="66" borderId="0" applyNumberFormat="0" applyBorder="0" applyAlignment="0" applyProtection="0"/>
    <xf numFmtId="0" fontId="20" fillId="39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176" fontId="147" fillId="68" borderId="0" applyNumberFormat="0" applyBorder="0" applyAlignment="0" applyProtection="0"/>
    <xf numFmtId="176" fontId="147" fillId="68" borderId="0" applyNumberFormat="0" applyBorder="0" applyAlignment="0" applyProtection="0"/>
    <xf numFmtId="0" fontId="20" fillId="75" borderId="0" applyNumberFormat="0" applyBorder="0" applyAlignment="0" applyProtection="0"/>
    <xf numFmtId="0" fontId="20" fillId="24" borderId="0" applyNumberFormat="0" applyBorder="0" applyAlignment="0" applyProtection="0"/>
    <xf numFmtId="172" fontId="21" fillId="20" borderId="0" applyNumberFormat="0" applyBorder="0" applyAlignment="0" applyProtection="0"/>
    <xf numFmtId="0" fontId="144" fillId="68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166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119" fillId="68" borderId="0" applyNumberFormat="0" applyBorder="0" applyAlignment="0" applyProtection="0"/>
    <xf numFmtId="172" fontId="20" fillId="75" borderId="0" applyNumberFormat="0" applyBorder="0" applyAlignment="0" applyProtection="0"/>
    <xf numFmtId="0" fontId="148" fillId="68" borderId="0" applyNumberFormat="0" applyBorder="0" applyAlignment="0" applyProtection="0"/>
    <xf numFmtId="172" fontId="20" fillId="75" borderId="0" applyNumberFormat="0" applyBorder="0" applyAlignment="0" applyProtection="0"/>
    <xf numFmtId="0" fontId="144" fillId="68" borderId="0" applyNumberFormat="0" applyBorder="0" applyAlignment="0" applyProtection="0"/>
    <xf numFmtId="172" fontId="20" fillId="75" borderId="0" applyNumberFormat="0" applyBorder="0" applyAlignment="0" applyProtection="0"/>
    <xf numFmtId="0" fontId="144" fillId="68" borderId="0" applyNumberFormat="0" applyBorder="0" applyAlignment="0" applyProtection="0"/>
    <xf numFmtId="0" fontId="20" fillId="75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176" fontId="147" fillId="70" borderId="0" applyNumberFormat="0" applyBorder="0" applyAlignment="0" applyProtection="0"/>
    <xf numFmtId="176" fontId="147" fillId="70" borderId="0" applyNumberFormat="0" applyBorder="0" applyAlignment="0" applyProtection="0"/>
    <xf numFmtId="0" fontId="20" fillId="30" borderId="0" applyNumberFormat="0" applyBorder="0" applyAlignment="0" applyProtection="0"/>
    <xf numFmtId="0" fontId="20" fillId="22" borderId="0" applyNumberFormat="0" applyBorder="0" applyAlignment="0" applyProtection="0"/>
    <xf numFmtId="172" fontId="21" fillId="30" borderId="0" applyNumberFormat="0" applyBorder="0" applyAlignment="0" applyProtection="0"/>
    <xf numFmtId="0" fontId="144" fillId="70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166" fontId="21" fillId="25" borderId="0" applyNumberFormat="0" applyBorder="0" applyAlignment="0" applyProtection="0"/>
    <xf numFmtId="0" fontId="21" fillId="30" borderId="0" applyNumberFormat="0" applyBorder="0" applyAlignment="0" applyProtection="0"/>
    <xf numFmtId="0" fontId="21" fillId="25" borderId="0" applyNumberFormat="0" applyBorder="0" applyAlignment="0" applyProtection="0"/>
    <xf numFmtId="0" fontId="119" fillId="70" borderId="0" applyNumberFormat="0" applyBorder="0" applyAlignment="0" applyProtection="0"/>
    <xf numFmtId="172" fontId="20" fillId="30" borderId="0" applyNumberFormat="0" applyBorder="0" applyAlignment="0" applyProtection="0"/>
    <xf numFmtId="0" fontId="148" fillId="70" borderId="0" applyNumberFormat="0" applyBorder="0" applyAlignment="0" applyProtection="0"/>
    <xf numFmtId="172" fontId="20" fillId="30" borderId="0" applyNumberFormat="0" applyBorder="0" applyAlignment="0" applyProtection="0"/>
    <xf numFmtId="0" fontId="144" fillId="70" borderId="0" applyNumberFormat="0" applyBorder="0" applyAlignment="0" applyProtection="0"/>
    <xf numFmtId="172" fontId="20" fillId="30" borderId="0" applyNumberFormat="0" applyBorder="0" applyAlignment="0" applyProtection="0"/>
    <xf numFmtId="0" fontId="144" fillId="70" borderId="0" applyNumberFormat="0" applyBorder="0" applyAlignment="0" applyProtection="0"/>
    <xf numFmtId="0" fontId="20" fillId="30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176" fontId="147" fillId="72" borderId="0" applyNumberFormat="0" applyBorder="0" applyAlignment="0" applyProtection="0"/>
    <xf numFmtId="176" fontId="147" fillId="72" borderId="0" applyNumberFormat="0" applyBorder="0" applyAlignment="0" applyProtection="0"/>
    <xf numFmtId="0" fontId="20" fillId="49" borderId="0" applyNumberFormat="0" applyBorder="0" applyAlignment="0" applyProtection="0"/>
    <xf numFmtId="0" fontId="20" fillId="18" borderId="0" applyNumberFormat="0" applyBorder="0" applyAlignment="0" applyProtection="0"/>
    <xf numFmtId="172" fontId="21" fillId="21" borderId="0" applyNumberFormat="0" applyBorder="0" applyAlignment="0" applyProtection="0"/>
    <xf numFmtId="0" fontId="144" fillId="72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166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119" fillId="72" borderId="0" applyNumberFormat="0" applyBorder="0" applyAlignment="0" applyProtection="0"/>
    <xf numFmtId="172" fontId="20" fillId="49" borderId="0" applyNumberFormat="0" applyBorder="0" applyAlignment="0" applyProtection="0"/>
    <xf numFmtId="0" fontId="148" fillId="72" borderId="0" applyNumberFormat="0" applyBorder="0" applyAlignment="0" applyProtection="0"/>
    <xf numFmtId="172" fontId="20" fillId="49" borderId="0" applyNumberFormat="0" applyBorder="0" applyAlignment="0" applyProtection="0"/>
    <xf numFmtId="0" fontId="144" fillId="72" borderId="0" applyNumberFormat="0" applyBorder="0" applyAlignment="0" applyProtection="0"/>
    <xf numFmtId="172" fontId="20" fillId="49" borderId="0" applyNumberFormat="0" applyBorder="0" applyAlignment="0" applyProtection="0"/>
    <xf numFmtId="0" fontId="144" fillId="72" borderId="0" applyNumberFormat="0" applyBorder="0" applyAlignment="0" applyProtection="0"/>
    <xf numFmtId="0" fontId="20" fillId="49" borderId="0" applyNumberFormat="0" applyBorder="0" applyAlignment="0" applyProtection="0"/>
    <xf numFmtId="192" fontId="55" fillId="0" borderId="5" applyBorder="0"/>
    <xf numFmtId="0" fontId="55" fillId="0" borderId="5" applyBorder="0"/>
    <xf numFmtId="0" fontId="20" fillId="76" borderId="0" applyNumberFormat="0" applyBorder="0" applyAlignment="0" applyProtection="0"/>
    <xf numFmtId="0" fontId="20" fillId="76" borderId="0" applyNumberFormat="0" applyBorder="0" applyAlignment="0" applyProtection="0"/>
    <xf numFmtId="0" fontId="20" fillId="76" borderId="0" applyNumberFormat="0" applyBorder="0" applyAlignment="0" applyProtection="0"/>
    <xf numFmtId="0" fontId="20" fillId="76" borderId="0" applyNumberFormat="0" applyBorder="0" applyAlignment="0" applyProtection="0"/>
    <xf numFmtId="0" fontId="20" fillId="76" borderId="0" applyNumberFormat="0" applyBorder="0" applyAlignment="0" applyProtection="0"/>
    <xf numFmtId="176" fontId="147" fillId="61" borderId="0" applyNumberFormat="0" applyBorder="0" applyAlignment="0" applyProtection="0"/>
    <xf numFmtId="176" fontId="147" fillId="61" borderId="0" applyNumberFormat="0" applyBorder="0" applyAlignment="0" applyProtection="0"/>
    <xf numFmtId="0" fontId="20" fillId="76" borderId="0" applyNumberFormat="0" applyBorder="0" applyAlignment="0" applyProtection="0"/>
    <xf numFmtId="0" fontId="20" fillId="29" borderId="0" applyNumberFormat="0" applyBorder="0" applyAlignment="0" applyProtection="0"/>
    <xf numFmtId="172" fontId="21" fillId="30" borderId="0" applyNumberFormat="0" applyBorder="0" applyAlignment="0" applyProtection="0"/>
    <xf numFmtId="0" fontId="144" fillId="61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166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19" fillId="61" borderId="0" applyNumberFormat="0" applyBorder="0" applyAlignment="0" applyProtection="0"/>
    <xf numFmtId="172" fontId="20" fillId="76" borderId="0" applyNumberFormat="0" applyBorder="0" applyAlignment="0" applyProtection="0"/>
    <xf numFmtId="0" fontId="148" fillId="61" borderId="0" applyNumberFormat="0" applyBorder="0" applyAlignment="0" applyProtection="0"/>
    <xf numFmtId="172" fontId="20" fillId="76" borderId="0" applyNumberFormat="0" applyBorder="0" applyAlignment="0" applyProtection="0"/>
    <xf numFmtId="0" fontId="144" fillId="61" borderId="0" applyNumberFormat="0" applyBorder="0" applyAlignment="0" applyProtection="0"/>
    <xf numFmtId="172" fontId="20" fillId="76" borderId="0" applyNumberFormat="0" applyBorder="0" applyAlignment="0" applyProtection="0"/>
    <xf numFmtId="0" fontId="144" fillId="61" borderId="0" applyNumberFormat="0" applyBorder="0" applyAlignment="0" applyProtection="0"/>
    <xf numFmtId="0" fontId="20" fillId="76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176" fontId="147" fillId="63" borderId="0" applyNumberFormat="0" applyBorder="0" applyAlignment="0" applyProtection="0"/>
    <xf numFmtId="176" fontId="147" fillId="63" borderId="0" applyNumberFormat="0" applyBorder="0" applyAlignment="0" applyProtection="0"/>
    <xf numFmtId="0" fontId="20" fillId="31" borderId="0" applyNumberFormat="0" applyBorder="0" applyAlignment="0" applyProtection="0"/>
    <xf numFmtId="0" fontId="20" fillId="26" borderId="0" applyNumberFormat="0" applyBorder="0" applyAlignment="0" applyProtection="0"/>
    <xf numFmtId="172" fontId="21" fillId="31" borderId="0" applyNumberFormat="0" applyBorder="0" applyAlignment="0" applyProtection="0"/>
    <xf numFmtId="0" fontId="144" fillId="6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166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119" fillId="63" borderId="0" applyNumberFormat="0" applyBorder="0" applyAlignment="0" applyProtection="0"/>
    <xf numFmtId="172" fontId="20" fillId="31" borderId="0" applyNumberFormat="0" applyBorder="0" applyAlignment="0" applyProtection="0"/>
    <xf numFmtId="0" fontId="148" fillId="63" borderId="0" applyNumberFormat="0" applyBorder="0" applyAlignment="0" applyProtection="0"/>
    <xf numFmtId="172" fontId="20" fillId="31" borderId="0" applyNumberFormat="0" applyBorder="0" applyAlignment="0" applyProtection="0"/>
    <xf numFmtId="0" fontId="144" fillId="63" borderId="0" applyNumberFormat="0" applyBorder="0" applyAlignment="0" applyProtection="0"/>
    <xf numFmtId="172" fontId="20" fillId="31" borderId="0" applyNumberFormat="0" applyBorder="0" applyAlignment="0" applyProtection="0"/>
    <xf numFmtId="0" fontId="144" fillId="63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176" fontId="147" fillId="65" borderId="0" applyNumberFormat="0" applyBorder="0" applyAlignment="0" applyProtection="0"/>
    <xf numFmtId="176" fontId="147" fillId="65" borderId="0" applyNumberFormat="0" applyBorder="0" applyAlignment="0" applyProtection="0"/>
    <xf numFmtId="0" fontId="20" fillId="32" borderId="0" applyNumberFormat="0" applyBorder="0" applyAlignment="0" applyProtection="0"/>
    <xf numFmtId="0" fontId="20" fillId="27" borderId="0" applyNumberFormat="0" applyBorder="0" applyAlignment="0" applyProtection="0"/>
    <xf numFmtId="172" fontId="21" fillId="32" borderId="0" applyNumberFormat="0" applyBorder="0" applyAlignment="0" applyProtection="0"/>
    <xf numFmtId="0" fontId="144" fillId="65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166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19" fillId="65" borderId="0" applyNumberFormat="0" applyBorder="0" applyAlignment="0" applyProtection="0"/>
    <xf numFmtId="172" fontId="20" fillId="32" borderId="0" applyNumberFormat="0" applyBorder="0" applyAlignment="0" applyProtection="0"/>
    <xf numFmtId="0" fontId="148" fillId="65" borderId="0" applyNumberFormat="0" applyBorder="0" applyAlignment="0" applyProtection="0"/>
    <xf numFmtId="172" fontId="20" fillId="32" borderId="0" applyNumberFormat="0" applyBorder="0" applyAlignment="0" applyProtection="0"/>
    <xf numFmtId="0" fontId="144" fillId="65" borderId="0" applyNumberFormat="0" applyBorder="0" applyAlignment="0" applyProtection="0"/>
    <xf numFmtId="172" fontId="20" fillId="32" borderId="0" applyNumberFormat="0" applyBorder="0" applyAlignment="0" applyProtection="0"/>
    <xf numFmtId="0" fontId="144" fillId="65" borderId="0" applyNumberFormat="0" applyBorder="0" applyAlignment="0" applyProtection="0"/>
    <xf numFmtId="0" fontId="20" fillId="32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176" fontId="147" fillId="67" borderId="0" applyNumberFormat="0" applyBorder="0" applyAlignment="0" applyProtection="0"/>
    <xf numFmtId="176" fontId="147" fillId="67" borderId="0" applyNumberFormat="0" applyBorder="0" applyAlignment="0" applyProtection="0"/>
    <xf numFmtId="0" fontId="20" fillId="75" borderId="0" applyNumberFormat="0" applyBorder="0" applyAlignment="0" applyProtection="0"/>
    <xf numFmtId="0" fontId="20" fillId="33" borderId="0" applyNumberFormat="0" applyBorder="0" applyAlignment="0" applyProtection="0"/>
    <xf numFmtId="172" fontId="21" fillId="33" borderId="0" applyNumberFormat="0" applyBorder="0" applyAlignment="0" applyProtection="0"/>
    <xf numFmtId="0" fontId="144" fillId="67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166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119" fillId="67" borderId="0" applyNumberFormat="0" applyBorder="0" applyAlignment="0" applyProtection="0"/>
    <xf numFmtId="172" fontId="20" fillId="75" borderId="0" applyNumberFormat="0" applyBorder="0" applyAlignment="0" applyProtection="0"/>
    <xf numFmtId="0" fontId="148" fillId="67" borderId="0" applyNumberFormat="0" applyBorder="0" applyAlignment="0" applyProtection="0"/>
    <xf numFmtId="172" fontId="20" fillId="75" borderId="0" applyNumberFormat="0" applyBorder="0" applyAlignment="0" applyProtection="0"/>
    <xf numFmtId="0" fontId="144" fillId="67" borderId="0" applyNumberFormat="0" applyBorder="0" applyAlignment="0" applyProtection="0"/>
    <xf numFmtId="172" fontId="20" fillId="75" borderId="0" applyNumberFormat="0" applyBorder="0" applyAlignment="0" applyProtection="0"/>
    <xf numFmtId="0" fontId="144" fillId="67" borderId="0" applyNumberFormat="0" applyBorder="0" applyAlignment="0" applyProtection="0"/>
    <xf numFmtId="0" fontId="20" fillId="75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176" fontId="147" fillId="69" borderId="0" applyNumberFormat="0" applyBorder="0" applyAlignment="0" applyProtection="0"/>
    <xf numFmtId="176" fontId="147" fillId="69" borderId="0" applyNumberFormat="0" applyBorder="0" applyAlignment="0" applyProtection="0"/>
    <xf numFmtId="0" fontId="20" fillId="30" borderId="0" applyNumberFormat="0" applyBorder="0" applyAlignment="0" applyProtection="0"/>
    <xf numFmtId="172" fontId="21" fillId="30" borderId="0" applyNumberFormat="0" applyBorder="0" applyAlignment="0" applyProtection="0"/>
    <xf numFmtId="0" fontId="144" fillId="69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166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19" fillId="69" borderId="0" applyNumberFormat="0" applyBorder="0" applyAlignment="0" applyProtection="0"/>
    <xf numFmtId="172" fontId="20" fillId="30" borderId="0" applyNumberFormat="0" applyBorder="0" applyAlignment="0" applyProtection="0"/>
    <xf numFmtId="0" fontId="148" fillId="69" borderId="0" applyNumberFormat="0" applyBorder="0" applyAlignment="0" applyProtection="0"/>
    <xf numFmtId="172" fontId="20" fillId="30" borderId="0" applyNumberFormat="0" applyBorder="0" applyAlignment="0" applyProtection="0"/>
    <xf numFmtId="0" fontId="144" fillId="69" borderId="0" applyNumberFormat="0" applyBorder="0" applyAlignment="0" applyProtection="0"/>
    <xf numFmtId="172" fontId="20" fillId="30" borderId="0" applyNumberFormat="0" applyBorder="0" applyAlignment="0" applyProtection="0"/>
    <xf numFmtId="0" fontId="144" fillId="69" borderId="0" applyNumberFormat="0" applyBorder="0" applyAlignment="0" applyProtection="0"/>
    <xf numFmtId="0" fontId="20" fillId="30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176" fontId="147" fillId="71" borderId="0" applyNumberFormat="0" applyBorder="0" applyAlignment="0" applyProtection="0"/>
    <xf numFmtId="176" fontId="147" fillId="71" borderId="0" applyNumberFormat="0" applyBorder="0" applyAlignment="0" applyProtection="0"/>
    <xf numFmtId="0" fontId="20" fillId="26" borderId="0" applyNumberFormat="0" applyBorder="0" applyAlignment="0" applyProtection="0"/>
    <xf numFmtId="0" fontId="20" fillId="31" borderId="0" applyNumberFormat="0" applyBorder="0" applyAlignment="0" applyProtection="0"/>
    <xf numFmtId="172" fontId="21" fillId="26" borderId="0" applyNumberFormat="0" applyBorder="0" applyAlignment="0" applyProtection="0"/>
    <xf numFmtId="0" fontId="144" fillId="71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166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119" fillId="71" borderId="0" applyNumberFormat="0" applyBorder="0" applyAlignment="0" applyProtection="0"/>
    <xf numFmtId="172" fontId="20" fillId="26" borderId="0" applyNumberFormat="0" applyBorder="0" applyAlignment="0" applyProtection="0"/>
    <xf numFmtId="0" fontId="148" fillId="71" borderId="0" applyNumberFormat="0" applyBorder="0" applyAlignment="0" applyProtection="0"/>
    <xf numFmtId="172" fontId="20" fillId="26" borderId="0" applyNumberFormat="0" applyBorder="0" applyAlignment="0" applyProtection="0"/>
    <xf numFmtId="0" fontId="144" fillId="71" borderId="0" applyNumberFormat="0" applyBorder="0" applyAlignment="0" applyProtection="0"/>
    <xf numFmtId="172" fontId="20" fillId="26" borderId="0" applyNumberFormat="0" applyBorder="0" applyAlignment="0" applyProtection="0"/>
    <xf numFmtId="0" fontId="144" fillId="71" borderId="0" applyNumberFormat="0" applyBorder="0" applyAlignment="0" applyProtection="0"/>
    <xf numFmtId="0" fontId="20" fillId="26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176" fontId="149" fillId="56" borderId="0" applyNumberFormat="0" applyBorder="0" applyAlignment="0" applyProtection="0"/>
    <xf numFmtId="176" fontId="149" fillId="56" borderId="0" applyNumberFormat="0" applyBorder="0" applyAlignment="0" applyProtection="0"/>
    <xf numFmtId="0" fontId="22" fillId="24" borderId="0" applyNumberFormat="0" applyBorder="0" applyAlignment="0" applyProtection="0"/>
    <xf numFmtId="0" fontId="22" fillId="34" borderId="0" applyNumberFormat="0" applyBorder="0" applyAlignment="0" applyProtection="0"/>
    <xf numFmtId="0" fontId="137" fillId="56" borderId="0" applyNumberFormat="0" applyBorder="0" applyAlignment="0" applyProtection="0"/>
    <xf numFmtId="166" fontId="23" fillId="24" borderId="0" applyNumberFormat="0" applyBorder="0" applyAlignment="0" applyProtection="0"/>
    <xf numFmtId="166" fontId="23" fillId="24" borderId="0" applyNumberFormat="0" applyBorder="0" applyAlignment="0" applyProtection="0"/>
    <xf numFmtId="0" fontId="120" fillId="56" borderId="0" applyNumberFormat="0" applyBorder="0" applyAlignment="0" applyProtection="0"/>
    <xf numFmtId="172" fontId="22" fillId="24" borderId="0" applyNumberFormat="0" applyBorder="0" applyAlignment="0" applyProtection="0"/>
    <xf numFmtId="0" fontId="150" fillId="56" borderId="0" applyNumberFormat="0" applyBorder="0" applyAlignment="0" applyProtection="0"/>
    <xf numFmtId="172" fontId="22" fillId="24" borderId="0" applyNumberFormat="0" applyBorder="0" applyAlignment="0" applyProtection="0"/>
    <xf numFmtId="0" fontId="137" fillId="56" borderId="0" applyNumberFormat="0" applyBorder="0" applyAlignment="0" applyProtection="0"/>
    <xf numFmtId="172" fontId="22" fillId="24" borderId="0" applyNumberFormat="0" applyBorder="0" applyAlignment="0" applyProtection="0"/>
    <xf numFmtId="0" fontId="137" fillId="56" borderId="0" applyNumberFormat="0" applyBorder="0" applyAlignment="0" applyProtection="0"/>
    <xf numFmtId="172" fontId="22" fillId="24" borderId="0" applyNumberFormat="0" applyBorder="0" applyAlignment="0" applyProtection="0"/>
    <xf numFmtId="0" fontId="22" fillId="24" borderId="0" applyNumberFormat="0" applyBorder="0" applyAlignment="0" applyProtection="0"/>
    <xf numFmtId="173" fontId="151" fillId="0" borderId="28"/>
    <xf numFmtId="0" fontId="26" fillId="37" borderId="9" applyNumberFormat="0" applyAlignment="0" applyProtection="0"/>
    <xf numFmtId="0" fontId="26" fillId="37" borderId="9" applyNumberFormat="0" applyAlignment="0" applyProtection="0"/>
    <xf numFmtId="0" fontId="26" fillId="37" borderId="9" applyNumberFormat="0" applyAlignment="0" applyProtection="0"/>
    <xf numFmtId="0" fontId="26" fillId="37" borderId="9" applyNumberFormat="0" applyAlignment="0" applyProtection="0"/>
    <xf numFmtId="0" fontId="26" fillId="37" borderId="9" applyNumberFormat="0" applyAlignment="0" applyProtection="0"/>
    <xf numFmtId="176" fontId="152" fillId="60" borderId="35" applyNumberFormat="0" applyAlignment="0" applyProtection="0"/>
    <xf numFmtId="176" fontId="152" fillId="60" borderId="35" applyNumberFormat="0" applyAlignment="0" applyProtection="0"/>
    <xf numFmtId="0" fontId="26" fillId="37" borderId="9" applyNumberFormat="0" applyAlignment="0" applyProtection="0"/>
    <xf numFmtId="0" fontId="141" fillId="60" borderId="35" applyNumberFormat="0" applyAlignment="0" applyProtection="0"/>
    <xf numFmtId="166" fontId="27" fillId="37" borderId="9" applyNumberFormat="0" applyAlignment="0" applyProtection="0"/>
    <xf numFmtId="166" fontId="27" fillId="37" borderId="9" applyNumberFormat="0" applyAlignment="0" applyProtection="0"/>
    <xf numFmtId="0" fontId="122" fillId="60" borderId="35" applyNumberFormat="0" applyAlignment="0" applyProtection="0"/>
    <xf numFmtId="172" fontId="26" fillId="37" borderId="9" applyNumberFormat="0" applyAlignment="0" applyProtection="0"/>
    <xf numFmtId="0" fontId="153" fillId="60" borderId="35" applyNumberFormat="0" applyAlignment="0" applyProtection="0"/>
    <xf numFmtId="172" fontId="26" fillId="37" borderId="9" applyNumberFormat="0" applyAlignment="0" applyProtection="0"/>
    <xf numFmtId="0" fontId="141" fillId="60" borderId="35" applyNumberFormat="0" applyAlignment="0" applyProtection="0"/>
    <xf numFmtId="172" fontId="26" fillId="37" borderId="9" applyNumberFormat="0" applyAlignment="0" applyProtection="0"/>
    <xf numFmtId="0" fontId="141" fillId="60" borderId="35" applyNumberFormat="0" applyAlignment="0" applyProtection="0"/>
    <xf numFmtId="172" fontId="26" fillId="37" borderId="9" applyNumberFormat="0" applyAlignment="0" applyProtection="0"/>
    <xf numFmtId="0" fontId="26" fillId="37" borderId="9" applyNumberFormat="0" applyAlignment="0" applyProtection="0"/>
    <xf numFmtId="0" fontId="27" fillId="38" borderId="0">
      <alignment horizontal="left"/>
    </xf>
    <xf numFmtId="164" fontId="27" fillId="38" borderId="0">
      <alignment horizontal="left"/>
    </xf>
    <xf numFmtId="0" fontId="29" fillId="38" borderId="0">
      <alignment horizontal="right"/>
    </xf>
    <xf numFmtId="164" fontId="29" fillId="38" borderId="0">
      <alignment horizontal="right"/>
    </xf>
    <xf numFmtId="0" fontId="30" fillId="35" borderId="0">
      <alignment horizontal="center"/>
    </xf>
    <xf numFmtId="164" fontId="30" fillId="35" borderId="0">
      <alignment horizontal="center"/>
    </xf>
    <xf numFmtId="0" fontId="29" fillId="38" borderId="0">
      <alignment horizontal="right"/>
    </xf>
    <xf numFmtId="164" fontId="29" fillId="38" borderId="0">
      <alignment horizontal="right"/>
    </xf>
    <xf numFmtId="0" fontId="31" fillId="35" borderId="0">
      <alignment horizontal="left"/>
    </xf>
    <xf numFmtId="41" fontId="154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77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39" borderId="11" applyNumberFormat="0" applyFont="0" applyAlignment="0">
      <protection locked="0"/>
    </xf>
    <xf numFmtId="192" fontId="1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6" fontId="155" fillId="0" borderId="0" applyNumberFormat="0" applyFill="0" applyBorder="0" applyAlignment="0" applyProtection="0"/>
    <xf numFmtId="176" fontId="15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72" fontId="3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172" fontId="3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72" fontId="3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72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176" fontId="13" fillId="0" borderId="0" applyProtection="0"/>
    <xf numFmtId="176" fontId="13" fillId="0" borderId="0" applyProtection="0"/>
    <xf numFmtId="0" fontId="13" fillId="0" borderId="0" applyProtection="0"/>
    <xf numFmtId="0" fontId="36" fillId="0" borderId="0" applyProtection="0"/>
    <xf numFmtId="0" fontId="38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176" fontId="36" fillId="0" borderId="0" applyProtection="0"/>
    <xf numFmtId="176" fontId="36" fillId="0" borderId="0" applyProtection="0"/>
    <xf numFmtId="0" fontId="36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176" fontId="37" fillId="0" borderId="0" applyProtection="0"/>
    <xf numFmtId="176" fontId="37" fillId="0" borderId="0" applyProtection="0"/>
    <xf numFmtId="0" fontId="37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176" fontId="38" fillId="0" borderId="0" applyProtection="0"/>
    <xf numFmtId="176" fontId="38" fillId="0" borderId="0" applyProtection="0"/>
    <xf numFmtId="0" fontId="38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176" fontId="14" fillId="0" borderId="0" applyProtection="0"/>
    <xf numFmtId="176" fontId="14" fillId="0" borderId="0" applyProtection="0"/>
    <xf numFmtId="0" fontId="14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176" fontId="13" fillId="0" borderId="0" applyProtection="0"/>
    <xf numFmtId="176" fontId="13" fillId="0" borderId="0" applyProtection="0"/>
    <xf numFmtId="0" fontId="13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176" fontId="39" fillId="0" borderId="0" applyProtection="0"/>
    <xf numFmtId="176" fontId="39" fillId="0" borderId="0" applyProtection="0"/>
    <xf numFmtId="0" fontId="39" fillId="0" borderId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176" fontId="157" fillId="55" borderId="0" applyNumberFormat="0" applyBorder="0" applyAlignment="0" applyProtection="0"/>
    <xf numFmtId="176" fontId="157" fillId="55" borderId="0" applyNumberFormat="0" applyBorder="0" applyAlignment="0" applyProtection="0"/>
    <xf numFmtId="0" fontId="40" fillId="40" borderId="0" applyNumberFormat="0" applyBorder="0" applyAlignment="0" applyProtection="0"/>
    <xf numFmtId="0" fontId="40" fillId="22" borderId="0" applyNumberFormat="0" applyBorder="0" applyAlignment="0" applyProtection="0"/>
    <xf numFmtId="0" fontId="136" fillId="55" borderId="0" applyNumberFormat="0" applyBorder="0" applyAlignment="0" applyProtection="0"/>
    <xf numFmtId="166" fontId="28" fillId="40" borderId="0" applyNumberFormat="0" applyBorder="0" applyAlignment="0" applyProtection="0"/>
    <xf numFmtId="166" fontId="28" fillId="40" borderId="0" applyNumberFormat="0" applyBorder="0" applyAlignment="0" applyProtection="0"/>
    <xf numFmtId="0" fontId="124" fillId="55" borderId="0" applyNumberFormat="0" applyBorder="0" applyAlignment="0" applyProtection="0"/>
    <xf numFmtId="172" fontId="40" fillId="40" borderId="0" applyNumberFormat="0" applyBorder="0" applyAlignment="0" applyProtection="0"/>
    <xf numFmtId="0" fontId="158" fillId="55" borderId="0" applyNumberFormat="0" applyBorder="0" applyAlignment="0" applyProtection="0"/>
    <xf numFmtId="172" fontId="40" fillId="40" borderId="0" applyNumberFormat="0" applyBorder="0" applyAlignment="0" applyProtection="0"/>
    <xf numFmtId="0" fontId="136" fillId="55" borderId="0" applyNumberFormat="0" applyBorder="0" applyAlignment="0" applyProtection="0"/>
    <xf numFmtId="172" fontId="40" fillId="40" borderId="0" applyNumberFormat="0" applyBorder="0" applyAlignment="0" applyProtection="0"/>
    <xf numFmtId="0" fontId="136" fillId="55" borderId="0" applyNumberFormat="0" applyBorder="0" applyAlignment="0" applyProtection="0"/>
    <xf numFmtId="172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159" fillId="0" borderId="36" applyNumberFormat="0" applyFill="0" applyAlignment="0" applyProtection="0"/>
    <xf numFmtId="0" fontId="159" fillId="0" borderId="36" applyNumberFormat="0" applyFill="0" applyAlignment="0" applyProtection="0"/>
    <xf numFmtId="0" fontId="159" fillId="0" borderId="36" applyNumberFormat="0" applyFill="0" applyAlignment="0" applyProtection="0"/>
    <xf numFmtId="0" fontId="159" fillId="0" borderId="36" applyNumberFormat="0" applyFill="0" applyAlignment="0" applyProtection="0"/>
    <xf numFmtId="0" fontId="159" fillId="0" borderId="36" applyNumberFormat="0" applyFill="0" applyAlignment="0" applyProtection="0"/>
    <xf numFmtId="176" fontId="160" fillId="0" borderId="1" applyNumberFormat="0" applyFill="0" applyAlignment="0" applyProtection="0"/>
    <xf numFmtId="176" fontId="160" fillId="0" borderId="1" applyNumberFormat="0" applyFill="0" applyAlignment="0" applyProtection="0"/>
    <xf numFmtId="0" fontId="159" fillId="0" borderId="36" applyNumberFormat="0" applyFill="0" applyAlignment="0" applyProtection="0"/>
    <xf numFmtId="0" fontId="41" fillId="0" borderId="12" applyNumberFormat="0" applyFill="0" applyAlignment="0" applyProtection="0"/>
    <xf numFmtId="0" fontId="9" fillId="0" borderId="1" applyNumberFormat="0" applyFill="0" applyAlignment="0" applyProtection="0"/>
    <xf numFmtId="166" fontId="42" fillId="0" borderId="13" applyNumberFormat="0" applyFill="0" applyAlignment="0" applyProtection="0"/>
    <xf numFmtId="166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125" fillId="0" borderId="1" applyNumberFormat="0" applyFill="0" applyAlignment="0" applyProtection="0"/>
    <xf numFmtId="0" fontId="161" fillId="0" borderId="1" applyNumberFormat="0" applyFill="0" applyAlignment="0" applyProtection="0"/>
    <xf numFmtId="172" fontId="159" fillId="0" borderId="36" applyNumberFormat="0" applyFill="0" applyAlignment="0" applyProtection="0"/>
    <xf numFmtId="0" fontId="9" fillId="0" borderId="1" applyNumberFormat="0" applyFill="0" applyAlignment="0" applyProtection="0"/>
    <xf numFmtId="172" fontId="159" fillId="0" borderId="36" applyNumberFormat="0" applyFill="0" applyAlignment="0" applyProtection="0"/>
    <xf numFmtId="0" fontId="9" fillId="0" borderId="1" applyNumberFormat="0" applyFill="0" applyAlignment="0" applyProtection="0"/>
    <xf numFmtId="172" fontId="159" fillId="0" borderId="36" applyNumberFormat="0" applyFill="0" applyAlignment="0" applyProtection="0"/>
    <xf numFmtId="0" fontId="159" fillId="0" borderId="36" applyNumberFormat="0" applyFill="0" applyAlignment="0" applyProtection="0"/>
    <xf numFmtId="0" fontId="162" fillId="0" borderId="37" applyNumberFormat="0" applyFill="0" applyAlignment="0" applyProtection="0"/>
    <xf numFmtId="0" fontId="162" fillId="0" borderId="37" applyNumberFormat="0" applyFill="0" applyAlignment="0" applyProtection="0"/>
    <xf numFmtId="0" fontId="162" fillId="0" borderId="37" applyNumberFormat="0" applyFill="0" applyAlignment="0" applyProtection="0"/>
    <xf numFmtId="0" fontId="162" fillId="0" borderId="37" applyNumberFormat="0" applyFill="0" applyAlignment="0" applyProtection="0"/>
    <xf numFmtId="0" fontId="162" fillId="0" borderId="37" applyNumberFormat="0" applyFill="0" applyAlignment="0" applyProtection="0"/>
    <xf numFmtId="176" fontId="163" fillId="0" borderId="2" applyNumberFormat="0" applyFill="0" applyAlignment="0" applyProtection="0"/>
    <xf numFmtId="176" fontId="163" fillId="0" borderId="2" applyNumberFormat="0" applyFill="0" applyAlignment="0" applyProtection="0"/>
    <xf numFmtId="0" fontId="162" fillId="0" borderId="37" applyNumberFormat="0" applyFill="0" applyAlignment="0" applyProtection="0"/>
    <xf numFmtId="0" fontId="43" fillId="0" borderId="14" applyNumberFormat="0" applyFill="0" applyAlignment="0" applyProtection="0"/>
    <xf numFmtId="0" fontId="10" fillId="0" borderId="2" applyNumberFormat="0" applyFill="0" applyAlignment="0" applyProtection="0"/>
    <xf numFmtId="166" fontId="44" fillId="0" borderId="15" applyNumberFormat="0" applyFill="0" applyAlignment="0" applyProtection="0"/>
    <xf numFmtId="166" fontId="44" fillId="0" borderId="15" applyNumberFormat="0" applyFill="0" applyAlignment="0" applyProtection="0"/>
    <xf numFmtId="0" fontId="44" fillId="0" borderId="37" applyNumberFormat="0" applyFill="0" applyAlignment="0" applyProtection="0"/>
    <xf numFmtId="0" fontId="44" fillId="0" borderId="15" applyNumberFormat="0" applyFill="0" applyAlignment="0" applyProtection="0"/>
    <xf numFmtId="0" fontId="126" fillId="0" borderId="2" applyNumberFormat="0" applyFill="0" applyAlignment="0" applyProtection="0"/>
    <xf numFmtId="0" fontId="164" fillId="0" borderId="2" applyNumberFormat="0" applyFill="0" applyAlignment="0" applyProtection="0"/>
    <xf numFmtId="172" fontId="162" fillId="0" borderId="37" applyNumberFormat="0" applyFill="0" applyAlignment="0" applyProtection="0"/>
    <xf numFmtId="0" fontId="10" fillId="0" borderId="2" applyNumberFormat="0" applyFill="0" applyAlignment="0" applyProtection="0"/>
    <xf numFmtId="172" fontId="162" fillId="0" borderId="37" applyNumberFormat="0" applyFill="0" applyAlignment="0" applyProtection="0"/>
    <xf numFmtId="0" fontId="10" fillId="0" borderId="2" applyNumberFormat="0" applyFill="0" applyAlignment="0" applyProtection="0"/>
    <xf numFmtId="172" fontId="162" fillId="0" borderId="37" applyNumberFormat="0" applyFill="0" applyAlignment="0" applyProtection="0"/>
    <xf numFmtId="0" fontId="162" fillId="0" borderId="37" applyNumberFormat="0" applyFill="0" applyAlignment="0" applyProtection="0"/>
    <xf numFmtId="0" fontId="165" fillId="0" borderId="38" applyNumberFormat="0" applyFill="0" applyAlignment="0" applyProtection="0"/>
    <xf numFmtId="0" fontId="165" fillId="0" borderId="38" applyNumberFormat="0" applyFill="0" applyAlignment="0" applyProtection="0"/>
    <xf numFmtId="0" fontId="165" fillId="0" borderId="38" applyNumberFormat="0" applyFill="0" applyAlignment="0" applyProtection="0"/>
    <xf numFmtId="0" fontId="165" fillId="0" borderId="38" applyNumberFormat="0" applyFill="0" applyAlignment="0" applyProtection="0"/>
    <xf numFmtId="0" fontId="165" fillId="0" borderId="38" applyNumberFormat="0" applyFill="0" applyAlignment="0" applyProtection="0"/>
    <xf numFmtId="176" fontId="166" fillId="0" borderId="31" applyNumberFormat="0" applyFill="0" applyAlignment="0" applyProtection="0"/>
    <xf numFmtId="176" fontId="166" fillId="0" borderId="31" applyNumberFormat="0" applyFill="0" applyAlignment="0" applyProtection="0"/>
    <xf numFmtId="0" fontId="165" fillId="0" borderId="38" applyNumberFormat="0" applyFill="0" applyAlignment="0" applyProtection="0"/>
    <xf numFmtId="0" fontId="45" fillId="0" borderId="16" applyNumberFormat="0" applyFill="0" applyAlignment="0" applyProtection="0"/>
    <xf numFmtId="172" fontId="46" fillId="0" borderId="39" applyNumberFormat="0" applyFill="0" applyAlignment="0" applyProtection="0"/>
    <xf numFmtId="0" fontId="135" fillId="0" borderId="31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166" fontId="46" fillId="0" borderId="17" applyNumberFormat="0" applyFill="0" applyAlignment="0" applyProtection="0"/>
    <xf numFmtId="166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127" fillId="0" borderId="31" applyNumberFormat="0" applyFill="0" applyAlignment="0" applyProtection="0"/>
    <xf numFmtId="172" fontId="165" fillId="0" borderId="38" applyNumberFormat="0" applyFill="0" applyAlignment="0" applyProtection="0"/>
    <xf numFmtId="0" fontId="167" fillId="0" borderId="31" applyNumberFormat="0" applyFill="0" applyAlignment="0" applyProtection="0"/>
    <xf numFmtId="172" fontId="165" fillId="0" borderId="38" applyNumberFormat="0" applyFill="0" applyAlignment="0" applyProtection="0"/>
    <xf numFmtId="0" fontId="135" fillId="0" borderId="31" applyNumberFormat="0" applyFill="0" applyAlignment="0" applyProtection="0"/>
    <xf numFmtId="0" fontId="165" fillId="0" borderId="38" applyNumberFormat="0" applyFill="0" applyAlignment="0" applyProtection="0"/>
    <xf numFmtId="0" fontId="135" fillId="0" borderId="31" applyNumberFormat="0" applyFill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176" fontId="166" fillId="0" borderId="0" applyNumberFormat="0" applyFill="0" applyBorder="0" applyAlignment="0" applyProtection="0"/>
    <xf numFmtId="176" fontId="166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2" fontId="165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172" fontId="16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72" fontId="16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72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8" fillId="0" borderId="0" applyNumberFormat="0" applyFill="0" applyBorder="0" applyAlignment="0" applyProtection="0">
      <alignment vertical="top"/>
      <protection locked="0"/>
    </xf>
    <xf numFmtId="0" fontId="27" fillId="38" borderId="0">
      <alignment horizontal="left"/>
    </xf>
    <xf numFmtId="164" fontId="27" fillId="38" borderId="0">
      <alignment horizontal="left"/>
    </xf>
    <xf numFmtId="0" fontId="50" fillId="35" borderId="0">
      <alignment horizontal="left"/>
    </xf>
    <xf numFmtId="164" fontId="50" fillId="35" borderId="0">
      <alignment horizontal="left"/>
    </xf>
    <xf numFmtId="0" fontId="169" fillId="0" borderId="19" applyNumberFormat="0" applyFill="0" applyAlignment="0" applyProtection="0"/>
    <xf numFmtId="0" fontId="169" fillId="0" borderId="19" applyNumberFormat="0" applyFill="0" applyAlignment="0" applyProtection="0"/>
    <xf numFmtId="0" fontId="169" fillId="0" borderId="19" applyNumberFormat="0" applyFill="0" applyAlignment="0" applyProtection="0"/>
    <xf numFmtId="0" fontId="169" fillId="0" borderId="19" applyNumberFormat="0" applyFill="0" applyAlignment="0" applyProtection="0"/>
    <xf numFmtId="0" fontId="169" fillId="0" borderId="19" applyNumberFormat="0" applyFill="0" applyAlignment="0" applyProtection="0"/>
    <xf numFmtId="176" fontId="170" fillId="0" borderId="34" applyNumberFormat="0" applyFill="0" applyAlignment="0" applyProtection="0"/>
    <xf numFmtId="176" fontId="170" fillId="0" borderId="34" applyNumberFormat="0" applyFill="0" applyAlignment="0" applyProtection="0"/>
    <xf numFmtId="0" fontId="169" fillId="0" borderId="19" applyNumberFormat="0" applyFill="0" applyAlignment="0" applyProtection="0"/>
    <xf numFmtId="0" fontId="51" fillId="0" borderId="18" applyNumberFormat="0" applyFill="0" applyAlignment="0" applyProtection="0"/>
    <xf numFmtId="0" fontId="140" fillId="0" borderId="34" applyNumberFormat="0" applyFill="0" applyAlignment="0" applyProtection="0"/>
    <xf numFmtId="166" fontId="52" fillId="0" borderId="19" applyNumberFormat="0" applyFill="0" applyAlignment="0" applyProtection="0"/>
    <xf numFmtId="166" fontId="52" fillId="0" borderId="19" applyNumberFormat="0" applyFill="0" applyAlignment="0" applyProtection="0"/>
    <xf numFmtId="0" fontId="129" fillId="0" borderId="34" applyNumberFormat="0" applyFill="0" applyAlignment="0" applyProtection="0"/>
    <xf numFmtId="172" fontId="169" fillId="0" borderId="19" applyNumberFormat="0" applyFill="0" applyAlignment="0" applyProtection="0"/>
    <xf numFmtId="0" fontId="171" fillId="0" borderId="34" applyNumberFormat="0" applyFill="0" applyAlignment="0" applyProtection="0"/>
    <xf numFmtId="172" fontId="169" fillId="0" borderId="19" applyNumberFormat="0" applyFill="0" applyAlignment="0" applyProtection="0"/>
    <xf numFmtId="0" fontId="140" fillId="0" borderId="34" applyNumberFormat="0" applyFill="0" applyAlignment="0" applyProtection="0"/>
    <xf numFmtId="172" fontId="169" fillId="0" borderId="19" applyNumberFormat="0" applyFill="0" applyAlignment="0" applyProtection="0"/>
    <xf numFmtId="0" fontId="140" fillId="0" borderId="34" applyNumberFormat="0" applyFill="0" applyAlignment="0" applyProtection="0"/>
    <xf numFmtId="172" fontId="169" fillId="0" borderId="19" applyNumberFormat="0" applyFill="0" applyAlignment="0" applyProtection="0"/>
    <xf numFmtId="0" fontId="169" fillId="0" borderId="19" applyNumberFormat="0" applyFill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2" fillId="0" borderId="0" applyProtection="0">
      <alignment horizontal="center"/>
    </xf>
    <xf numFmtId="0" fontId="172" fillId="23" borderId="0" applyNumberFormat="0" applyBorder="0" applyAlignment="0" applyProtection="0"/>
    <xf numFmtId="0" fontId="172" fillId="23" borderId="0" applyNumberFormat="0" applyBorder="0" applyAlignment="0" applyProtection="0"/>
    <xf numFmtId="0" fontId="172" fillId="23" borderId="0" applyNumberFormat="0" applyBorder="0" applyAlignment="0" applyProtection="0"/>
    <xf numFmtId="0" fontId="172" fillId="23" borderId="0" applyNumberFormat="0" applyBorder="0" applyAlignment="0" applyProtection="0"/>
    <xf numFmtId="0" fontId="172" fillId="23" borderId="0" applyNumberFormat="0" applyBorder="0" applyAlignment="0" applyProtection="0"/>
    <xf numFmtId="176" fontId="173" fillId="57" borderId="0" applyNumberFormat="0" applyBorder="0" applyAlignment="0" applyProtection="0"/>
    <xf numFmtId="176" fontId="173" fillId="57" borderId="0" applyNumberFormat="0" applyBorder="0" applyAlignment="0" applyProtection="0"/>
    <xf numFmtId="0" fontId="172" fillId="23" borderId="0" applyNumberFormat="0" applyBorder="0" applyAlignment="0" applyProtection="0"/>
    <xf numFmtId="0" fontId="53" fillId="23" borderId="0" applyNumberFormat="0" applyBorder="0" applyAlignment="0" applyProtection="0"/>
    <xf numFmtId="0" fontId="138" fillId="57" borderId="0" applyNumberFormat="0" applyBorder="0" applyAlignment="0" applyProtection="0"/>
    <xf numFmtId="166" fontId="54" fillId="23" borderId="0" applyNumberFormat="0" applyBorder="0" applyAlignment="0" applyProtection="0"/>
    <xf numFmtId="166" fontId="54" fillId="23" borderId="0" applyNumberFormat="0" applyBorder="0" applyAlignment="0" applyProtection="0"/>
    <xf numFmtId="0" fontId="130" fillId="57" borderId="0" applyNumberFormat="0" applyBorder="0" applyAlignment="0" applyProtection="0"/>
    <xf numFmtId="172" fontId="172" fillId="23" borderId="0" applyNumberFormat="0" applyBorder="0" applyAlignment="0" applyProtection="0"/>
    <xf numFmtId="0" fontId="174" fillId="57" borderId="0" applyNumberFormat="0" applyBorder="0" applyAlignment="0" applyProtection="0"/>
    <xf numFmtId="172" fontId="172" fillId="23" borderId="0" applyNumberFormat="0" applyBorder="0" applyAlignment="0" applyProtection="0"/>
    <xf numFmtId="0" fontId="138" fillId="57" borderId="0" applyNumberFormat="0" applyBorder="0" applyAlignment="0" applyProtection="0"/>
    <xf numFmtId="172" fontId="172" fillId="23" borderId="0" applyNumberFormat="0" applyBorder="0" applyAlignment="0" applyProtection="0"/>
    <xf numFmtId="0" fontId="138" fillId="57" borderId="0" applyNumberFormat="0" applyBorder="0" applyAlignment="0" applyProtection="0"/>
    <xf numFmtId="172" fontId="172" fillId="23" borderId="0" applyNumberFormat="0" applyBorder="0" applyAlignment="0" applyProtection="0"/>
    <xf numFmtId="0" fontId="172" fillId="23" borderId="0" applyNumberFormat="0" applyBorder="0" applyAlignment="0" applyProtection="0"/>
    <xf numFmtId="197" fontId="14" fillId="0" borderId="0"/>
    <xf numFmtId="0" fontId="5" fillId="0" borderId="0"/>
    <xf numFmtId="192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2" fontId="14" fillId="0" borderId="0"/>
    <xf numFmtId="0" fontId="5" fillId="0" borderId="0"/>
    <xf numFmtId="0" fontId="14" fillId="0" borderId="0"/>
    <xf numFmtId="172" fontId="14" fillId="0" borderId="0"/>
    <xf numFmtId="172" fontId="14" fillId="0" borderId="0"/>
    <xf numFmtId="176" fontId="14" fillId="0" borderId="0"/>
    <xf numFmtId="176" fontId="14" fillId="0" borderId="0"/>
    <xf numFmtId="0" fontId="33" fillId="0" borderId="0"/>
    <xf numFmtId="0" fontId="5" fillId="0" borderId="0"/>
    <xf numFmtId="0" fontId="14" fillId="0" borderId="0"/>
    <xf numFmtId="172" fontId="14" fillId="0" borderId="0"/>
    <xf numFmtId="166" fontId="14" fillId="0" borderId="0"/>
    <xf numFmtId="172" fontId="14" fillId="0" borderId="0"/>
    <xf numFmtId="0" fontId="14" fillId="0" borderId="0"/>
    <xf numFmtId="0" fontId="175" fillId="0" borderId="0"/>
    <xf numFmtId="0" fontId="14" fillId="0" borderId="0"/>
    <xf numFmtId="172" fontId="14" fillId="0" borderId="0"/>
    <xf numFmtId="172" fontId="14" fillId="0" borderId="0"/>
    <xf numFmtId="0" fontId="5" fillId="0" borderId="0"/>
    <xf numFmtId="0" fontId="5" fillId="0" borderId="0"/>
    <xf numFmtId="172" fontId="14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172" fontId="66" fillId="0" borderId="0"/>
    <xf numFmtId="172" fontId="66" fillId="0" borderId="0"/>
    <xf numFmtId="172" fontId="66" fillId="0" borderId="0"/>
    <xf numFmtId="172" fontId="66" fillId="0" borderId="0"/>
    <xf numFmtId="172" fontId="66" fillId="0" borderId="0"/>
    <xf numFmtId="176" fontId="19" fillId="0" borderId="0"/>
    <xf numFmtId="176" fontId="19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17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66" fillId="0" borderId="0"/>
    <xf numFmtId="172" fontId="66" fillId="0" borderId="0"/>
    <xf numFmtId="172" fontId="6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56" fillId="20" borderId="21" applyNumberFormat="0" applyAlignment="0" applyProtection="0"/>
    <xf numFmtId="0" fontId="56" fillId="20" borderId="21" applyNumberFormat="0" applyAlignment="0" applyProtection="0"/>
    <xf numFmtId="0" fontId="56" fillId="20" borderId="21" applyNumberFormat="0" applyAlignment="0" applyProtection="0"/>
    <xf numFmtId="0" fontId="56" fillId="20" borderId="21" applyNumberFormat="0" applyAlignment="0" applyProtection="0"/>
    <xf numFmtId="0" fontId="56" fillId="20" borderId="21" applyNumberFormat="0" applyAlignment="0" applyProtection="0"/>
    <xf numFmtId="176" fontId="177" fillId="59" borderId="33" applyNumberFormat="0" applyAlignment="0" applyProtection="0"/>
    <xf numFmtId="176" fontId="177" fillId="59" borderId="33" applyNumberFormat="0" applyAlignment="0" applyProtection="0"/>
    <xf numFmtId="0" fontId="56" fillId="20" borderId="21" applyNumberFormat="0" applyAlignment="0" applyProtection="0"/>
    <xf numFmtId="0" fontId="132" fillId="59" borderId="33" applyNumberFormat="0" applyAlignment="0" applyProtection="0"/>
    <xf numFmtId="172" fontId="56" fillId="20" borderId="21" applyNumberFormat="0" applyAlignment="0" applyProtection="0"/>
    <xf numFmtId="0" fontId="178" fillId="59" borderId="33" applyNumberFormat="0" applyAlignment="0" applyProtection="0"/>
    <xf numFmtId="172" fontId="56" fillId="20" borderId="21" applyNumberFormat="0" applyAlignment="0" applyProtection="0"/>
    <xf numFmtId="0" fontId="139" fillId="59" borderId="33" applyNumberFormat="0" applyAlignment="0" applyProtection="0"/>
    <xf numFmtId="172" fontId="56" fillId="20" borderId="21" applyNumberFormat="0" applyAlignment="0" applyProtection="0"/>
    <xf numFmtId="0" fontId="139" fillId="59" borderId="33" applyNumberFormat="0" applyAlignment="0" applyProtection="0"/>
    <xf numFmtId="172" fontId="56" fillId="20" borderId="21" applyNumberFormat="0" applyAlignment="0" applyProtection="0"/>
    <xf numFmtId="0" fontId="56" fillId="20" borderId="21" applyNumberFormat="0" applyAlignment="0" applyProtection="0"/>
    <xf numFmtId="171" fontId="57" fillId="35" borderId="0">
      <alignment horizontal="right"/>
    </xf>
    <xf numFmtId="40" fontId="58" fillId="41" borderId="0">
      <alignment horizontal="right"/>
    </xf>
    <xf numFmtId="171" fontId="57" fillId="35" borderId="0">
      <alignment horizontal="right"/>
    </xf>
    <xf numFmtId="171" fontId="57" fillId="35" borderId="0">
      <alignment horizontal="right"/>
    </xf>
    <xf numFmtId="171" fontId="57" fillId="35" borderId="0">
      <alignment horizontal="right"/>
    </xf>
    <xf numFmtId="0" fontId="60" fillId="41" borderId="0">
      <alignment horizontal="right"/>
    </xf>
    <xf numFmtId="164" fontId="59" fillId="42" borderId="0">
      <alignment horizontal="center"/>
    </xf>
    <xf numFmtId="0" fontId="59" fillId="42" borderId="0">
      <alignment horizontal="center"/>
    </xf>
    <xf numFmtId="0" fontId="59" fillId="42" borderId="0">
      <alignment horizontal="center"/>
    </xf>
    <xf numFmtId="0" fontId="59" fillId="42" borderId="0">
      <alignment horizontal="center"/>
    </xf>
    <xf numFmtId="176" fontId="59" fillId="41" borderId="0">
      <alignment horizontal="center" vertical="center"/>
    </xf>
    <xf numFmtId="0" fontId="61" fillId="41" borderId="10"/>
    <xf numFmtId="0" fontId="50" fillId="41" borderId="10"/>
    <xf numFmtId="0" fontId="27" fillId="43" borderId="0"/>
    <xf numFmtId="0" fontId="61" fillId="41" borderId="10"/>
    <xf numFmtId="0" fontId="27" fillId="43" borderId="0"/>
    <xf numFmtId="0" fontId="27" fillId="43" borderId="0"/>
    <xf numFmtId="0" fontId="27" fillId="43" borderId="0"/>
    <xf numFmtId="0" fontId="61" fillId="41" borderId="10"/>
    <xf numFmtId="0" fontId="61" fillId="0" borderId="0" applyBorder="0">
      <alignment horizontal="centerContinuous"/>
    </xf>
    <xf numFmtId="164" fontId="62" fillId="35" borderId="0" applyBorder="0">
      <alignment horizontal="centerContinuous"/>
    </xf>
    <xf numFmtId="0" fontId="62" fillId="35" borderId="0" applyBorder="0">
      <alignment horizontal="centerContinuous"/>
    </xf>
    <xf numFmtId="0" fontId="62" fillId="35" borderId="0" applyBorder="0">
      <alignment horizontal="centerContinuous"/>
    </xf>
    <xf numFmtId="0" fontId="62" fillId="35" borderId="0" applyBorder="0">
      <alignment horizontal="centerContinuous"/>
    </xf>
    <xf numFmtId="176" fontId="59" fillId="41" borderId="0" applyBorder="0">
      <alignment horizontal="centerContinuous"/>
    </xf>
    <xf numFmtId="0" fontId="64" fillId="0" borderId="0" applyBorder="0">
      <alignment horizontal="centerContinuous"/>
    </xf>
    <xf numFmtId="164" fontId="63" fillId="43" borderId="0" applyBorder="0">
      <alignment horizontal="centerContinuous"/>
    </xf>
    <xf numFmtId="0" fontId="63" fillId="43" borderId="0" applyBorder="0">
      <alignment horizontal="centerContinuous"/>
    </xf>
    <xf numFmtId="0" fontId="63" fillId="43" borderId="0" applyBorder="0">
      <alignment horizontal="centerContinuous"/>
    </xf>
    <xf numFmtId="0" fontId="63" fillId="43" borderId="0" applyBorder="0">
      <alignment horizontal="centerContinuous"/>
    </xf>
    <xf numFmtId="176" fontId="65" fillId="41" borderId="0" applyBorder="0">
      <alignment horizontal="centerContinuous"/>
    </xf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7" fillId="0" borderId="22">
      <alignment horizontal="center"/>
    </xf>
    <xf numFmtId="0" fontId="66" fillId="44" borderId="0" applyNumberFormat="0" applyFont="0" applyBorder="0" applyAlignment="0" applyProtection="0"/>
    <xf numFmtId="0" fontId="50" fillId="23" borderId="0">
      <alignment horizontal="center"/>
    </xf>
    <xf numFmtId="164" fontId="50" fillId="23" borderId="0">
      <alignment horizontal="center"/>
    </xf>
    <xf numFmtId="49" fontId="68" fillId="35" borderId="0">
      <alignment horizontal="center"/>
    </xf>
    <xf numFmtId="0" fontId="29" fillId="38" borderId="0">
      <alignment horizontal="center"/>
    </xf>
    <xf numFmtId="164" fontId="29" fillId="38" borderId="0">
      <alignment horizontal="center"/>
    </xf>
    <xf numFmtId="0" fontId="29" fillId="38" borderId="0">
      <alignment horizontal="centerContinuous"/>
    </xf>
    <xf numFmtId="164" fontId="29" fillId="38" borderId="0">
      <alignment horizontal="centerContinuous"/>
    </xf>
    <xf numFmtId="0" fontId="69" fillId="35" borderId="0">
      <alignment horizontal="left"/>
    </xf>
    <xf numFmtId="164" fontId="69" fillId="35" borderId="0">
      <alignment horizontal="left"/>
    </xf>
    <xf numFmtId="49" fontId="69" fillId="35" borderId="0">
      <alignment horizontal="center"/>
    </xf>
    <xf numFmtId="0" fontId="27" fillId="38" borderId="0">
      <alignment horizontal="left"/>
    </xf>
    <xf numFmtId="164" fontId="27" fillId="38" borderId="0">
      <alignment horizontal="left"/>
    </xf>
    <xf numFmtId="49" fontId="69" fillId="35" borderId="0">
      <alignment horizontal="left"/>
    </xf>
    <xf numFmtId="0" fontId="27" fillId="38" borderId="0">
      <alignment horizontal="centerContinuous"/>
    </xf>
    <xf numFmtId="164" fontId="27" fillId="38" borderId="0">
      <alignment horizontal="centerContinuous"/>
    </xf>
    <xf numFmtId="0" fontId="27" fillId="38" borderId="0">
      <alignment horizontal="right"/>
    </xf>
    <xf numFmtId="164" fontId="27" fillId="38" borderId="0">
      <alignment horizontal="right"/>
    </xf>
    <xf numFmtId="49" fontId="50" fillId="35" borderId="0">
      <alignment horizontal="left"/>
    </xf>
    <xf numFmtId="0" fontId="29" fillId="38" borderId="0">
      <alignment horizontal="right"/>
    </xf>
    <xf numFmtId="164" fontId="29" fillId="38" borderId="0">
      <alignment horizontal="right"/>
    </xf>
    <xf numFmtId="0" fontId="69" fillId="21" borderId="0">
      <alignment horizontal="center"/>
    </xf>
    <xf numFmtId="164" fontId="69" fillId="21" borderId="0">
      <alignment horizontal="center"/>
    </xf>
    <xf numFmtId="0" fontId="70" fillId="21" borderId="0">
      <alignment horizontal="center"/>
    </xf>
    <xf numFmtId="164" fontId="70" fillId="21" borderId="0">
      <alignment horizont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9" fontId="14" fillId="0" borderId="40">
      <alignment horizontal="center" vertical="center"/>
      <protection locked="0"/>
    </xf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176" fontId="134" fillId="0" borderId="0" applyNumberFormat="0" applyFill="0" applyBorder="0" applyAlignment="0" applyProtection="0"/>
    <xf numFmtId="176" fontId="134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6" fontId="75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176" fontId="180" fillId="0" borderId="4" applyNumberFormat="0" applyFill="0" applyAlignment="0" applyProtection="0"/>
    <xf numFmtId="176" fontId="180" fillId="0" borderId="4" applyNumberFormat="0" applyFill="0" applyAlignment="0" applyProtection="0"/>
    <xf numFmtId="0" fontId="76" fillId="0" borderId="41" applyNumberFormat="0" applyFill="0" applyAlignment="0" applyProtection="0"/>
    <xf numFmtId="0" fontId="16" fillId="0" borderId="4" applyNumberFormat="0" applyFill="0" applyAlignment="0" applyProtection="0"/>
    <xf numFmtId="0" fontId="181" fillId="0" borderId="4" applyNumberFormat="0" applyFill="0" applyAlignment="0" applyProtection="0"/>
    <xf numFmtId="172" fontId="76" fillId="0" borderId="41" applyNumberFormat="0" applyFill="0" applyAlignment="0" applyProtection="0"/>
    <xf numFmtId="0" fontId="11" fillId="0" borderId="4" applyNumberFormat="0" applyFill="0" applyAlignment="0" applyProtection="0"/>
    <xf numFmtId="172" fontId="76" fillId="0" borderId="41" applyNumberFormat="0" applyFill="0" applyAlignment="0" applyProtection="0"/>
    <xf numFmtId="0" fontId="11" fillId="0" borderId="4" applyNumberFormat="0" applyFill="0" applyAlignment="0" applyProtection="0"/>
    <xf numFmtId="172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7" fillId="0" borderId="0"/>
    <xf numFmtId="0" fontId="78" fillId="35" borderId="0">
      <alignment horizontal="center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6" fontId="182" fillId="0" borderId="0" applyNumberFormat="0" applyFill="0" applyBorder="0" applyAlignment="0" applyProtection="0"/>
    <xf numFmtId="176" fontId="18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166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72" fontId="51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172" fontId="5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172" fontId="5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15" fillId="0" borderId="0" applyFont="0" applyFill="0" applyBorder="0" applyAlignment="0" applyProtection="0"/>
    <xf numFmtId="0" fontId="188" fillId="20" borderId="8" applyNumberFormat="0" applyAlignment="0" applyProtection="0"/>
    <xf numFmtId="0" fontId="188" fillId="20" borderId="8" applyNumberFormat="0" applyAlignment="0" applyProtection="0"/>
    <xf numFmtId="0" fontId="188" fillId="20" borderId="8" applyNumberFormat="0" applyAlignment="0" applyProtection="0"/>
    <xf numFmtId="0" fontId="188" fillId="20" borderId="8" applyNumberFormat="0" applyAlignment="0" applyProtection="0"/>
    <xf numFmtId="0" fontId="188" fillId="20" borderId="8" applyNumberFormat="0" applyAlignment="0" applyProtection="0"/>
    <xf numFmtId="176" fontId="189" fillId="59" borderId="32" applyNumberFormat="0" applyAlignment="0" applyProtection="0"/>
    <xf numFmtId="176" fontId="189" fillId="59" borderId="32" applyNumberFormat="0" applyAlignment="0" applyProtection="0"/>
    <xf numFmtId="172" fontId="188" fillId="20" borderId="8" applyNumberFormat="0" applyAlignment="0" applyProtection="0"/>
    <xf numFmtId="172" fontId="188" fillId="20" borderId="8" applyNumberFormat="0" applyAlignment="0" applyProtection="0"/>
    <xf numFmtId="172" fontId="188" fillId="20" borderId="8" applyNumberFormat="0" applyAlignment="0" applyProtection="0"/>
    <xf numFmtId="172" fontId="188" fillId="20" borderId="8" applyNumberFormat="0" applyAlignment="0" applyProtection="0"/>
    <xf numFmtId="172" fontId="188" fillId="20" borderId="8" applyNumberFormat="0" applyAlignment="0" applyProtection="0"/>
    <xf numFmtId="0" fontId="188" fillId="20" borderId="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77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190" fillId="0" borderId="0"/>
    <xf numFmtId="0" fontId="190" fillId="0" borderId="42"/>
    <xf numFmtId="0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191" fillId="0" borderId="0" applyNumberFormat="0" applyFill="0" applyBorder="0" applyAlignment="0" applyProtection="0"/>
    <xf numFmtId="0" fontId="48" fillId="21" borderId="8" applyNumberFormat="0" applyAlignment="0" applyProtection="0"/>
    <xf numFmtId="0" fontId="48" fillId="21" borderId="8" applyNumberFormat="0" applyAlignment="0" applyProtection="0"/>
    <xf numFmtId="0" fontId="48" fillId="21" borderId="8" applyNumberFormat="0" applyAlignment="0" applyProtection="0"/>
    <xf numFmtId="0" fontId="48" fillId="21" borderId="8" applyNumberFormat="0" applyAlignment="0" applyProtection="0"/>
    <xf numFmtId="0" fontId="48" fillId="21" borderId="8" applyNumberFormat="0" applyAlignment="0" applyProtection="0"/>
    <xf numFmtId="176" fontId="192" fillId="58" borderId="32" applyNumberFormat="0" applyAlignment="0" applyProtection="0"/>
    <xf numFmtId="176" fontId="192" fillId="58" borderId="32" applyNumberFormat="0" applyAlignment="0" applyProtection="0"/>
    <xf numFmtId="172" fontId="48" fillId="21" borderId="8" applyNumberFormat="0" applyAlignment="0" applyProtection="0"/>
    <xf numFmtId="172" fontId="48" fillId="21" borderId="8" applyNumberFormat="0" applyAlignment="0" applyProtection="0"/>
    <xf numFmtId="172" fontId="48" fillId="21" borderId="8" applyNumberFormat="0" applyAlignment="0" applyProtection="0"/>
    <xf numFmtId="172" fontId="48" fillId="21" borderId="8" applyNumberFormat="0" applyAlignment="0" applyProtection="0"/>
    <xf numFmtId="172" fontId="48" fillId="21" borderId="8" applyNumberFormat="0" applyAlignment="0" applyProtection="0"/>
    <xf numFmtId="0" fontId="48" fillId="21" borderId="8" applyNumberFormat="0" applyAlignment="0" applyProtection="0"/>
    <xf numFmtId="0" fontId="193" fillId="42" borderId="42"/>
    <xf numFmtId="0" fontId="190" fillId="0" borderId="0"/>
    <xf numFmtId="0" fontId="190" fillId="0" borderId="0"/>
    <xf numFmtId="0" fontId="190" fillId="0" borderId="0"/>
    <xf numFmtId="0" fontId="190" fillId="0" borderId="0"/>
    <xf numFmtId="0" fontId="190" fillId="0" borderId="0"/>
    <xf numFmtId="0" fontId="190" fillId="0" borderId="0"/>
    <xf numFmtId="0" fontId="19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172" fontId="14" fillId="0" borderId="0"/>
    <xf numFmtId="172" fontId="14" fillId="0" borderId="0"/>
    <xf numFmtId="0" fontId="3" fillId="0" borderId="0"/>
    <xf numFmtId="172" fontId="14" fillId="0" borderId="0"/>
    <xf numFmtId="172" fontId="14" fillId="0" borderId="0"/>
    <xf numFmtId="172" fontId="14" fillId="0" borderId="0"/>
    <xf numFmtId="0" fontId="3" fillId="0" borderId="0"/>
    <xf numFmtId="0" fontId="14" fillId="0" borderId="0"/>
    <xf numFmtId="0" fontId="3" fillId="0" borderId="0"/>
    <xf numFmtId="172" fontId="14" fillId="0" borderId="0"/>
    <xf numFmtId="0" fontId="14" fillId="0" borderId="0"/>
    <xf numFmtId="172" fontId="14" fillId="0" borderId="0"/>
    <xf numFmtId="172" fontId="66" fillId="0" borderId="0"/>
    <xf numFmtId="172" fontId="66" fillId="0" borderId="0"/>
    <xf numFmtId="172" fontId="66" fillId="0" borderId="0"/>
    <xf numFmtId="172" fontId="66" fillId="0" borderId="0"/>
    <xf numFmtId="0" fontId="14" fillId="0" borderId="0"/>
    <xf numFmtId="37" fontId="77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19" borderId="20" applyNumberFormat="0" applyFont="0" applyAlignment="0" applyProtection="0"/>
    <xf numFmtId="0" fontId="194" fillId="19" borderId="20" applyNumberFormat="0" applyFont="0" applyAlignment="0" applyProtection="0"/>
    <xf numFmtId="0" fontId="33" fillId="19" borderId="20" applyNumberFormat="0" applyFont="0" applyAlignment="0" applyProtection="0"/>
    <xf numFmtId="0" fontId="194" fillId="19" borderId="20" applyNumberFormat="0" applyFont="0" applyAlignment="0" applyProtection="0"/>
    <xf numFmtId="0" fontId="194" fillId="19" borderId="20" applyNumberFormat="0" applyFont="0" applyAlignment="0" applyProtection="0"/>
    <xf numFmtId="0" fontId="194" fillId="19" borderId="20" applyNumberFormat="0" applyFont="0" applyAlignment="0" applyProtection="0"/>
    <xf numFmtId="0" fontId="194" fillId="19" borderId="20" applyNumberFormat="0" applyFont="0" applyAlignment="0" applyProtection="0"/>
    <xf numFmtId="176" fontId="194" fillId="2" borderId="3" applyNumberFormat="0" applyFont="0" applyAlignment="0" applyProtection="0"/>
    <xf numFmtId="0" fontId="194" fillId="19" borderId="20" applyNumberFormat="0" applyFont="0" applyAlignment="0" applyProtection="0"/>
    <xf numFmtId="4" fontId="57" fillId="41" borderId="0">
      <alignment horizontal="right"/>
    </xf>
    <xf numFmtId="4" fontId="57" fillId="41" borderId="0">
      <alignment horizontal="right"/>
    </xf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0" fillId="0" borderId="0"/>
    <xf numFmtId="0" fontId="190" fillId="0" borderId="42"/>
    <xf numFmtId="0" fontId="195" fillId="38" borderId="0"/>
    <xf numFmtId="0" fontId="14" fillId="0" borderId="30" applyNumberFormat="0" applyFont="0" applyFill="0" applyAlignment="0" applyProtection="0"/>
    <xf numFmtId="0" fontId="193" fillId="0" borderId="43"/>
    <xf numFmtId="0" fontId="193" fillId="0" borderId="42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8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172" fontId="18" fillId="73" borderId="0" applyNumberFormat="0" applyBorder="0" applyAlignment="0" applyProtection="0"/>
    <xf numFmtId="172" fontId="18" fillId="73" borderId="0" applyNumberFormat="0" applyBorder="0" applyAlignment="0" applyProtection="0"/>
    <xf numFmtId="172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8" fillId="1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172" fontId="18" fillId="24" borderId="0" applyNumberFormat="0" applyBorder="0" applyAlignment="0" applyProtection="0"/>
    <xf numFmtId="172" fontId="18" fillId="24" borderId="0" applyNumberFormat="0" applyBorder="0" applyAlignment="0" applyProtection="0"/>
    <xf numFmtId="172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8" fillId="1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172" fontId="18" fillId="40" borderId="0" applyNumberFormat="0" applyBorder="0" applyAlignment="0" applyProtection="0"/>
    <xf numFmtId="172" fontId="18" fillId="40" borderId="0" applyNumberFormat="0" applyBorder="0" applyAlignment="0" applyProtection="0"/>
    <xf numFmtId="172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8" fillId="21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9" borderId="0" applyNumberFormat="0" applyBorder="0" applyAlignment="0" applyProtection="0"/>
    <xf numFmtId="0" fontId="2" fillId="20" borderId="0" applyNumberFormat="0" applyBorder="0" applyAlignment="0" applyProtection="0"/>
    <xf numFmtId="0" fontId="2" fillId="9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9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9" borderId="0" applyNumberFormat="0" applyBorder="0" applyAlignment="0" applyProtection="0"/>
    <xf numFmtId="172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8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72" fontId="18" fillId="22" borderId="0" applyNumberFormat="0" applyBorder="0" applyAlignment="0" applyProtection="0"/>
    <xf numFmtId="172" fontId="18" fillId="22" borderId="0" applyNumberFormat="0" applyBorder="0" applyAlignment="0" applyProtection="0"/>
    <xf numFmtId="172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18" fillId="19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72" fontId="18" fillId="21" borderId="0" applyNumberFormat="0" applyBorder="0" applyAlignment="0" applyProtection="0"/>
    <xf numFmtId="172" fontId="18" fillId="21" borderId="0" applyNumberFormat="0" applyBorder="0" applyAlignment="0" applyProtection="0"/>
    <xf numFmtId="172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8" fillId="2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172" fontId="18" fillId="17" borderId="0" applyNumberFormat="0" applyBorder="0" applyAlignment="0" applyProtection="0"/>
    <xf numFmtId="172" fontId="18" fillId="17" borderId="0" applyNumberFormat="0" applyBorder="0" applyAlignment="0" applyProtection="0"/>
    <xf numFmtId="172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8" fillId="18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172" fontId="18" fillId="18" borderId="0" applyNumberFormat="0" applyBorder="0" applyAlignment="0" applyProtection="0"/>
    <xf numFmtId="172" fontId="18" fillId="18" borderId="0" applyNumberFormat="0" applyBorder="0" applyAlignment="0" applyProtection="0"/>
    <xf numFmtId="172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8" fillId="23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172" fontId="18" fillId="39" borderId="0" applyNumberFormat="0" applyBorder="0" applyAlignment="0" applyProtection="0"/>
    <xf numFmtId="172" fontId="18" fillId="39" borderId="0" applyNumberFormat="0" applyBorder="0" applyAlignment="0" applyProtection="0"/>
    <xf numFmtId="172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8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72" fontId="18" fillId="34" borderId="0" applyNumberFormat="0" applyBorder="0" applyAlignment="0" applyProtection="0"/>
    <xf numFmtId="172" fontId="18" fillId="34" borderId="0" applyNumberFormat="0" applyBorder="0" applyAlignment="0" applyProtection="0"/>
    <xf numFmtId="172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8" fillId="2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172" fontId="18" fillId="17" borderId="0" applyNumberFormat="0" applyBorder="0" applyAlignment="0" applyProtection="0"/>
    <xf numFmtId="172" fontId="18" fillId="17" borderId="0" applyNumberFormat="0" applyBorder="0" applyAlignment="0" applyProtection="0"/>
    <xf numFmtId="172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18" fillId="19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72" fontId="18" fillId="27" borderId="0" applyNumberFormat="0" applyBorder="0" applyAlignment="0" applyProtection="0"/>
    <xf numFmtId="172" fontId="18" fillId="27" borderId="0" applyNumberFormat="0" applyBorder="0" applyAlignment="0" applyProtection="0"/>
    <xf numFmtId="172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20" fillId="74" borderId="0" applyNumberFormat="0" applyBorder="0" applyAlignment="0" applyProtection="0"/>
    <xf numFmtId="0" fontId="20" fillId="18" borderId="0" applyNumberFormat="0" applyBorder="0" applyAlignment="0" applyProtection="0"/>
    <xf numFmtId="0" fontId="20" fillId="39" borderId="0" applyNumberFormat="0" applyBorder="0" applyAlignment="0" applyProtection="0"/>
    <xf numFmtId="0" fontId="20" fillId="75" borderId="0" applyNumberFormat="0" applyBorder="0" applyAlignment="0" applyProtection="0"/>
    <xf numFmtId="0" fontId="20" fillId="30" borderId="0" applyNumberFormat="0" applyBorder="0" applyAlignment="0" applyProtection="0"/>
    <xf numFmtId="0" fontId="20" fillId="49" borderId="0" applyNumberFormat="0" applyBorder="0" applyAlignment="0" applyProtection="0"/>
    <xf numFmtId="0" fontId="20" fillId="76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75" borderId="0" applyNumberFormat="0" applyBorder="0" applyAlignment="0" applyProtection="0"/>
    <xf numFmtId="0" fontId="144" fillId="69" borderId="0" applyNumberFormat="0" applyBorder="0" applyAlignment="0" applyProtection="0"/>
    <xf numFmtId="0" fontId="20" fillId="26" borderId="0" applyNumberFormat="0" applyBorder="0" applyAlignment="0" applyProtection="0"/>
    <xf numFmtId="0" fontId="22" fillId="24" borderId="0" applyNumberFormat="0" applyBorder="0" applyAlignment="0" applyProtection="0"/>
    <xf numFmtId="0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6" fontId="189" fillId="59" borderId="32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6" fontId="189" fillId="59" borderId="32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98" fillId="59" borderId="32" applyNumberFormat="0" applyAlignment="0" applyProtection="0"/>
    <xf numFmtId="0" fontId="198" fillId="59" borderId="32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2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2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2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2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2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88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41" fillId="60" borderId="35" applyNumberFormat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77" borderId="0"/>
    <xf numFmtId="3" fontId="14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4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0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0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0" fillId="0" borderId="0" applyFont="0" applyFill="0" applyBorder="0" applyAlignment="0" applyProtection="0"/>
    <xf numFmtId="44" fontId="200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40" fillId="40" borderId="0" applyNumberFormat="0" applyBorder="0" applyAlignment="0" applyProtection="0"/>
    <xf numFmtId="0" fontId="191" fillId="0" borderId="0" applyNumberFormat="0" applyFill="0" applyBorder="0" applyAlignment="0" applyProtection="0"/>
    <xf numFmtId="164" fontId="201" fillId="0" borderId="0" applyNumberFormat="0" applyFont="0" applyFill="0" applyAlignment="0" applyProtection="0"/>
    <xf numFmtId="0" fontId="159" fillId="0" borderId="36" applyNumberFormat="0" applyFill="0" applyAlignment="0" applyProtection="0"/>
    <xf numFmtId="0" fontId="83" fillId="0" borderId="0" applyNumberFormat="0" applyFill="0" applyBorder="0" applyAlignment="0" applyProtection="0"/>
    <xf numFmtId="164" fontId="38" fillId="0" borderId="0" applyNumberFormat="0" applyFont="0" applyFill="0" applyAlignment="0" applyProtection="0"/>
    <xf numFmtId="0" fontId="162" fillId="0" borderId="37" applyNumberFormat="0" applyFill="0" applyAlignment="0" applyProtection="0"/>
    <xf numFmtId="0" fontId="165" fillId="0" borderId="38" applyNumberFormat="0" applyFill="0" applyAlignment="0" applyProtection="0"/>
    <xf numFmtId="0" fontId="165" fillId="0" borderId="0" applyNumberFormat="0" applyFill="0" applyBorder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6" fontId="192" fillId="58" borderId="32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6" fontId="192" fillId="58" borderId="32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197" fillId="58" borderId="32" applyNumberFormat="0" applyAlignment="0" applyProtection="0"/>
    <xf numFmtId="0" fontId="197" fillId="58" borderId="32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2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2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2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2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2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169" fillId="0" borderId="19" applyNumberFormat="0" applyFill="0" applyAlignment="0" applyProtection="0"/>
    <xf numFmtId="0" fontId="172" fillId="23" borderId="0" applyNumberFormat="0" applyBorder="0" applyAlignment="0" applyProtection="0"/>
    <xf numFmtId="0" fontId="190" fillId="0" borderId="0"/>
    <xf numFmtId="0" fontId="14" fillId="0" borderId="0"/>
    <xf numFmtId="172" fontId="14" fillId="0" borderId="0"/>
    <xf numFmtId="172" fontId="14" fillId="0" borderId="0"/>
    <xf numFmtId="172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14" fillId="0" borderId="0"/>
    <xf numFmtId="172" fontId="14" fillId="0" borderId="0"/>
    <xf numFmtId="0" fontId="200" fillId="0" borderId="0"/>
    <xf numFmtId="0" fontId="200" fillId="0" borderId="0"/>
    <xf numFmtId="0" fontId="200" fillId="0" borderId="0"/>
    <xf numFmtId="164" fontId="14" fillId="0" borderId="0"/>
    <xf numFmtId="0" fontId="200" fillId="0" borderId="0"/>
    <xf numFmtId="41" fontId="33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0"/>
    <xf numFmtId="0" fontId="200" fillId="0" borderId="0"/>
    <xf numFmtId="0" fontId="20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37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0"/>
    <xf numFmtId="0" fontId="200" fillId="0" borderId="0"/>
    <xf numFmtId="0" fontId="2" fillId="0" borderId="0"/>
    <xf numFmtId="37" fontId="77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14" fillId="0" borderId="0"/>
    <xf numFmtId="176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172" fontId="14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6" fontId="19" fillId="0" borderId="0"/>
    <xf numFmtId="0" fontId="2" fillId="0" borderId="0"/>
    <xf numFmtId="0" fontId="2" fillId="0" borderId="0"/>
    <xf numFmtId="0" fontId="2" fillId="0" borderId="0"/>
    <xf numFmtId="172" fontId="14" fillId="0" borderId="0"/>
    <xf numFmtId="176" fontId="19" fillId="0" borderId="0"/>
    <xf numFmtId="0" fontId="2" fillId="0" borderId="0"/>
    <xf numFmtId="0" fontId="2" fillId="0" borderId="0"/>
    <xf numFmtId="0" fontId="2" fillId="0" borderId="0"/>
    <xf numFmtId="176" fontId="19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0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172" fontId="14" fillId="0" borderId="0"/>
    <xf numFmtId="172" fontId="14" fillId="0" borderId="0"/>
    <xf numFmtId="172" fontId="14" fillId="0" borderId="0"/>
    <xf numFmtId="0" fontId="14" fillId="0" borderId="0"/>
    <xf numFmtId="172" fontId="14" fillId="0" borderId="0"/>
    <xf numFmtId="176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77" fillId="0" borderId="0"/>
    <xf numFmtId="37" fontId="77" fillId="0" borderId="0"/>
    <xf numFmtId="0" fontId="14" fillId="0" borderId="0"/>
    <xf numFmtId="0" fontId="14" fillId="0" borderId="0"/>
    <xf numFmtId="0" fontId="200" fillId="0" borderId="0"/>
    <xf numFmtId="0" fontId="200" fillId="0" borderId="0"/>
    <xf numFmtId="0" fontId="200" fillId="0" borderId="0"/>
    <xf numFmtId="37" fontId="77" fillId="0" borderId="0"/>
    <xf numFmtId="172" fontId="14" fillId="0" borderId="0"/>
    <xf numFmtId="172" fontId="14" fillId="0" borderId="0"/>
    <xf numFmtId="172" fontId="14" fillId="0" borderId="0"/>
    <xf numFmtId="176" fontId="19" fillId="0" borderId="0"/>
    <xf numFmtId="172" fontId="14" fillId="0" borderId="0"/>
    <xf numFmtId="176" fontId="19" fillId="0" borderId="0"/>
    <xf numFmtId="0" fontId="2" fillId="0" borderId="0"/>
    <xf numFmtId="0" fontId="2" fillId="0" borderId="0"/>
    <xf numFmtId="0" fontId="14" fillId="0" borderId="0"/>
    <xf numFmtId="0" fontId="2" fillId="0" borderId="0"/>
    <xf numFmtId="37" fontId="77" fillId="0" borderId="0"/>
    <xf numFmtId="37" fontId="77" fillId="0" borderId="0"/>
    <xf numFmtId="0" fontId="9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14" fillId="0" borderId="0"/>
    <xf numFmtId="172" fontId="14" fillId="0" borderId="0"/>
    <xf numFmtId="172" fontId="14" fillId="0" borderId="0"/>
    <xf numFmtId="176" fontId="19" fillId="0" borderId="0"/>
    <xf numFmtId="172" fontId="14" fillId="0" borderId="0"/>
    <xf numFmtId="176" fontId="19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194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194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194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14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176" fontId="194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33" fillId="19" borderId="20" applyNumberFormat="0" applyFont="0" applyAlignment="0" applyProtection="0"/>
    <xf numFmtId="0" fontId="36" fillId="19" borderId="20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33" fillId="19" borderId="20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2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194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194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194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194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194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194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56" fillId="20" borderId="21" applyNumberFormat="0" applyAlignment="0" applyProtection="0"/>
    <xf numFmtId="0" fontId="139" fillId="59" borderId="33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139" fillId="59" borderId="33" applyNumberFormat="0" applyAlignment="0" applyProtection="0"/>
    <xf numFmtId="4" fontId="57" fillId="41" borderId="0">
      <alignment horizontal="right"/>
    </xf>
    <xf numFmtId="40" fontId="58" fillId="41" borderId="0">
      <alignment horizontal="right"/>
    </xf>
    <xf numFmtId="171" fontId="57" fillId="35" borderId="0">
      <alignment horizontal="right"/>
    </xf>
    <xf numFmtId="40" fontId="58" fillId="41" borderId="0">
      <alignment horizontal="right"/>
    </xf>
    <xf numFmtId="4" fontId="57" fillId="41" borderId="0">
      <alignment horizontal="right"/>
    </xf>
    <xf numFmtId="40" fontId="58" fillId="41" borderId="0">
      <alignment horizontal="right"/>
    </xf>
    <xf numFmtId="40" fontId="58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0" fontId="59" fillId="42" borderId="0">
      <alignment horizontal="center"/>
    </xf>
    <xf numFmtId="164" fontId="59" fillId="42" borderId="0">
      <alignment horizontal="center"/>
    </xf>
    <xf numFmtId="0" fontId="59" fillId="41" borderId="0">
      <alignment horizontal="center" vertical="center"/>
    </xf>
    <xf numFmtId="0" fontId="59" fillId="42" borderId="0">
      <alignment horizontal="center"/>
    </xf>
    <xf numFmtId="0" fontId="60" fillId="41" borderId="0">
      <alignment horizontal="right"/>
    </xf>
    <xf numFmtId="0" fontId="60" fillId="41" borderId="0">
      <alignment horizontal="right"/>
    </xf>
    <xf numFmtId="0" fontId="60" fillId="41" borderId="0">
      <alignment horizontal="right"/>
    </xf>
    <xf numFmtId="0" fontId="60" fillId="41" borderId="0">
      <alignment horizontal="right"/>
    </xf>
    <xf numFmtId="0" fontId="60" fillId="41" borderId="0">
      <alignment horizontal="right"/>
    </xf>
    <xf numFmtId="164" fontId="59" fillId="42" borderId="0">
      <alignment horizontal="center"/>
    </xf>
    <xf numFmtId="0" fontId="60" fillId="41" borderId="0">
      <alignment horizontal="right"/>
    </xf>
    <xf numFmtId="0" fontId="60" fillId="41" borderId="0">
      <alignment horizontal="right"/>
    </xf>
    <xf numFmtId="0" fontId="59" fillId="41" borderId="0">
      <alignment horizontal="center" vertical="center"/>
    </xf>
    <xf numFmtId="0" fontId="59" fillId="41" borderId="0">
      <alignment horizontal="center" vertical="center"/>
    </xf>
    <xf numFmtId="0" fontId="27" fillId="43" borderId="0"/>
    <xf numFmtId="164" fontId="27" fillId="43" borderId="0"/>
    <xf numFmtId="0" fontId="50" fillId="41" borderId="10"/>
    <xf numFmtId="0" fontId="50" fillId="41" borderId="10"/>
    <xf numFmtId="0" fontId="27" fillId="43" borderId="0"/>
    <xf numFmtId="0" fontId="61" fillId="41" borderId="10"/>
    <xf numFmtId="0" fontId="61" fillId="41" borderId="10"/>
    <xf numFmtId="0" fontId="61" fillId="41" borderId="10"/>
    <xf numFmtId="0" fontId="61" fillId="41" borderId="10"/>
    <xf numFmtId="0" fontId="61" fillId="41" borderId="10"/>
    <xf numFmtId="172" fontId="61" fillId="41" borderId="10"/>
    <xf numFmtId="0" fontId="61" fillId="41" borderId="10"/>
    <xf numFmtId="0" fontId="61" fillId="41" borderId="10"/>
    <xf numFmtId="0" fontId="62" fillId="35" borderId="0" applyBorder="0">
      <alignment horizontal="centerContinuous"/>
    </xf>
    <xf numFmtId="164" fontId="62" fillId="35" borderId="0" applyBorder="0">
      <alignment horizontal="centerContinuous"/>
    </xf>
    <xf numFmtId="0" fontId="59" fillId="41" borderId="0" applyBorder="0">
      <alignment horizontal="centerContinuous"/>
    </xf>
    <xf numFmtId="0" fontId="62" fillId="35" borderId="0" applyBorder="0">
      <alignment horizontal="centerContinuous"/>
    </xf>
    <xf numFmtId="0" fontId="61" fillId="0" borderId="0" applyBorder="0">
      <alignment horizontal="centerContinuous"/>
    </xf>
    <xf numFmtId="0" fontId="61" fillId="0" borderId="0" applyBorder="0">
      <alignment horizontal="centerContinuous"/>
    </xf>
    <xf numFmtId="0" fontId="61" fillId="0" borderId="0" applyBorder="0">
      <alignment horizontal="centerContinuous"/>
    </xf>
    <xf numFmtId="0" fontId="61" fillId="0" borderId="0" applyBorder="0">
      <alignment horizontal="centerContinuous"/>
    </xf>
    <xf numFmtId="0" fontId="61" fillId="0" borderId="0" applyBorder="0">
      <alignment horizontal="centerContinuous"/>
    </xf>
    <xf numFmtId="164" fontId="62" fillId="35" borderId="0" applyBorder="0">
      <alignment horizontal="centerContinuous"/>
    </xf>
    <xf numFmtId="0" fontId="61" fillId="0" borderId="0" applyBorder="0">
      <alignment horizontal="centerContinuous"/>
    </xf>
    <xf numFmtId="0" fontId="61" fillId="0" borderId="0" applyBorder="0">
      <alignment horizontal="centerContinuous"/>
    </xf>
    <xf numFmtId="0" fontId="59" fillId="41" borderId="0" applyBorder="0">
      <alignment horizontal="centerContinuous"/>
    </xf>
    <xf numFmtId="0" fontId="59" fillId="41" borderId="0" applyBorder="0">
      <alignment horizontal="centerContinuous"/>
    </xf>
    <xf numFmtId="0" fontId="63" fillId="43" borderId="0" applyBorder="0">
      <alignment horizontal="centerContinuous"/>
    </xf>
    <xf numFmtId="164" fontId="63" fillId="43" borderId="0" applyBorder="0">
      <alignment horizontal="centerContinuous"/>
    </xf>
    <xf numFmtId="0" fontId="202" fillId="43" borderId="0" applyBorder="0">
      <alignment horizontal="centerContinuous"/>
    </xf>
    <xf numFmtId="0" fontId="65" fillId="41" borderId="0" applyBorder="0">
      <alignment horizontal="centerContinuous"/>
    </xf>
    <xf numFmtId="0" fontId="63" fillId="43" borderId="0" applyBorder="0">
      <alignment horizontal="centerContinuous"/>
    </xf>
    <xf numFmtId="0" fontId="64" fillId="0" borderId="0" applyBorder="0">
      <alignment horizontal="centerContinuous"/>
    </xf>
    <xf numFmtId="0" fontId="64" fillId="0" borderId="0" applyBorder="0">
      <alignment horizontal="centerContinuous"/>
    </xf>
    <xf numFmtId="0" fontId="64" fillId="0" borderId="0" applyBorder="0">
      <alignment horizontal="centerContinuous"/>
    </xf>
    <xf numFmtId="0" fontId="64" fillId="0" borderId="0" applyBorder="0">
      <alignment horizontal="centerContinuous"/>
    </xf>
    <xf numFmtId="0" fontId="64" fillId="0" borderId="0" applyBorder="0">
      <alignment horizontal="centerContinuous"/>
    </xf>
    <xf numFmtId="164" fontId="63" fillId="43" borderId="0" applyBorder="0">
      <alignment horizontal="centerContinuous"/>
    </xf>
    <xf numFmtId="0" fontId="64" fillId="0" borderId="0" applyBorder="0">
      <alignment horizontal="centerContinuous"/>
    </xf>
    <xf numFmtId="0" fontId="64" fillId="0" borderId="0" applyBorder="0">
      <alignment horizontal="centerContinuous"/>
    </xf>
    <xf numFmtId="0" fontId="65" fillId="41" borderId="0" applyBorder="0">
      <alignment horizontal="centerContinuous"/>
    </xf>
    <xf numFmtId="0" fontId="65" fillId="41" borderId="0" applyBorder="0">
      <alignment horizontal="centerContinuous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0" fillId="0" borderId="0" applyFont="0" applyFill="0" applyBorder="0" applyAlignment="0" applyProtection="0"/>
    <xf numFmtId="9" fontId="20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7" fontId="203" fillId="78" borderId="44">
      <alignment horizontal="left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200" fontId="204" fillId="0" borderId="45" applyNumberFormat="0" applyProtection="0">
      <alignment horizontal="right" vertical="center"/>
    </xf>
    <xf numFmtId="200" fontId="205" fillId="0" borderId="46" applyNumberFormat="0" applyProtection="0">
      <alignment horizontal="right" vertical="center"/>
    </xf>
    <xf numFmtId="0" fontId="205" fillId="79" borderId="47" applyNumberFormat="0" applyAlignment="0" applyProtection="0">
      <alignment horizontal="left" vertical="center" indent="1"/>
    </xf>
    <xf numFmtId="0" fontId="206" fillId="0" borderId="48" applyNumberFormat="0" applyFill="0" applyBorder="0" applyAlignment="0" applyProtection="0"/>
    <xf numFmtId="0" fontId="207" fillId="80" borderId="47" applyNumberFormat="0" applyAlignment="0" applyProtection="0">
      <alignment horizontal="left" vertical="center" indent="1"/>
    </xf>
    <xf numFmtId="0" fontId="207" fillId="81" borderId="47" applyNumberFormat="0" applyAlignment="0" applyProtection="0">
      <alignment horizontal="left" vertical="center" indent="1"/>
    </xf>
    <xf numFmtId="0" fontId="207" fillId="82" borderId="47" applyNumberFormat="0" applyAlignment="0" applyProtection="0">
      <alignment horizontal="left" vertical="center" indent="1"/>
    </xf>
    <xf numFmtId="0" fontId="207" fillId="83" borderId="47" applyNumberFormat="0" applyAlignment="0" applyProtection="0">
      <alignment horizontal="left" vertical="center" indent="1"/>
    </xf>
    <xf numFmtId="0" fontId="207" fillId="84" borderId="46" applyNumberFormat="0" applyAlignment="0" applyProtection="0">
      <alignment horizontal="left" vertical="center" indent="1"/>
    </xf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200" fontId="204" fillId="85" borderId="47" applyNumberFormat="0" applyAlignment="0" applyProtection="0">
      <alignment horizontal="left" vertical="center" indent="1"/>
    </xf>
    <xf numFmtId="0" fontId="205" fillId="79" borderId="46" applyNumberFormat="0" applyAlignment="0" applyProtection="0">
      <alignment horizontal="left" vertical="center" indent="1"/>
    </xf>
    <xf numFmtId="0" fontId="17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4" fillId="0" borderId="30" applyNumberFormat="0" applyFont="0" applyFill="0" applyAlignment="0" applyProtection="0"/>
    <xf numFmtId="164" fontId="12" fillId="0" borderId="49" applyNumberFormat="0" applyFont="0" applyBorder="0" applyAlignment="0" applyProtection="0"/>
    <xf numFmtId="0" fontId="76" fillId="0" borderId="41" applyNumberFormat="0" applyFill="0" applyAlignment="0" applyProtection="0"/>
    <xf numFmtId="0" fontId="14" fillId="0" borderId="30" applyNumberFormat="0" applyFont="0" applyFill="0" applyAlignment="0" applyProtection="0"/>
    <xf numFmtId="0" fontId="14" fillId="0" borderId="30" applyNumberFormat="0" applyFon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142" fillId="0" borderId="0" applyNumberFormat="0" applyFill="0" applyBorder="0" applyAlignment="0" applyProtection="0"/>
    <xf numFmtId="43" fontId="208" fillId="0" borderId="0" applyFont="0" applyFill="0" applyBorder="0" applyAlignment="0" applyProtection="0"/>
  </cellStyleXfs>
  <cellXfs count="505">
    <xf numFmtId="37" fontId="0" fillId="0" borderId="0" xfId="0"/>
    <xf numFmtId="164" fontId="12" fillId="0" borderId="0" xfId="0" applyNumberFormat="1" applyFont="1" applyFill="1" applyProtection="1">
      <protection locked="0"/>
    </xf>
    <xf numFmtId="164" fontId="14" fillId="0" borderId="0" xfId="0" applyNumberFormat="1" applyFont="1"/>
    <xf numFmtId="165" fontId="14" fillId="0" borderId="0" xfId="0" applyNumberFormat="1" applyFont="1" applyAlignment="1">
      <alignment horizontal="center"/>
    </xf>
    <xf numFmtId="49" fontId="16" fillId="0" borderId="0" xfId="1" applyNumberFormat="1" applyFont="1" applyAlignment="1">
      <alignment horizontal="center" wrapText="1"/>
    </xf>
    <xf numFmtId="49" fontId="15" fillId="0" borderId="0" xfId="1" applyNumberFormat="1" applyFont="1" applyAlignment="1">
      <alignment horizontal="center" wrapText="1"/>
    </xf>
    <xf numFmtId="0" fontId="14" fillId="0" borderId="0" xfId="0" applyNumberFormat="1" applyFont="1" applyFill="1"/>
    <xf numFmtId="43" fontId="13" fillId="0" borderId="0" xfId="2" applyFont="1" applyFill="1" applyAlignment="1">
      <alignment horizontal="center"/>
    </xf>
    <xf numFmtId="43" fontId="14" fillId="0" borderId="0" xfId="2" applyFont="1" applyFill="1"/>
    <xf numFmtId="0" fontId="13" fillId="0" borderId="0" xfId="0" applyNumberFormat="1" applyFont="1" applyFill="1"/>
    <xf numFmtId="164" fontId="14" fillId="0" borderId="0" xfId="0" applyNumberFormat="1" applyFont="1" applyFill="1"/>
    <xf numFmtId="43" fontId="13" fillId="0" borderId="5" xfId="2" applyFont="1" applyFill="1" applyBorder="1" applyAlignment="1">
      <alignment horizontal="center"/>
    </xf>
    <xf numFmtId="43" fontId="13" fillId="0" borderId="0" xfId="2" applyFont="1" applyFill="1" applyBorder="1" applyAlignment="1">
      <alignment horizontal="center"/>
    </xf>
    <xf numFmtId="43" fontId="14" fillId="0" borderId="0" xfId="0" applyNumberFormat="1" applyFont="1" applyFill="1"/>
    <xf numFmtId="0" fontId="14" fillId="0" borderId="0" xfId="0" applyNumberFormat="1" applyFont="1" applyFill="1" applyBorder="1"/>
    <xf numFmtId="43" fontId="14" fillId="0" borderId="0" xfId="0" applyNumberFormat="1" applyFont="1" applyFill="1" applyBorder="1"/>
    <xf numFmtId="43" fontId="14" fillId="0" borderId="0" xfId="2" applyFont="1" applyFill="1" applyBorder="1"/>
    <xf numFmtId="43" fontId="14" fillId="0" borderId="0" xfId="2" applyFont="1"/>
    <xf numFmtId="164" fontId="13" fillId="0" borderId="0" xfId="0" applyNumberFormat="1" applyFont="1" applyBorder="1"/>
    <xf numFmtId="164" fontId="14" fillId="0" borderId="0" xfId="0" applyNumberFormat="1" applyFont="1" applyBorder="1"/>
    <xf numFmtId="0" fontId="14" fillId="0" borderId="0" xfId="0" applyNumberFormat="1" applyFont="1"/>
    <xf numFmtId="44" fontId="14" fillId="0" borderId="0" xfId="3" applyFont="1"/>
    <xf numFmtId="43" fontId="14" fillId="0" borderId="0" xfId="0" applyNumberFormat="1" applyFont="1"/>
    <xf numFmtId="43" fontId="14" fillId="0" borderId="0" xfId="3236"/>
    <xf numFmtId="43" fontId="13" fillId="0" borderId="0" xfId="3236" applyFont="1" applyBorder="1" applyAlignment="1">
      <alignment horizontal="center"/>
    </xf>
    <xf numFmtId="43" fontId="14" fillId="0" borderId="0" xfId="3236" applyBorder="1"/>
    <xf numFmtId="43" fontId="14" fillId="0" borderId="6" xfId="3236" applyBorder="1"/>
    <xf numFmtId="0" fontId="14" fillId="0" borderId="0" xfId="8207" applyFont="1"/>
    <xf numFmtId="43" fontId="14" fillId="0" borderId="0" xfId="3236" applyFont="1"/>
    <xf numFmtId="43" fontId="14" fillId="0" borderId="5" xfId="3236" applyBorder="1"/>
    <xf numFmtId="43" fontId="14" fillId="0" borderId="7" xfId="3236" applyBorder="1"/>
    <xf numFmtId="0" fontId="14" fillId="0" borderId="0" xfId="8667" applyFont="1" applyFill="1" applyBorder="1" applyAlignment="1">
      <alignment horizontal="left"/>
    </xf>
    <xf numFmtId="0" fontId="81" fillId="0" borderId="0" xfId="8667" applyFont="1" applyFill="1" applyBorder="1" applyAlignment="1">
      <alignment horizontal="left"/>
    </xf>
    <xf numFmtId="0" fontId="81" fillId="0" borderId="0" xfId="8667" applyFont="1" applyFill="1" applyBorder="1" applyAlignment="1">
      <alignment horizontal="left" vertical="top"/>
    </xf>
    <xf numFmtId="174" fontId="81" fillId="0" borderId="0" xfId="8667" applyNumberFormat="1" applyFont="1" applyFill="1" applyBorder="1" applyAlignment="1">
      <alignment horizontal="center" wrapText="1"/>
    </xf>
    <xf numFmtId="0" fontId="14" fillId="0" borderId="0" xfId="8667" applyFont="1" applyFill="1" applyBorder="1" applyAlignment="1">
      <alignment horizontal="center" wrapText="1"/>
    </xf>
    <xf numFmtId="173" fontId="81" fillId="0" borderId="0" xfId="8668" applyNumberFormat="1" applyFont="1" applyFill="1" applyBorder="1" applyAlignment="1">
      <alignment horizontal="right" vertical="top" wrapText="1"/>
    </xf>
    <xf numFmtId="0" fontId="81" fillId="0" borderId="0" xfId="8667" applyFont="1" applyFill="1" applyBorder="1" applyAlignment="1">
      <alignment horizontal="center" wrapText="1"/>
    </xf>
    <xf numFmtId="0" fontId="81" fillId="0" borderId="0" xfId="8667" applyFont="1" applyFill="1" applyBorder="1" applyAlignment="1">
      <alignment horizontal="right"/>
    </xf>
    <xf numFmtId="0" fontId="14" fillId="0" borderId="0" xfId="8667" applyFont="1" applyFill="1" applyBorder="1" applyAlignment="1">
      <alignment horizontal="right"/>
    </xf>
    <xf numFmtId="0" fontId="14" fillId="0" borderId="6" xfId="8667" applyFont="1" applyFill="1" applyBorder="1" applyAlignment="1">
      <alignment horizontal="center" wrapText="1"/>
    </xf>
    <xf numFmtId="173" fontId="81" fillId="0" borderId="0" xfId="8668" applyNumberFormat="1" applyFont="1" applyFill="1" applyBorder="1" applyAlignment="1">
      <alignment horizontal="right" vertical="center" wrapText="1"/>
    </xf>
    <xf numFmtId="0" fontId="14" fillId="0" borderId="0" xfId="8667" applyFont="1" applyFill="1" applyBorder="1" applyAlignment="1">
      <alignment horizontal="left" wrapText="1"/>
    </xf>
    <xf numFmtId="0" fontId="14" fillId="0" borderId="6" xfId="8667" applyFont="1" applyFill="1" applyBorder="1" applyAlignment="1">
      <alignment horizontal="left" wrapText="1"/>
    </xf>
    <xf numFmtId="0" fontId="81" fillId="0" borderId="6" xfId="8667" applyFont="1" applyFill="1" applyBorder="1" applyAlignment="1">
      <alignment horizontal="center" wrapText="1"/>
    </xf>
    <xf numFmtId="0" fontId="14" fillId="0" borderId="6" xfId="8667" applyFont="1" applyFill="1" applyBorder="1" applyAlignment="1">
      <alignment horizontal="left" vertical="center" wrapText="1"/>
    </xf>
    <xf numFmtId="173" fontId="81" fillId="0" borderId="6" xfId="8668" applyNumberFormat="1" applyFont="1" applyFill="1" applyBorder="1" applyAlignment="1">
      <alignment horizontal="center" vertical="center" wrapText="1"/>
    </xf>
    <xf numFmtId="49" fontId="14" fillId="0" borderId="0" xfId="8667" applyNumberFormat="1" applyFont="1" applyFill="1" applyBorder="1" applyAlignment="1">
      <alignment horizontal="center"/>
    </xf>
    <xf numFmtId="49" fontId="14" fillId="0" borderId="0" xfId="8667" applyNumberFormat="1" applyFont="1" applyFill="1" applyBorder="1" applyAlignment="1">
      <alignment horizontal="center"/>
    </xf>
    <xf numFmtId="0" fontId="71" fillId="0" borderId="0" xfId="8667" applyFont="1" applyFill="1" applyBorder="1" applyAlignment="1">
      <alignment horizontal="left" vertical="center" wrapText="1"/>
    </xf>
    <xf numFmtId="173" fontId="81" fillId="0" borderId="0" xfId="8668" applyNumberFormat="1" applyFont="1" applyFill="1" applyBorder="1" applyAlignment="1">
      <alignment horizontal="right" wrapText="1"/>
    </xf>
    <xf numFmtId="173" fontId="13" fillId="0" borderId="0" xfId="8668" applyNumberFormat="1" applyFont="1" applyFill="1" applyBorder="1" applyAlignment="1">
      <alignment horizontal="right" wrapText="1"/>
    </xf>
    <xf numFmtId="173" fontId="14" fillId="0" borderId="0" xfId="8668" applyNumberFormat="1" applyFont="1" applyFill="1" applyBorder="1" applyAlignment="1">
      <alignment horizontal="right" wrapText="1"/>
    </xf>
    <xf numFmtId="173" fontId="14" fillId="0" borderId="5" xfId="8668" applyNumberFormat="1" applyFont="1" applyFill="1" applyBorder="1" applyAlignment="1">
      <alignment horizontal="right" wrapText="1"/>
    </xf>
    <xf numFmtId="0" fontId="71" fillId="0" borderId="0" xfId="8207" applyFont="1" applyAlignment="1">
      <alignment vertical="center"/>
    </xf>
    <xf numFmtId="49" fontId="14" fillId="0" borderId="0" xfId="8667" applyNumberFormat="1" applyFont="1" applyFill="1" applyBorder="1" applyAlignment="1">
      <alignment horizontal="center"/>
    </xf>
    <xf numFmtId="173" fontId="81" fillId="0" borderId="0" xfId="8667" applyNumberFormat="1" applyFont="1" applyFill="1" applyBorder="1" applyAlignment="1">
      <alignment horizontal="left" vertical="top"/>
    </xf>
    <xf numFmtId="173" fontId="81" fillId="0" borderId="27" xfId="8668" applyNumberFormat="1" applyFont="1" applyFill="1" applyBorder="1" applyAlignment="1">
      <alignment horizontal="right" wrapText="1"/>
    </xf>
    <xf numFmtId="173" fontId="81" fillId="0" borderId="0" xfId="8668" applyNumberFormat="1" applyFont="1" applyFill="1" applyBorder="1" applyAlignment="1">
      <alignment horizontal="center" vertical="center" wrapText="1"/>
    </xf>
    <xf numFmtId="0" fontId="81" fillId="0" borderId="6" xfId="8667" applyFont="1" applyFill="1" applyBorder="1" applyAlignment="1">
      <alignment horizontal="left"/>
    </xf>
    <xf numFmtId="0" fontId="81" fillId="0" borderId="6" xfId="8667" applyFont="1" applyFill="1" applyBorder="1" applyAlignment="1">
      <alignment horizontal="center"/>
    </xf>
    <xf numFmtId="0" fontId="14" fillId="0" borderId="5" xfId="8667" applyFont="1" applyFill="1" applyBorder="1" applyAlignment="1">
      <alignment horizontal="center" wrapText="1"/>
    </xf>
    <xf numFmtId="175" fontId="81" fillId="0" borderId="0" xfId="8669" applyNumberFormat="1" applyFont="1" applyFill="1" applyBorder="1" applyAlignment="1">
      <alignment horizontal="right" wrapText="1"/>
    </xf>
    <xf numFmtId="173" fontId="81" fillId="0" borderId="5" xfId="8668" applyNumberFormat="1" applyFont="1" applyFill="1" applyBorder="1" applyAlignment="1">
      <alignment horizontal="right" wrapText="1"/>
    </xf>
    <xf numFmtId="0" fontId="14" fillId="0" borderId="0" xfId="8667" applyFont="1" applyFill="1" applyBorder="1" applyAlignment="1">
      <alignment horizontal="left" vertical="center" wrapText="1"/>
    </xf>
    <xf numFmtId="175" fontId="81" fillId="0" borderId="0" xfId="8669" applyNumberFormat="1" applyFont="1" applyFill="1" applyBorder="1" applyAlignment="1">
      <alignment horizontal="right" vertical="top" wrapText="1"/>
    </xf>
    <xf numFmtId="175" fontId="14" fillId="0" borderId="0" xfId="8669" applyNumberFormat="1" applyFont="1" applyFill="1" applyBorder="1" applyAlignment="1">
      <alignment horizontal="right" wrapText="1"/>
    </xf>
    <xf numFmtId="173" fontId="81" fillId="0" borderId="0" xfId="8667" applyNumberFormat="1" applyFont="1" applyFill="1" applyBorder="1" applyAlignment="1">
      <alignment horizontal="right"/>
    </xf>
    <xf numFmtId="175" fontId="81" fillId="0" borderId="0" xfId="8669" applyNumberFormat="1" applyFont="1" applyFill="1" applyBorder="1" applyAlignment="1">
      <alignment horizontal="right"/>
    </xf>
    <xf numFmtId="49" fontId="14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left"/>
    </xf>
    <xf numFmtId="0" fontId="85" fillId="0" borderId="0" xfId="8667" applyFont="1" applyFill="1" applyBorder="1" applyAlignment="1">
      <alignment horizontal="center" wrapText="1"/>
    </xf>
    <xf numFmtId="0" fontId="81" fillId="0" borderId="0" xfId="8667" applyFont="1" applyFill="1" applyBorder="1" applyAlignment="1">
      <alignment horizontal="center"/>
    </xf>
    <xf numFmtId="49" fontId="14" fillId="0" borderId="6" xfId="8667" applyNumberFormat="1" applyFont="1" applyFill="1" applyBorder="1" applyAlignment="1">
      <alignment horizontal="center" wrapText="1"/>
    </xf>
    <xf numFmtId="49" fontId="81" fillId="0" borderId="0" xfId="8667" applyNumberFormat="1" applyFont="1" applyFill="1" applyBorder="1" applyAlignment="1">
      <alignment horizontal="center"/>
    </xf>
    <xf numFmtId="176" fontId="81" fillId="0" borderId="0" xfId="8668" quotePrefix="1" applyNumberFormat="1" applyFont="1" applyFill="1" applyBorder="1" applyAlignment="1">
      <alignment horizontal="center" wrapText="1"/>
    </xf>
    <xf numFmtId="176" fontId="81" fillId="0" borderId="0" xfId="8667" applyNumberFormat="1" applyFont="1" applyFill="1" applyBorder="1" applyAlignment="1">
      <alignment horizontal="center"/>
    </xf>
    <xf numFmtId="0" fontId="81" fillId="0" borderId="0" xfId="8667" applyFont="1" applyFill="1" applyBorder="1" applyAlignment="1">
      <alignment horizontal="left" wrapText="1"/>
    </xf>
    <xf numFmtId="9" fontId="81" fillId="0" borderId="0" xfId="8667" applyNumberFormat="1" applyFont="1" applyFill="1" applyBorder="1" applyAlignment="1">
      <alignment horizontal="center"/>
    </xf>
    <xf numFmtId="0" fontId="81" fillId="0" borderId="5" xfId="8667" applyFont="1" applyFill="1" applyBorder="1" applyAlignment="1">
      <alignment horizontal="center" wrapText="1"/>
    </xf>
    <xf numFmtId="49" fontId="14" fillId="0" borderId="0" xfId="8667" applyNumberFormat="1" applyFont="1" applyFill="1" applyBorder="1" applyAlignment="1">
      <alignment horizontal="center"/>
    </xf>
    <xf numFmtId="0" fontId="14" fillId="0" borderId="28" xfId="8667" applyFont="1" applyFill="1" applyBorder="1" applyAlignment="1">
      <alignment horizontal="center" wrapText="1"/>
    </xf>
    <xf numFmtId="0" fontId="14" fillId="0" borderId="28" xfId="8667" applyFont="1" applyFill="1" applyBorder="1" applyAlignment="1">
      <alignment horizontal="left" wrapText="1"/>
    </xf>
    <xf numFmtId="0" fontId="14" fillId="0" borderId="5" xfId="8667" applyFont="1" applyFill="1" applyBorder="1" applyAlignment="1">
      <alignment horizontal="left" wrapText="1"/>
    </xf>
    <xf numFmtId="173" fontId="14" fillId="0" borderId="0" xfId="3236" applyNumberFormat="1" applyFont="1" applyFill="1"/>
    <xf numFmtId="0" fontId="14" fillId="0" borderId="0" xfId="8667" quotePrefix="1" applyFont="1" applyFill="1" applyBorder="1" applyAlignment="1">
      <alignment horizontal="left" wrapText="1"/>
    </xf>
    <xf numFmtId="182" fontId="14" fillId="0" borderId="0" xfId="3834" applyNumberFormat="1" applyFont="1" applyFill="1"/>
    <xf numFmtId="182" fontId="14" fillId="0" borderId="28" xfId="3834" applyNumberFormat="1" applyFont="1" applyFill="1" applyBorder="1"/>
    <xf numFmtId="37" fontId="14" fillId="0" borderId="0" xfId="0" applyFont="1" applyFill="1"/>
    <xf numFmtId="5" fontId="14" fillId="0" borderId="0" xfId="0" applyNumberFormat="1" applyFont="1" applyFill="1"/>
    <xf numFmtId="182" fontId="14" fillId="0" borderId="28" xfId="3834" quotePrefix="1" applyNumberFormat="1" applyFont="1" applyFill="1" applyBorder="1"/>
    <xf numFmtId="173" fontId="14" fillId="0" borderId="0" xfId="3236" applyNumberFormat="1" applyFont="1" applyFill="1" applyProtection="1">
      <protection locked="0"/>
    </xf>
    <xf numFmtId="182" fontId="14" fillId="0" borderId="0" xfId="0" applyNumberFormat="1" applyFont="1" applyFill="1"/>
    <xf numFmtId="182" fontId="14" fillId="0" borderId="27" xfId="3834" applyNumberFormat="1" applyFont="1" applyFill="1" applyBorder="1"/>
    <xf numFmtId="182" fontId="14" fillId="0" borderId="0" xfId="3834" applyNumberFormat="1" applyFont="1" applyFill="1" applyProtection="1">
      <protection locked="0"/>
    </xf>
    <xf numFmtId="173" fontId="14" fillId="0" borderId="0" xfId="3236" applyNumberFormat="1" applyFont="1" applyFill="1" applyBorder="1" applyProtection="1">
      <protection locked="0"/>
    </xf>
    <xf numFmtId="49" fontId="14" fillId="0" borderId="0" xfId="0" applyNumberFormat="1" applyFont="1"/>
    <xf numFmtId="0" fontId="13" fillId="0" borderId="0" xfId="0" applyNumberFormat="1" applyFont="1" applyFill="1" applyAlignment="1">
      <alignment horizontal="center"/>
    </xf>
    <xf numFmtId="43" fontId="14" fillId="0" borderId="0" xfId="3236" applyFont="1" applyBorder="1"/>
    <xf numFmtId="39" fontId="14" fillId="0" borderId="0" xfId="3834" applyNumberFormat="1" applyFont="1" applyBorder="1"/>
    <xf numFmtId="0" fontId="89" fillId="0" borderId="0" xfId="8675"/>
    <xf numFmtId="0" fontId="13" fillId="0" borderId="0" xfId="8675" applyFont="1" applyFill="1"/>
    <xf numFmtId="0" fontId="14" fillId="0" borderId="0" xfId="8675" applyFont="1"/>
    <xf numFmtId="43" fontId="89" fillId="0" borderId="0" xfId="8675" applyNumberFormat="1"/>
    <xf numFmtId="43" fontId="89" fillId="0" borderId="5" xfId="8675" applyNumberFormat="1" applyBorder="1"/>
    <xf numFmtId="0" fontId="89" fillId="0" borderId="0" xfId="8675" applyBorder="1"/>
    <xf numFmtId="43" fontId="89" fillId="0" borderId="0" xfId="8675" applyNumberFormat="1" applyBorder="1"/>
    <xf numFmtId="43" fontId="14" fillId="0" borderId="0" xfId="3236" applyFill="1" applyBorder="1"/>
    <xf numFmtId="0" fontId="13" fillId="0" borderId="0" xfId="8675" applyFont="1"/>
    <xf numFmtId="37" fontId="13" fillId="0" borderId="0" xfId="0" applyFont="1" applyFill="1"/>
    <xf numFmtId="37" fontId="0" fillId="0" borderId="0" xfId="0" applyFill="1"/>
    <xf numFmtId="44" fontId="14" fillId="0" borderId="0" xfId="3834" applyBorder="1"/>
    <xf numFmtId="37" fontId="13" fillId="0" borderId="0" xfId="0" applyFont="1"/>
    <xf numFmtId="180" fontId="15" fillId="0" borderId="0" xfId="1" applyNumberFormat="1" applyFont="1" applyFill="1" applyAlignment="1">
      <alignment horizontal="left"/>
    </xf>
    <xf numFmtId="9" fontId="90" fillId="15" borderId="0" xfId="8669" applyFont="1" applyFill="1"/>
    <xf numFmtId="164" fontId="91" fillId="15" borderId="0" xfId="0" applyNumberFormat="1" applyFont="1" applyFill="1"/>
    <xf numFmtId="165" fontId="85" fillId="15" borderId="0" xfId="0" applyNumberFormat="1" applyFont="1" applyFill="1" applyAlignment="1">
      <alignment horizontal="center"/>
    </xf>
    <xf numFmtId="49" fontId="15" fillId="0" borderId="0" xfId="1" applyNumberFormat="1" applyFont="1" applyFill="1" applyAlignment="1">
      <alignment horizontal="right" wrapText="1"/>
    </xf>
    <xf numFmtId="180" fontId="15" fillId="0" borderId="0" xfId="1" applyNumberFormat="1" applyFont="1" applyFill="1" applyAlignment="1">
      <alignment horizontal="right"/>
    </xf>
    <xf numFmtId="183" fontId="14" fillId="0" borderId="0" xfId="8676" applyNumberFormat="1" applyFont="1" applyAlignment="1" applyProtection="1">
      <alignment horizontal="left"/>
    </xf>
    <xf numFmtId="0" fontId="14" fillId="0" borderId="0" xfId="8676" applyFont="1"/>
    <xf numFmtId="0" fontId="14" fillId="0" borderId="0" xfId="8676" applyFont="1" applyAlignment="1" applyProtection="1">
      <alignment horizontal="left"/>
    </xf>
    <xf numFmtId="0" fontId="84" fillId="0" borderId="0" xfId="8676" applyFont="1" applyBorder="1" applyAlignment="1" applyProtection="1">
      <alignment horizontal="left"/>
    </xf>
    <xf numFmtId="0" fontId="84" fillId="0" borderId="0" xfId="8676" applyFont="1" applyBorder="1"/>
    <xf numFmtId="0" fontId="14" fillId="0" borderId="0" xfId="8676" applyFont="1" applyBorder="1"/>
    <xf numFmtId="0" fontId="14" fillId="0" borderId="0" xfId="8676" applyFont="1" applyFill="1" applyAlignment="1" applyProtection="1">
      <alignment horizontal="left"/>
    </xf>
    <xf numFmtId="0" fontId="14" fillId="0" borderId="0" xfId="8676" applyFont="1" applyFill="1"/>
    <xf numFmtId="49" fontId="14" fillId="0" borderId="0" xfId="8676" applyNumberFormat="1" applyFont="1" applyAlignment="1" applyProtection="1">
      <alignment horizontal="left"/>
    </xf>
    <xf numFmtId="49" fontId="14" fillId="0" borderId="0" xfId="8667" applyNumberFormat="1" applyFont="1" applyFill="1" applyBorder="1" applyAlignment="1">
      <alignment horizontal="center"/>
    </xf>
    <xf numFmtId="0" fontId="111" fillId="0" borderId="0" xfId="8667" applyFont="1" applyFill="1" applyBorder="1" applyAlignment="1">
      <alignment horizontal="center"/>
    </xf>
    <xf numFmtId="0" fontId="81" fillId="0" borderId="0" xfId="8667" quotePrefix="1" applyFont="1" applyFill="1" applyBorder="1" applyAlignment="1">
      <alignment horizontal="left"/>
    </xf>
    <xf numFmtId="9" fontId="112" fillId="0" borderId="6" xfId="8669" applyFont="1" applyFill="1" applyBorder="1" applyAlignment="1">
      <alignment horizontal="center" vertical="center" wrapText="1"/>
    </xf>
    <xf numFmtId="49" fontId="14" fillId="0" borderId="0" xfId="8667" applyNumberFormat="1" applyFont="1" applyFill="1" applyBorder="1" applyAlignment="1">
      <alignment horizontal="center"/>
    </xf>
    <xf numFmtId="0" fontId="14" fillId="0" borderId="0" xfId="8667" applyFont="1" applyFill="1" applyBorder="1" applyAlignment="1">
      <alignment horizontal="center"/>
    </xf>
    <xf numFmtId="0" fontId="81" fillId="0" borderId="0" xfId="8667" applyFont="1" applyFill="1" applyBorder="1" applyAlignment="1">
      <alignment horizontal="center"/>
    </xf>
    <xf numFmtId="0" fontId="81" fillId="0" borderId="0" xfId="8667" applyFont="1" applyFill="1" applyBorder="1" applyAlignment="1">
      <alignment horizontal="center"/>
    </xf>
    <xf numFmtId="37" fontId="14" fillId="0" borderId="0" xfId="8765" applyNumberFormat="1" applyFont="1" applyFill="1" applyAlignment="1">
      <alignment horizontal="centerContinuous"/>
    </xf>
    <xf numFmtId="37" fontId="14" fillId="0" borderId="0" xfId="8765" applyNumberFormat="1" applyFont="1" applyFill="1"/>
    <xf numFmtId="37" fontId="14" fillId="0" borderId="0" xfId="8765" applyNumberFormat="1" applyFont="1" applyFill="1" applyAlignment="1"/>
    <xf numFmtId="37" fontId="14" fillId="0" borderId="0" xfId="8765" applyNumberFormat="1" applyFont="1" applyFill="1" applyAlignment="1" applyProtection="1">
      <alignment horizontal="centerContinuous"/>
      <protection locked="0"/>
    </xf>
    <xf numFmtId="0" fontId="14" fillId="0" borderId="0" xfId="8765" applyFont="1" applyFill="1"/>
    <xf numFmtId="0" fontId="14" fillId="0" borderId="0" xfId="8765" applyFont="1" applyFill="1" applyAlignment="1">
      <alignment horizontal="center"/>
    </xf>
    <xf numFmtId="37" fontId="14" fillId="0" borderId="0" xfId="8765" applyNumberFormat="1" applyFont="1" applyFill="1" applyAlignment="1">
      <alignment horizontal="right"/>
    </xf>
    <xf numFmtId="37" fontId="14" fillId="0" borderId="29" xfId="8765" applyNumberFormat="1" applyFont="1" applyFill="1" applyBorder="1" applyAlignment="1"/>
    <xf numFmtId="37" fontId="14" fillId="0" borderId="0" xfId="8765" applyNumberFormat="1" applyFont="1" applyFill="1" applyAlignment="1">
      <alignment horizontal="center"/>
    </xf>
    <xf numFmtId="177" fontId="14" fillId="0" borderId="0" xfId="8765" applyNumberFormat="1" applyFont="1" applyFill="1" applyAlignment="1">
      <alignment horizontal="center"/>
    </xf>
    <xf numFmtId="37" fontId="14" fillId="0" borderId="29" xfId="8765" applyNumberFormat="1" applyFont="1" applyFill="1" applyBorder="1" applyAlignment="1">
      <alignment horizontal="center"/>
    </xf>
    <xf numFmtId="37" fontId="14" fillId="0" borderId="29" xfId="8765" applyNumberFormat="1" applyFont="1" applyFill="1" applyBorder="1"/>
    <xf numFmtId="37" fontId="71" fillId="0" borderId="0" xfId="8765" applyNumberFormat="1" applyFont="1" applyFill="1" applyAlignment="1">
      <alignment horizontal="center"/>
    </xf>
    <xf numFmtId="37" fontId="36" fillId="0" borderId="0" xfId="0" applyFont="1"/>
    <xf numFmtId="37" fontId="71" fillId="0" borderId="0" xfId="8765" applyNumberFormat="1" applyFont="1" applyFill="1" applyAlignment="1"/>
    <xf numFmtId="5" fontId="14" fillId="0" borderId="0" xfId="8765" applyNumberFormat="1" applyFont="1" applyFill="1" applyBorder="1" applyAlignment="1"/>
    <xf numFmtId="10" fontId="14" fillId="0" borderId="0" xfId="8765" applyNumberFormat="1" applyFont="1" applyFill="1" applyBorder="1"/>
    <xf numFmtId="37" fontId="14" fillId="0" borderId="0" xfId="8765" applyNumberFormat="1" applyFont="1" applyFill="1" applyAlignment="1" applyProtection="1">
      <protection locked="0"/>
    </xf>
    <xf numFmtId="10" fontId="14" fillId="0" borderId="0" xfId="8765" applyNumberFormat="1" applyFont="1" applyFill="1"/>
    <xf numFmtId="37" fontId="14" fillId="0" borderId="0" xfId="8765" applyNumberFormat="1" applyFont="1" applyFill="1" applyProtection="1">
      <protection locked="0"/>
    </xf>
    <xf numFmtId="37" fontId="36" fillId="0" borderId="0" xfId="0" applyFont="1" applyFill="1"/>
    <xf numFmtId="10" fontId="14" fillId="0" borderId="0" xfId="8765" applyNumberFormat="1" applyFont="1" applyFill="1" applyBorder="1" applyAlignment="1"/>
    <xf numFmtId="37" fontId="14" fillId="0" borderId="0" xfId="8765" applyNumberFormat="1" applyFont="1" applyFill="1" applyBorder="1"/>
    <xf numFmtId="37" fontId="14" fillId="0" borderId="0" xfId="8765" applyNumberFormat="1" applyFont="1" applyFill="1" applyBorder="1" applyAlignment="1"/>
    <xf numFmtId="181" fontId="14" fillId="0" borderId="0" xfId="8765" applyNumberFormat="1" applyFont="1" applyFill="1" applyAlignment="1"/>
    <xf numFmtId="10" fontId="14" fillId="0" borderId="0" xfId="8765" applyNumberFormat="1" applyFont="1" applyFill="1" applyAlignment="1"/>
    <xf numFmtId="37" fontId="14" fillId="0" borderId="0" xfId="8765" applyNumberFormat="1" applyFont="1" applyFill="1" applyAlignment="1">
      <alignment horizontal="left"/>
    </xf>
    <xf numFmtId="5" fontId="14" fillId="0" borderId="0" xfId="8765" applyNumberFormat="1" applyFont="1" applyFill="1" applyBorder="1" applyProtection="1">
      <protection locked="0"/>
    </xf>
    <xf numFmtId="37" fontId="14" fillId="0" borderId="0" xfId="8765" applyNumberFormat="1" applyFont="1" applyFill="1" applyBorder="1" applyProtection="1">
      <protection locked="0"/>
    </xf>
    <xf numFmtId="37" fontId="84" fillId="0" borderId="0" xfId="8765" applyNumberFormat="1" applyFont="1" applyFill="1" applyAlignment="1"/>
    <xf numFmtId="37" fontId="116" fillId="0" borderId="0" xfId="0" applyFont="1"/>
    <xf numFmtId="41" fontId="117" fillId="0" borderId="0" xfId="0" applyNumberFormat="1" applyFont="1" applyAlignment="1">
      <alignment horizontal="center"/>
    </xf>
    <xf numFmtId="37" fontId="117" fillId="0" borderId="0" xfId="0" applyNumberFormat="1" applyFont="1" applyAlignment="1">
      <alignment horizontal="center"/>
    </xf>
    <xf numFmtId="41" fontId="14" fillId="0" borderId="0" xfId="0" applyNumberFormat="1" applyFont="1"/>
    <xf numFmtId="37" fontId="14" fillId="0" borderId="0" xfId="0" applyNumberFormat="1" applyFont="1"/>
    <xf numFmtId="42" fontId="14" fillId="0" borderId="0" xfId="0" applyNumberFormat="1" applyFont="1" applyFill="1"/>
    <xf numFmtId="41" fontId="118" fillId="0" borderId="0" xfId="0" applyNumberFormat="1" applyFont="1" applyFill="1" applyBorder="1"/>
    <xf numFmtId="41" fontId="14" fillId="0" borderId="0" xfId="0" applyNumberFormat="1" applyFont="1" applyFill="1"/>
    <xf numFmtId="37" fontId="14" fillId="0" borderId="0" xfId="0" applyFont="1"/>
    <xf numFmtId="37" fontId="14" fillId="0" borderId="0" xfId="0" applyFont="1" applyAlignment="1">
      <alignment horizontal="left"/>
    </xf>
    <xf numFmtId="37" fontId="14" fillId="0" borderId="0" xfId="0" quotePrefix="1" applyFont="1" applyFill="1" applyAlignment="1">
      <alignment horizontal="left"/>
    </xf>
    <xf numFmtId="37" fontId="13" fillId="0" borderId="0" xfId="0" quotePrefix="1" applyFont="1" applyAlignment="1">
      <alignment horizontal="left"/>
    </xf>
    <xf numFmtId="41" fontId="14" fillId="0" borderId="0" xfId="0" applyNumberFormat="1" applyFont="1" applyFill="1" applyBorder="1"/>
    <xf numFmtId="37" fontId="14" fillId="0" borderId="0" xfId="0" quotePrefix="1" applyFont="1" applyAlignment="1">
      <alignment horizontal="left"/>
    </xf>
    <xf numFmtId="41" fontId="118" fillId="0" borderId="0" xfId="0" applyNumberFormat="1" applyFont="1" applyBorder="1"/>
    <xf numFmtId="0" fontId="13" fillId="0" borderId="0" xfId="8667" applyFont="1" applyFill="1" applyBorder="1" applyAlignment="1">
      <alignment horizontal="left" wrapText="1"/>
    </xf>
    <xf numFmtId="186" fontId="14" fillId="0" borderId="0" xfId="8766" applyNumberFormat="1" applyFont="1" applyFill="1" applyBorder="1" applyAlignment="1" applyProtection="1"/>
    <xf numFmtId="49" fontId="14" fillId="0" borderId="0" xfId="8667" applyNumberFormat="1" applyFont="1" applyFill="1" applyBorder="1" applyAlignment="1">
      <alignment horizontal="center"/>
    </xf>
    <xf numFmtId="0" fontId="81" fillId="0" borderId="0" xfId="8667" applyFont="1" applyFill="1" applyBorder="1" applyAlignment="1">
      <alignment horizontal="center"/>
    </xf>
    <xf numFmtId="0" fontId="114" fillId="0" borderId="0" xfId="8780" applyFill="1"/>
    <xf numFmtId="0" fontId="86" fillId="0" borderId="0" xfId="8779" applyFont="1" applyFill="1" applyAlignment="1">
      <alignment horizontal="centerContinuous"/>
    </xf>
    <xf numFmtId="0" fontId="86" fillId="0" borderId="0" xfId="8779" applyFont="1" applyFill="1" applyBorder="1" applyAlignment="1">
      <alignment horizontal="centerContinuous"/>
    </xf>
    <xf numFmtId="0" fontId="12" fillId="0" borderId="0" xfId="8779" applyFill="1" applyAlignment="1"/>
    <xf numFmtId="0" fontId="86" fillId="0" borderId="0" xfId="8779" applyNumberFormat="1" applyFont="1" applyFill="1" applyAlignment="1">
      <alignment horizontal="centerContinuous"/>
    </xf>
    <xf numFmtId="0" fontId="33" fillId="0" borderId="0" xfId="8779" applyNumberFormat="1" applyFont="1" applyFill="1" applyAlignment="1">
      <alignment horizontal="centerContinuous"/>
    </xf>
    <xf numFmtId="177" fontId="33" fillId="0" borderId="0" xfId="8779" applyNumberFormat="1" applyFont="1" applyFill="1" applyAlignment="1">
      <alignment horizontal="center"/>
    </xf>
    <xf numFmtId="37" fontId="86" fillId="0" borderId="0" xfId="8779" applyNumberFormat="1" applyFont="1" applyFill="1" applyAlignment="1">
      <alignment horizontal="center"/>
    </xf>
    <xf numFmtId="37" fontId="86" fillId="0" borderId="0" xfId="8779" applyNumberFormat="1" applyFont="1" applyFill="1" applyAlignment="1">
      <alignment horizontal="right"/>
    </xf>
    <xf numFmtId="37" fontId="86" fillId="0" borderId="0" xfId="8779" applyNumberFormat="1" applyFont="1" applyFill="1" applyBorder="1" applyAlignment="1">
      <alignment horizontal="center"/>
    </xf>
    <xf numFmtId="0" fontId="33" fillId="0" borderId="0" xfId="8779" applyFont="1" applyFill="1"/>
    <xf numFmtId="0" fontId="86" fillId="0" borderId="0" xfId="8779" applyFont="1" applyFill="1" applyAlignment="1"/>
    <xf numFmtId="0" fontId="86" fillId="0" borderId="0" xfId="8779" applyNumberFormat="1" applyFont="1" applyFill="1" applyAlignment="1">
      <alignment horizontal="center"/>
    </xf>
    <xf numFmtId="177" fontId="86" fillId="0" borderId="0" xfId="8779" applyNumberFormat="1" applyFont="1" applyFill="1" applyAlignment="1">
      <alignment horizontal="center"/>
    </xf>
    <xf numFmtId="0" fontId="33" fillId="0" borderId="0" xfId="8779" applyFont="1" applyFill="1" applyAlignment="1">
      <alignment horizontal="center"/>
    </xf>
    <xf numFmtId="0" fontId="86" fillId="0" borderId="0" xfId="8779" applyFont="1" applyFill="1" applyBorder="1" applyAlignment="1">
      <alignment horizontal="center"/>
    </xf>
    <xf numFmtId="0" fontId="86" fillId="0" borderId="0" xfId="8779" applyNumberFormat="1" applyFont="1" applyFill="1" applyBorder="1" applyAlignment="1">
      <alignment horizontal="center"/>
    </xf>
    <xf numFmtId="0" fontId="86" fillId="0" borderId="0" xfId="8779" applyFont="1" applyFill="1" applyBorder="1" applyAlignment="1">
      <alignment horizontal="right"/>
    </xf>
    <xf numFmtId="0" fontId="86" fillId="0" borderId="5" xfId="8779" applyFont="1" applyFill="1" applyBorder="1" applyAlignment="1">
      <alignment horizontal="center"/>
    </xf>
    <xf numFmtId="177" fontId="86" fillId="0" borderId="5" xfId="8779" applyNumberFormat="1" applyFont="1" applyFill="1" applyBorder="1" applyAlignment="1">
      <alignment horizontal="center"/>
    </xf>
    <xf numFmtId="0" fontId="86" fillId="0" borderId="5" xfId="8779" applyNumberFormat="1" applyFont="1" applyFill="1" applyBorder="1" applyAlignment="1">
      <alignment horizontal="center"/>
    </xf>
    <xf numFmtId="37" fontId="86" fillId="0" borderId="5" xfId="8779" applyNumberFormat="1" applyFont="1" applyFill="1" applyBorder="1" applyAlignment="1">
      <alignment horizontal="center"/>
    </xf>
    <xf numFmtId="3" fontId="86" fillId="0" borderId="0" xfId="8779" applyNumberFormat="1" applyFont="1" applyFill="1" applyAlignment="1">
      <alignment horizontal="center"/>
    </xf>
    <xf numFmtId="3" fontId="86" fillId="0" borderId="0" xfId="8779" applyNumberFormat="1" applyFont="1" applyFill="1" applyBorder="1" applyAlignment="1">
      <alignment horizontal="center"/>
    </xf>
    <xf numFmtId="0" fontId="86" fillId="0" borderId="0" xfId="8779" applyNumberFormat="1" applyFont="1" applyFill="1" applyAlignment="1"/>
    <xf numFmtId="2" fontId="33" fillId="0" borderId="0" xfId="8779" applyNumberFormat="1" applyFont="1" applyFill="1"/>
    <xf numFmtId="178" fontId="33" fillId="0" borderId="0" xfId="8779" applyNumberFormat="1" applyFont="1" applyFill="1"/>
    <xf numFmtId="178" fontId="33" fillId="0" borderId="0" xfId="8779" applyNumberFormat="1" applyFont="1" applyFill="1" applyBorder="1"/>
    <xf numFmtId="0" fontId="33" fillId="0" borderId="0" xfId="8779" applyFont="1" applyFill="1" applyAlignment="1"/>
    <xf numFmtId="39" fontId="33" fillId="0" borderId="0" xfId="8779" applyNumberFormat="1" applyFont="1" applyFill="1"/>
    <xf numFmtId="39" fontId="33" fillId="0" borderId="0" xfId="8779" applyNumberFormat="1" applyFont="1" applyFill="1" applyBorder="1"/>
    <xf numFmtId="37" fontId="33" fillId="0" borderId="0" xfId="8779" applyNumberFormat="1" applyFont="1" applyFill="1" applyAlignment="1">
      <alignment horizontal="center"/>
    </xf>
    <xf numFmtId="37" fontId="33" fillId="0" borderId="0" xfId="8779" applyNumberFormat="1" applyFont="1" applyFill="1" applyBorder="1" applyAlignment="1">
      <alignment horizontal="center"/>
    </xf>
    <xf numFmtId="187" fontId="33" fillId="0" borderId="0" xfId="8779" applyNumberFormat="1" applyFont="1" applyFill="1" applyAlignment="1">
      <alignment horizontal="center"/>
    </xf>
    <xf numFmtId="0" fontId="86" fillId="0" borderId="0" xfId="8779" applyNumberFormat="1" applyFont="1" applyFill="1" applyAlignment="1">
      <alignment horizontal="left"/>
    </xf>
    <xf numFmtId="2" fontId="86" fillId="0" borderId="0" xfId="8779" applyNumberFormat="1" applyFont="1" applyFill="1"/>
    <xf numFmtId="178" fontId="86" fillId="0" borderId="0" xfId="8779" applyNumberFormat="1" applyFont="1" applyFill="1"/>
    <xf numFmtId="178" fontId="86" fillId="0" borderId="0" xfId="8779" applyNumberFormat="1" applyFont="1" applyFill="1" applyBorder="1"/>
    <xf numFmtId="0" fontId="86" fillId="0" borderId="25" xfId="8779" applyNumberFormat="1" applyFont="1" applyFill="1" applyBorder="1" applyAlignment="1">
      <alignment horizontal="center"/>
    </xf>
    <xf numFmtId="2" fontId="33" fillId="0" borderId="0" xfId="8779" quotePrefix="1" applyNumberFormat="1" applyFont="1" applyFill="1" applyAlignment="1">
      <alignment horizontal="right"/>
    </xf>
    <xf numFmtId="0" fontId="33" fillId="0" borderId="0" xfId="8779" applyNumberFormat="1" applyFont="1" applyFill="1" applyAlignment="1"/>
    <xf numFmtId="3" fontId="33" fillId="0" borderId="0" xfId="8779" applyNumberFormat="1" applyFont="1" applyFill="1"/>
    <xf numFmtId="3" fontId="33" fillId="0" borderId="0" xfId="8779" applyNumberFormat="1" applyFont="1" applyFill="1" applyBorder="1"/>
    <xf numFmtId="2" fontId="33" fillId="0" borderId="5" xfId="8779" applyNumberFormat="1" applyFont="1" applyFill="1" applyBorder="1"/>
    <xf numFmtId="4" fontId="33" fillId="0" borderId="0" xfId="8779" applyNumberFormat="1" applyFont="1" applyFill="1"/>
    <xf numFmtId="2" fontId="33" fillId="0" borderId="0" xfId="8779" applyNumberFormat="1" applyFont="1" applyFill="1" applyAlignment="1">
      <alignment horizontal="right"/>
    </xf>
    <xf numFmtId="0" fontId="33" fillId="0" borderId="0" xfId="8779" applyNumberFormat="1" applyFont="1" applyFill="1" applyAlignment="1">
      <alignment horizontal="left"/>
    </xf>
    <xf numFmtId="178" fontId="33" fillId="0" borderId="0" xfId="8779" applyNumberFormat="1" applyFont="1" applyFill="1" applyAlignment="1">
      <alignment horizontal="center"/>
    </xf>
    <xf numFmtId="0" fontId="86" fillId="0" borderId="0" xfId="8779" applyNumberFormat="1" applyFont="1" applyFill="1" applyAlignment="1">
      <alignment horizontal="right"/>
    </xf>
    <xf numFmtId="3" fontId="86" fillId="0" borderId="0" xfId="8779" applyNumberFormat="1" applyFont="1" applyFill="1" applyAlignment="1"/>
    <xf numFmtId="3" fontId="86" fillId="0" borderId="0" xfId="8779" applyNumberFormat="1" applyFont="1" applyFill="1" applyBorder="1" applyAlignment="1"/>
    <xf numFmtId="2" fontId="33" fillId="0" borderId="0" xfId="8779" applyNumberFormat="1" applyFont="1" applyFill="1" applyAlignment="1"/>
    <xf numFmtId="44" fontId="14" fillId="0" borderId="0" xfId="3" applyFont="1" applyFill="1"/>
    <xf numFmtId="165" fontId="13" fillId="0" borderId="0" xfId="0" applyNumberFormat="1" applyFont="1" applyAlignment="1">
      <alignment horizontal="center"/>
    </xf>
    <xf numFmtId="17" fontId="13" fillId="0" borderId="5" xfId="2" applyNumberFormat="1" applyFont="1" applyFill="1" applyBorder="1" applyAlignment="1">
      <alignment horizontal="center"/>
    </xf>
    <xf numFmtId="10" fontId="81" fillId="0" borderId="0" xfId="8812" applyNumberFormat="1" applyFont="1" applyFill="1" applyBorder="1" applyAlignment="1">
      <alignment horizontal="right" wrapText="1"/>
    </xf>
    <xf numFmtId="179" fontId="81" fillId="0" borderId="0" xfId="8814" applyNumberFormat="1" applyFont="1" applyFill="1" applyBorder="1" applyAlignment="1">
      <alignment horizontal="right" wrapText="1"/>
    </xf>
    <xf numFmtId="43" fontId="81" fillId="0" borderId="0" xfId="8814" applyFont="1" applyFill="1" applyBorder="1" applyAlignment="1">
      <alignment horizontal="center" wrapText="1"/>
    </xf>
    <xf numFmtId="1" fontId="33" fillId="0" borderId="0" xfId="8779" applyNumberFormat="1" applyFont="1" applyFill="1" applyAlignment="1">
      <alignment horizontal="center"/>
    </xf>
    <xf numFmtId="1" fontId="33" fillId="0" borderId="0" xfId="8779" quotePrefix="1" applyNumberFormat="1" applyFont="1" applyFill="1" applyAlignment="1">
      <alignment horizontal="center"/>
    </xf>
    <xf numFmtId="0" fontId="12" fillId="0" borderId="0" xfId="8779" quotePrefix="1" applyFill="1" applyAlignment="1"/>
    <xf numFmtId="43" fontId="81" fillId="0" borderId="0" xfId="8814" applyFont="1" applyFill="1" applyBorder="1" applyAlignment="1">
      <alignment horizontal="right" wrapText="1"/>
    </xf>
    <xf numFmtId="4" fontId="81" fillId="0" borderId="0" xfId="8814" applyNumberFormat="1" applyFont="1" applyFill="1" applyBorder="1" applyAlignment="1">
      <alignment horizontal="right" wrapText="1"/>
    </xf>
    <xf numFmtId="3" fontId="81" fillId="0" borderId="0" xfId="8814" applyNumberFormat="1" applyFont="1" applyFill="1" applyBorder="1" applyAlignment="1">
      <alignment horizontal="right" wrapText="1"/>
    </xf>
    <xf numFmtId="0" fontId="114" fillId="0" borderId="0" xfId="8815" applyFill="1"/>
    <xf numFmtId="177" fontId="33" fillId="0" borderId="0" xfId="8779" applyNumberFormat="1" applyFont="1" applyFill="1" applyAlignment="1">
      <alignment horizontal="centerContinuous"/>
    </xf>
    <xf numFmtId="0" fontId="33" fillId="0" borderId="0" xfId="8779" applyNumberFormat="1" applyFont="1" applyFill="1" applyBorder="1" applyAlignment="1">
      <alignment horizontal="left"/>
    </xf>
    <xf numFmtId="3" fontId="33" fillId="0" borderId="0" xfId="8779" applyNumberFormat="1" applyFont="1" applyFill="1" applyAlignment="1"/>
    <xf numFmtId="4" fontId="33" fillId="0" borderId="0" xfId="8779" applyNumberFormat="1" applyFont="1" applyFill="1" applyAlignment="1"/>
    <xf numFmtId="0" fontId="33" fillId="0" borderId="0" xfId="8779" quotePrefix="1" applyFont="1" applyFill="1" applyAlignment="1">
      <alignment horizontal="center"/>
    </xf>
    <xf numFmtId="43" fontId="33" fillId="0" borderId="0" xfId="8781" quotePrefix="1" applyFont="1" applyFill="1" applyAlignment="1">
      <alignment horizontal="right"/>
    </xf>
    <xf numFmtId="43" fontId="33" fillId="0" borderId="0" xfId="8782" quotePrefix="1" applyFont="1" applyFill="1" applyAlignment="1">
      <alignment horizontal="right"/>
    </xf>
    <xf numFmtId="177" fontId="33" fillId="0" borderId="0" xfId="8779" quotePrefix="1" applyNumberFormat="1" applyFont="1" applyFill="1" applyAlignment="1">
      <alignment horizontal="center"/>
    </xf>
    <xf numFmtId="49" fontId="15" fillId="0" borderId="0" xfId="1" applyNumberFormat="1" applyFont="1" applyFill="1" applyAlignment="1">
      <alignment horizontal="left" wrapText="1"/>
    </xf>
    <xf numFmtId="49" fontId="16" fillId="0" borderId="0" xfId="1" applyNumberFormat="1" applyFont="1" applyFill="1" applyAlignment="1">
      <alignment horizontal="left" wrapText="1"/>
    </xf>
    <xf numFmtId="0" fontId="131" fillId="0" borderId="0" xfId="9304"/>
    <xf numFmtId="173" fontId="14" fillId="0" borderId="0" xfId="3236" applyNumberFormat="1"/>
    <xf numFmtId="0" fontId="131" fillId="0" borderId="0" xfId="9304" applyAlignment="1"/>
    <xf numFmtId="49" fontId="33" fillId="0" borderId="0" xfId="9302" applyNumberFormat="1" applyFont="1" applyFill="1" applyAlignment="1">
      <alignment horizontal="fill"/>
    </xf>
    <xf numFmtId="37" fontId="33" fillId="0" borderId="0" xfId="9302" applyFont="1" applyFill="1" applyAlignment="1">
      <alignment horizontal="fill"/>
    </xf>
    <xf numFmtId="37" fontId="86" fillId="0" borderId="0" xfId="9302" applyFont="1" applyFill="1" applyAlignment="1">
      <alignment horizontal="right"/>
    </xf>
    <xf numFmtId="37" fontId="33" fillId="0" borderId="0" xfId="9302" applyFont="1" applyFill="1"/>
    <xf numFmtId="49" fontId="33" fillId="0" borderId="0" xfId="9302" applyNumberFormat="1" applyFont="1" applyFill="1"/>
    <xf numFmtId="37" fontId="33" fillId="0" borderId="0" xfId="9302" applyFont="1" applyFill="1" applyAlignment="1">
      <alignment horizontal="left"/>
    </xf>
    <xf numFmtId="49" fontId="145" fillId="0" borderId="0" xfId="9302" applyNumberFormat="1" applyFont="1" applyFill="1" applyAlignment="1">
      <alignment horizontal="centerContinuous"/>
    </xf>
    <xf numFmtId="37" fontId="86" fillId="0" borderId="0" xfId="9302" applyFont="1" applyFill="1" applyAlignment="1">
      <alignment horizontal="centerContinuous"/>
    </xf>
    <xf numFmtId="49" fontId="86" fillId="0" borderId="0" xfId="9302" applyNumberFormat="1" applyFont="1" applyFill="1" applyAlignment="1">
      <alignment horizontal="centerContinuous"/>
    </xf>
    <xf numFmtId="37" fontId="145" fillId="0" borderId="0" xfId="9302" applyFont="1" applyFill="1" applyAlignment="1">
      <alignment horizontal="center"/>
    </xf>
    <xf numFmtId="37" fontId="146" fillId="0" borderId="0" xfId="9302" applyFont="1" applyFill="1" applyAlignment="1">
      <alignment horizontal="center"/>
    </xf>
    <xf numFmtId="49" fontId="33" fillId="0" borderId="0" xfId="9302" applyNumberFormat="1" applyFont="1" applyFill="1" applyAlignment="1">
      <alignment horizontal="left"/>
    </xf>
    <xf numFmtId="37" fontId="33" fillId="0" borderId="0" xfId="9302" quotePrefix="1" applyFont="1" applyFill="1" applyAlignment="1">
      <alignment horizontal="center"/>
    </xf>
    <xf numFmtId="37" fontId="33" fillId="0" borderId="0" xfId="9302" applyFont="1" applyFill="1" applyAlignment="1">
      <alignment horizontal="centerContinuous"/>
    </xf>
    <xf numFmtId="37" fontId="33" fillId="0" borderId="0" xfId="9302" applyFont="1" applyFill="1" applyAlignment="1">
      <alignment horizontal="center"/>
    </xf>
    <xf numFmtId="37" fontId="33" fillId="0" borderId="5" xfId="9302" applyFont="1" applyFill="1" applyBorder="1" applyAlignment="1">
      <alignment horizontal="centerContinuous"/>
    </xf>
    <xf numFmtId="37" fontId="33" fillId="0" borderId="5" xfId="9302" quotePrefix="1" applyFont="1" applyFill="1" applyBorder="1" applyAlignment="1">
      <alignment horizontal="center"/>
    </xf>
    <xf numFmtId="37" fontId="33" fillId="0" borderId="5" xfId="9302" applyFont="1" applyFill="1" applyBorder="1" applyAlignment="1">
      <alignment horizontal="center"/>
    </xf>
    <xf numFmtId="37" fontId="33" fillId="0" borderId="0" xfId="9302" quotePrefix="1" applyFont="1" applyFill="1" applyAlignment="1">
      <alignment horizontal="left"/>
    </xf>
    <xf numFmtId="37" fontId="33" fillId="0" borderId="0" xfId="9302" applyFont="1" applyFill="1" applyAlignment="1">
      <alignment horizontal="right"/>
    </xf>
    <xf numFmtId="190" fontId="33" fillId="0" borderId="0" xfId="9302" applyNumberFormat="1" applyFont="1" applyBorder="1" applyAlignment="1">
      <alignment horizontal="right"/>
    </xf>
    <xf numFmtId="182" fontId="33" fillId="0" borderId="0" xfId="3834" applyNumberFormat="1" applyFont="1" applyFill="1" applyProtection="1">
      <protection locked="0"/>
    </xf>
    <xf numFmtId="182" fontId="33" fillId="0" borderId="0" xfId="3834" applyNumberFormat="1" applyFont="1" applyFill="1" applyProtection="1"/>
    <xf numFmtId="190" fontId="33" fillId="0" borderId="0" xfId="9302" applyNumberFormat="1" applyFont="1" applyAlignment="1">
      <alignment horizontal="right"/>
    </xf>
    <xf numFmtId="37" fontId="33" fillId="0" borderId="0" xfId="9302" applyFont="1" applyFill="1" applyProtection="1">
      <protection locked="0"/>
    </xf>
    <xf numFmtId="37" fontId="33" fillId="0" borderId="0" xfId="9302" applyNumberFormat="1" applyFont="1" applyFill="1" applyProtection="1">
      <protection locked="0"/>
    </xf>
    <xf numFmtId="37" fontId="33" fillId="0" borderId="0" xfId="9302" applyNumberFormat="1" applyFont="1" applyFill="1" applyProtection="1"/>
    <xf numFmtId="37" fontId="33" fillId="0" borderId="0" xfId="9302" quotePrefix="1" applyFont="1" applyFill="1"/>
    <xf numFmtId="173" fontId="33" fillId="0" borderId="0" xfId="3236" applyNumberFormat="1" applyFont="1" applyFill="1"/>
    <xf numFmtId="43" fontId="33" fillId="0" borderId="0" xfId="3236" applyFont="1" applyFill="1"/>
    <xf numFmtId="173" fontId="33" fillId="0" borderId="0" xfId="3236" applyNumberFormat="1" applyFont="1" applyFill="1" applyProtection="1"/>
    <xf numFmtId="49" fontId="33" fillId="0" borderId="0" xfId="9302" applyNumberFormat="1" applyFont="1" applyFill="1" applyAlignment="1">
      <alignment horizontal="right"/>
    </xf>
    <xf numFmtId="37" fontId="33" fillId="0" borderId="5" xfId="9302" applyFont="1" applyFill="1" applyBorder="1"/>
    <xf numFmtId="37" fontId="33" fillId="0" borderId="0" xfId="9302" applyFont="1" applyFill="1" applyBorder="1"/>
    <xf numFmtId="173" fontId="33" fillId="0" borderId="0" xfId="9302" applyNumberFormat="1" applyFont="1" applyFill="1"/>
    <xf numFmtId="173" fontId="33" fillId="0" borderId="5" xfId="9302" applyNumberFormat="1" applyFont="1" applyFill="1" applyBorder="1"/>
    <xf numFmtId="182" fontId="33" fillId="0" borderId="7" xfId="3834" applyNumberFormat="1" applyFont="1" applyFill="1" applyBorder="1"/>
    <xf numFmtId="182" fontId="33" fillId="0" borderId="0" xfId="3834" applyNumberFormat="1" applyFont="1" applyFill="1" applyBorder="1"/>
    <xf numFmtId="10" fontId="33" fillId="0" borderId="27" xfId="9381" applyNumberFormat="1" applyFont="1" applyFill="1" applyBorder="1"/>
    <xf numFmtId="10" fontId="33" fillId="0" borderId="0" xfId="9381" applyNumberFormat="1" applyFont="1" applyFill="1" applyBorder="1"/>
    <xf numFmtId="0" fontId="33" fillId="0" borderId="0" xfId="9382" quotePrefix="1" applyFont="1" applyFill="1" applyAlignment="1">
      <alignment horizontal="left"/>
    </xf>
    <xf numFmtId="49" fontId="33" fillId="0" borderId="0" xfId="9302" quotePrefix="1" applyNumberFormat="1" applyFont="1" applyFill="1" applyAlignment="1">
      <alignment horizontal="right"/>
    </xf>
    <xf numFmtId="181" fontId="33" fillId="0" borderId="0" xfId="9302" applyNumberFormat="1" applyFont="1" applyFill="1"/>
    <xf numFmtId="37" fontId="33" fillId="0" borderId="0" xfId="9302" applyFont="1" applyFill="1" applyBorder="1" applyAlignment="1">
      <alignment horizontal="right"/>
    </xf>
    <xf numFmtId="182" fontId="33" fillId="0" borderId="0" xfId="3834" applyNumberFormat="1" applyFont="1" applyFill="1" applyBorder="1" applyProtection="1">
      <protection locked="0"/>
    </xf>
    <xf numFmtId="37" fontId="33" fillId="0" borderId="0" xfId="9302" applyFont="1" applyFill="1" applyBorder="1" applyProtection="1">
      <protection locked="0"/>
    </xf>
    <xf numFmtId="49" fontId="33" fillId="0" borderId="0" xfId="9302" applyNumberFormat="1" applyFont="1" applyFill="1" applyBorder="1" applyAlignment="1">
      <alignment horizontal="right"/>
    </xf>
    <xf numFmtId="37" fontId="33" fillId="0" borderId="0" xfId="9302" applyNumberFormat="1" applyFont="1" applyFill="1" applyBorder="1" applyProtection="1">
      <protection locked="0"/>
    </xf>
    <xf numFmtId="39" fontId="33" fillId="0" borderId="0" xfId="9383" applyFont="1" applyFill="1" applyAlignment="1">
      <alignment horizontal="left"/>
    </xf>
    <xf numFmtId="173" fontId="33" fillId="0" borderId="0" xfId="3236" applyNumberFormat="1" applyFont="1" applyFill="1" applyBorder="1"/>
    <xf numFmtId="173" fontId="33" fillId="0" borderId="0" xfId="3236" applyNumberFormat="1" applyFont="1" applyFill="1" applyBorder="1" applyProtection="1"/>
    <xf numFmtId="43" fontId="33" fillId="0" borderId="5" xfId="3236" applyFont="1" applyFill="1" applyBorder="1"/>
    <xf numFmtId="37" fontId="33" fillId="0" borderId="0" xfId="9302" quotePrefix="1" applyFont="1" applyFill="1" applyBorder="1"/>
    <xf numFmtId="182" fontId="33" fillId="0" borderId="27" xfId="3834" applyNumberFormat="1" applyFont="1" applyFill="1" applyBorder="1"/>
    <xf numFmtId="173" fontId="33" fillId="0" borderId="5" xfId="3236" applyNumberFormat="1" applyFont="1" applyFill="1" applyBorder="1"/>
    <xf numFmtId="37" fontId="33" fillId="0" borderId="0" xfId="9302" applyNumberFormat="1" applyFont="1" applyFill="1" applyBorder="1"/>
    <xf numFmtId="49" fontId="14" fillId="0" borderId="0" xfId="8667" applyNumberFormat="1" applyFont="1" applyFill="1" applyBorder="1" applyAlignment="1">
      <alignment horizontal="center"/>
    </xf>
    <xf numFmtId="0" fontId="14" fillId="0" borderId="0" xfId="8667" applyFont="1" applyFill="1" applyBorder="1" applyAlignment="1">
      <alignment horizontal="center"/>
    </xf>
    <xf numFmtId="0" fontId="81" fillId="0" borderId="0" xfId="8667" applyFont="1" applyFill="1" applyBorder="1" applyAlignment="1">
      <alignment horizontal="center"/>
    </xf>
    <xf numFmtId="9" fontId="81" fillId="0" borderId="0" xfId="8812" applyNumberFormat="1" applyFont="1" applyFill="1" applyBorder="1" applyAlignment="1">
      <alignment horizontal="center"/>
    </xf>
    <xf numFmtId="9" fontId="81" fillId="0" borderId="0" xfId="8812" applyFont="1" applyFill="1" applyBorder="1" applyAlignment="1">
      <alignment horizontal="right"/>
    </xf>
    <xf numFmtId="43" fontId="81" fillId="0" borderId="0" xfId="57809" applyFont="1" applyFill="1" applyBorder="1" applyAlignment="1">
      <alignment horizontal="left"/>
    </xf>
    <xf numFmtId="49" fontId="81" fillId="0" borderId="6" xfId="8668" applyNumberFormat="1" applyFont="1" applyFill="1" applyBorder="1" applyAlignment="1">
      <alignment horizontal="center" wrapText="1"/>
    </xf>
    <xf numFmtId="173" fontId="81" fillId="0" borderId="6" xfId="8668" applyNumberFormat="1" applyFont="1" applyFill="1" applyBorder="1" applyAlignment="1">
      <alignment horizontal="center" wrapText="1"/>
    </xf>
    <xf numFmtId="49" fontId="115" fillId="0" borderId="0" xfId="57810" applyNumberFormat="1" applyFont="1" applyAlignment="1"/>
    <xf numFmtId="43" fontId="81" fillId="0" borderId="0" xfId="8667" applyNumberFormat="1" applyFont="1" applyFill="1" applyBorder="1" applyAlignment="1">
      <alignment horizontal="left"/>
    </xf>
    <xf numFmtId="0" fontId="185" fillId="0" borderId="0" xfId="8667" applyFont="1" applyFill="1" applyBorder="1" applyAlignment="1">
      <alignment horizontal="left"/>
    </xf>
    <xf numFmtId="0" fontId="185" fillId="0" borderId="5" xfId="8667" applyFont="1" applyFill="1" applyBorder="1" applyAlignment="1">
      <alignment horizontal="center" wrapText="1"/>
    </xf>
    <xf numFmtId="49" fontId="81" fillId="0" borderId="0" xfId="8668" applyNumberFormat="1" applyFont="1" applyFill="1" applyBorder="1" applyAlignment="1">
      <alignment horizontal="center" wrapText="1"/>
    </xf>
    <xf numFmtId="173" fontId="81" fillId="0" borderId="0" xfId="8668" applyNumberFormat="1" applyFont="1" applyFill="1" applyBorder="1" applyAlignment="1">
      <alignment horizontal="center" wrapText="1"/>
    </xf>
    <xf numFmtId="37" fontId="14" fillId="0" borderId="0" xfId="8765" applyNumberFormat="1" applyFont="1" applyFill="1" applyAlignment="1">
      <alignment horizontal="center"/>
    </xf>
    <xf numFmtId="180" fontId="15" fillId="0" borderId="0" xfId="52774" applyNumberFormat="1" applyFont="1" applyFill="1" applyAlignment="1">
      <alignment horizontal="left"/>
    </xf>
    <xf numFmtId="180" fontId="15" fillId="0" borderId="22" xfId="52774" applyNumberFormat="1" applyFont="1" applyFill="1" applyBorder="1" applyAlignment="1">
      <alignment horizontal="right"/>
    </xf>
    <xf numFmtId="180" fontId="15" fillId="0" borderId="0" xfId="52774" applyNumberFormat="1" applyFont="1" applyFill="1" applyAlignment="1">
      <alignment horizontal="right"/>
    </xf>
    <xf numFmtId="0" fontId="13" fillId="0" borderId="0" xfId="8667" applyFont="1" applyFill="1" applyBorder="1" applyAlignment="1">
      <alignment horizontal="left"/>
    </xf>
    <xf numFmtId="0" fontId="196" fillId="0" borderId="0" xfId="8667" applyFont="1" applyFill="1" applyBorder="1" applyAlignment="1">
      <alignment horizontal="left"/>
    </xf>
    <xf numFmtId="37" fontId="13" fillId="0" borderId="0" xfId="9302" applyFont="1" applyFill="1" applyAlignment="1">
      <alignment horizontal="right"/>
    </xf>
    <xf numFmtId="37" fontId="13" fillId="0" borderId="0" xfId="9302" quotePrefix="1" applyFont="1" applyAlignment="1">
      <alignment horizontal="right"/>
    </xf>
    <xf numFmtId="37" fontId="14" fillId="0" borderId="0" xfId="8765" applyNumberFormat="1" applyFont="1" applyFill="1" applyAlignment="1">
      <alignment horizontal="center"/>
    </xf>
    <xf numFmtId="0" fontId="14" fillId="0" borderId="0" xfId="8667" applyFont="1" applyFill="1" applyBorder="1" applyAlignment="1">
      <alignment horizontal="center"/>
    </xf>
    <xf numFmtId="173" fontId="14" fillId="0" borderId="0" xfId="8668" applyNumberFormat="1" applyFont="1" applyFill="1" applyBorder="1" applyAlignment="1">
      <alignment horizontal="right"/>
    </xf>
    <xf numFmtId="173" fontId="14" fillId="0" borderId="7" xfId="8668" applyNumberFormat="1" applyFont="1" applyFill="1" applyBorder="1" applyAlignment="1">
      <alignment horizontal="right"/>
    </xf>
    <xf numFmtId="173" fontId="81" fillId="0" borderId="0" xfId="8668" applyNumberFormat="1" applyFont="1" applyFill="1" applyBorder="1" applyAlignment="1">
      <alignment horizontal="right"/>
    </xf>
    <xf numFmtId="173" fontId="81" fillId="0" borderId="7" xfId="8668" applyNumberFormat="1" applyFont="1" applyFill="1" applyBorder="1" applyAlignment="1">
      <alignment horizontal="right"/>
    </xf>
    <xf numFmtId="175" fontId="14" fillId="0" borderId="0" xfId="8669" applyNumberFormat="1" applyFont="1" applyFill="1" applyBorder="1" applyAlignment="1">
      <alignment horizontal="right"/>
    </xf>
    <xf numFmtId="0" fontId="86" fillId="0" borderId="0" xfId="8779" applyFont="1" applyFill="1" applyAlignment="1">
      <alignment horizontal="center"/>
    </xf>
    <xf numFmtId="0" fontId="14" fillId="0" borderId="0" xfId="4397"/>
    <xf numFmtId="164" fontId="13" fillId="0" borderId="0" xfId="0" applyNumberFormat="1" applyFont="1" applyFill="1"/>
    <xf numFmtId="185" fontId="15" fillId="0" borderId="0" xfId="1" applyNumberFormat="1" applyFont="1" applyFill="1" applyAlignment="1">
      <alignment horizontal="right"/>
    </xf>
    <xf numFmtId="198" fontId="15" fillId="0" borderId="0" xfId="1" applyNumberFormat="1" applyFont="1" applyFill="1" applyAlignment="1">
      <alignment horizontal="right"/>
    </xf>
    <xf numFmtId="199" fontId="15" fillId="0" borderId="0" xfId="1" applyNumberFormat="1" applyFont="1" applyFill="1" applyAlignment="1">
      <alignment horizontal="right"/>
    </xf>
    <xf numFmtId="49" fontId="15" fillId="0" borderId="0" xfId="52774" applyNumberFormat="1" applyFont="1" applyFill="1" applyAlignment="1">
      <alignment horizontal="left" wrapText="1"/>
    </xf>
    <xf numFmtId="49" fontId="15" fillId="0" borderId="0" xfId="52774" applyNumberFormat="1" applyFont="1" applyFill="1" applyAlignment="1">
      <alignment horizontal="right" wrapText="1"/>
    </xf>
    <xf numFmtId="180" fontId="16" fillId="0" borderId="0" xfId="52774" applyNumberFormat="1" applyFont="1" applyFill="1" applyAlignment="1">
      <alignment horizontal="left"/>
    </xf>
    <xf numFmtId="49" fontId="16" fillId="0" borderId="0" xfId="52774" applyNumberFormat="1" applyFont="1" applyFill="1" applyAlignment="1">
      <alignment horizontal="left" wrapText="1"/>
    </xf>
    <xf numFmtId="180" fontId="186" fillId="0" borderId="0" xfId="52774" applyNumberFormat="1" applyFont="1" applyFill="1" applyAlignment="1">
      <alignment horizontal="right"/>
    </xf>
    <xf numFmtId="180" fontId="16" fillId="0" borderId="22" xfId="52774" applyNumberFormat="1" applyFont="1" applyFill="1" applyBorder="1" applyAlignment="1">
      <alignment horizontal="right"/>
    </xf>
    <xf numFmtId="180" fontId="15" fillId="0" borderId="5" xfId="52774" applyNumberFormat="1" applyFont="1" applyFill="1" applyBorder="1" applyAlignment="1">
      <alignment horizontal="right"/>
    </xf>
    <xf numFmtId="173" fontId="0" fillId="0" borderId="0" xfId="29012" applyNumberFormat="1" applyFont="1" applyFill="1" applyAlignment="1">
      <alignment horizontal="right"/>
    </xf>
    <xf numFmtId="180" fontId="15" fillId="0" borderId="0" xfId="52774" quotePrefix="1" applyNumberFormat="1" applyFont="1" applyFill="1" applyAlignment="1">
      <alignment horizontal="right"/>
    </xf>
    <xf numFmtId="180" fontId="15" fillId="0" borderId="22" xfId="52774" quotePrefix="1" applyNumberFormat="1" applyFont="1" applyFill="1" applyBorder="1" applyAlignment="1">
      <alignment horizontal="right"/>
    </xf>
    <xf numFmtId="180" fontId="16" fillId="0" borderId="0" xfId="52774" applyNumberFormat="1" applyFont="1" applyFill="1" applyAlignment="1">
      <alignment horizontal="right"/>
    </xf>
    <xf numFmtId="180" fontId="15" fillId="0" borderId="0" xfId="52774" applyNumberFormat="1" applyFont="1" applyFill="1" applyBorder="1" applyAlignment="1">
      <alignment horizontal="right"/>
    </xf>
    <xf numFmtId="173" fontId="187" fillId="0" borderId="0" xfId="29012" applyNumberFormat="1" applyFont="1" applyFill="1" applyAlignment="1">
      <alignment horizontal="right"/>
    </xf>
    <xf numFmtId="189" fontId="15" fillId="0" borderId="0" xfId="1" applyNumberFormat="1" applyFont="1" applyFill="1" applyAlignment="1">
      <alignment horizontal="right"/>
    </xf>
    <xf numFmtId="0" fontId="15" fillId="0" borderId="0" xfId="1" applyFill="1"/>
    <xf numFmtId="0" fontId="16" fillId="0" borderId="0" xfId="1" applyFont="1" applyFill="1"/>
    <xf numFmtId="180" fontId="15" fillId="0" borderId="0" xfId="1" applyNumberFormat="1" applyFont="1" applyFill="1" applyBorder="1" applyAlignment="1">
      <alignment horizontal="right"/>
    </xf>
    <xf numFmtId="0" fontId="87" fillId="0" borderId="0" xfId="1" applyFont="1" applyFill="1"/>
    <xf numFmtId="16" fontId="15" fillId="0" borderId="0" xfId="1" quotePrefix="1" applyNumberFormat="1" applyFill="1" applyAlignment="1">
      <alignment horizontal="center"/>
    </xf>
    <xf numFmtId="0" fontId="15" fillId="0" borderId="0" xfId="1" quotePrefix="1" applyFill="1" applyAlignment="1">
      <alignment horizontal="center"/>
    </xf>
    <xf numFmtId="180" fontId="15" fillId="0" borderId="0" xfId="1" applyNumberFormat="1" applyFill="1"/>
    <xf numFmtId="0" fontId="33" fillId="0" borderId="0" xfId="8779" quotePrefix="1" applyFont="1" applyFill="1" applyAlignment="1"/>
    <xf numFmtId="0" fontId="14" fillId="0" borderId="0" xfId="8813" applyFont="1"/>
    <xf numFmtId="180" fontId="14" fillId="0" borderId="0" xfId="60200" applyNumberFormat="1" applyFont="1" applyAlignment="1">
      <alignment horizontal="right"/>
    </xf>
    <xf numFmtId="0" fontId="14" fillId="0" borderId="0" xfId="60200"/>
    <xf numFmtId="0" fontId="81" fillId="0" borderId="0" xfId="8667" applyFont="1" applyFill="1" applyBorder="1" applyAlignment="1">
      <alignment horizontal="center"/>
    </xf>
    <xf numFmtId="0" fontId="81" fillId="0" borderId="0" xfId="8667" applyFont="1" applyFill="1" applyBorder="1" applyAlignment="1">
      <alignment horizontal="center"/>
    </xf>
    <xf numFmtId="0" fontId="13" fillId="0" borderId="5" xfId="8813" applyFont="1" applyBorder="1"/>
    <xf numFmtId="49" fontId="14" fillId="0" borderId="0" xfId="8813" applyNumberFormat="1" applyFont="1" applyAlignment="1">
      <alignment horizontal="left"/>
    </xf>
    <xf numFmtId="14" fontId="14" fillId="0" borderId="0" xfId="8813" applyNumberFormat="1" applyFont="1" applyAlignment="1">
      <alignment horizontal="left"/>
    </xf>
    <xf numFmtId="0" fontId="84" fillId="0" borderId="0" xfId="8813" applyFont="1"/>
    <xf numFmtId="37" fontId="0" fillId="0" borderId="0" xfId="0" applyBorder="1"/>
    <xf numFmtId="37" fontId="13" fillId="0" borderId="0" xfId="0" applyFont="1" applyBorder="1" applyAlignment="1">
      <alignment horizontal="center"/>
    </xf>
    <xf numFmtId="37" fontId="0" fillId="0" borderId="0" xfId="0" applyFill="1" applyBorder="1"/>
    <xf numFmtId="180" fontId="209" fillId="0" borderId="0" xfId="1" applyNumberFormat="1" applyFont="1" applyFill="1" applyAlignment="1">
      <alignment horizontal="left"/>
    </xf>
    <xf numFmtId="43" fontId="14" fillId="0" borderId="0" xfId="62040" applyFont="1" applyBorder="1"/>
    <xf numFmtId="0" fontId="81" fillId="0" borderId="0" xfId="8667" applyFont="1" applyFill="1" applyBorder="1" applyAlignment="1">
      <alignment horizontal="center" vertical="center"/>
    </xf>
    <xf numFmtId="0" fontId="14" fillId="0" borderId="0" xfId="8765" applyFont="1" applyFill="1" applyBorder="1"/>
    <xf numFmtId="177" fontId="14" fillId="0" borderId="0" xfId="8765" applyNumberFormat="1" applyFont="1" applyFill="1" applyBorder="1" applyAlignment="1">
      <alignment horizontal="center"/>
    </xf>
    <xf numFmtId="182" fontId="14" fillId="0" borderId="0" xfId="3834" applyNumberFormat="1" applyFont="1" applyFill="1" applyBorder="1" applyProtection="1">
      <protection locked="0"/>
    </xf>
    <xf numFmtId="182" fontId="14" fillId="0" borderId="0" xfId="3834" applyNumberFormat="1" applyFont="1" applyFill="1" applyBorder="1"/>
    <xf numFmtId="37" fontId="14" fillId="0" borderId="0" xfId="0" applyFont="1" applyFill="1" applyBorder="1"/>
    <xf numFmtId="5" fontId="14" fillId="0" borderId="0" xfId="0" applyNumberFormat="1" applyFont="1" applyFill="1" applyBorder="1"/>
    <xf numFmtId="182" fontId="14" fillId="0" borderId="0" xfId="3834" quotePrefix="1" applyNumberFormat="1" applyFont="1" applyFill="1" applyBorder="1"/>
    <xf numFmtId="182" fontId="14" fillId="0" borderId="0" xfId="0" applyNumberFormat="1" applyFont="1" applyFill="1" applyBorder="1"/>
    <xf numFmtId="173" fontId="14" fillId="0" borderId="5" xfId="3236" applyNumberFormat="1" applyFont="1" applyFill="1" applyBorder="1" applyProtection="1">
      <protection locked="0"/>
    </xf>
    <xf numFmtId="37" fontId="14" fillId="0" borderId="0" xfId="8765" applyNumberFormat="1" applyFont="1" applyFill="1" applyAlignment="1">
      <alignment horizontal="center"/>
    </xf>
    <xf numFmtId="49" fontId="0" fillId="0" borderId="0" xfId="0" applyNumberFormat="1" applyFont="1" applyAlignment="1">
      <alignment horizontal="left" wrapText="1"/>
    </xf>
    <xf numFmtId="49" fontId="0" fillId="0" borderId="0" xfId="0" applyNumberFormat="1" applyFont="1" applyAlignment="1">
      <alignment horizontal="right" wrapText="1"/>
    </xf>
    <xf numFmtId="49" fontId="16" fillId="0" borderId="0" xfId="0" applyNumberFormat="1" applyFont="1" applyAlignment="1">
      <alignment horizontal="left" wrapText="1"/>
    </xf>
    <xf numFmtId="189" fontId="16" fillId="0" borderId="0" xfId="0" applyNumberFormat="1" applyFont="1" applyAlignment="1">
      <alignment horizontal="left"/>
    </xf>
    <xf numFmtId="189" fontId="0" fillId="0" borderId="0" xfId="0" applyNumberFormat="1" applyFont="1" applyAlignment="1">
      <alignment horizontal="right"/>
    </xf>
    <xf numFmtId="180" fontId="0" fillId="0" borderId="0" xfId="0" applyNumberFormat="1" applyFont="1" applyAlignment="1">
      <alignment horizontal="left"/>
    </xf>
    <xf numFmtId="180" fontId="0" fillId="0" borderId="0" xfId="0" applyNumberFormat="1" applyFont="1" applyAlignment="1">
      <alignment horizontal="right"/>
    </xf>
    <xf numFmtId="189" fontId="0" fillId="0" borderId="0" xfId="0" applyNumberFormat="1" applyFont="1" applyAlignment="1">
      <alignment horizontal="left"/>
    </xf>
    <xf numFmtId="180" fontId="16" fillId="0" borderId="0" xfId="0" applyNumberFormat="1" applyFont="1" applyAlignment="1">
      <alignment horizontal="left"/>
    </xf>
    <xf numFmtId="49" fontId="14" fillId="0" borderId="0" xfId="60200" applyNumberFormat="1" applyFont="1" applyAlignment="1">
      <alignment horizontal="right" wrapText="1"/>
    </xf>
    <xf numFmtId="49" fontId="14" fillId="0" borderId="0" xfId="60200" applyNumberFormat="1" applyFont="1" applyAlignment="1">
      <alignment horizontal="center" wrapText="1"/>
    </xf>
    <xf numFmtId="180" fontId="14" fillId="0" borderId="0" xfId="60200" applyNumberFormat="1"/>
    <xf numFmtId="0" fontId="14" fillId="0" borderId="0" xfId="60200" applyFont="1"/>
    <xf numFmtId="173" fontId="81" fillId="0" borderId="0" xfId="8667" applyNumberFormat="1" applyFont="1" applyFill="1" applyBorder="1" applyAlignment="1">
      <alignment horizontal="left"/>
    </xf>
    <xf numFmtId="0" fontId="210" fillId="0" borderId="0" xfId="8815" applyFont="1" applyFill="1" applyAlignment="1"/>
    <xf numFmtId="0" fontId="86" fillId="0" borderId="0" xfId="8815" applyFont="1" applyFill="1" applyAlignment="1">
      <alignment horizontal="center"/>
    </xf>
    <xf numFmtId="0" fontId="86" fillId="0" borderId="5" xfId="8815" applyFont="1" applyFill="1" applyBorder="1" applyAlignment="1">
      <alignment horizontal="center"/>
    </xf>
    <xf numFmtId="37" fontId="210" fillId="0" borderId="0" xfId="8815" applyNumberFormat="1" applyFont="1" applyFill="1" applyAlignment="1"/>
    <xf numFmtId="37" fontId="86" fillId="0" borderId="0" xfId="8815" applyNumberFormat="1" applyFont="1" applyFill="1" applyAlignment="1">
      <alignment horizontal="center"/>
    </xf>
    <xf numFmtId="201" fontId="210" fillId="0" borderId="0" xfId="8815" applyNumberFormat="1" applyFont="1" applyFill="1" applyAlignment="1"/>
    <xf numFmtId="0" fontId="33" fillId="0" borderId="0" xfId="8815" applyNumberFormat="1" applyFont="1" applyFill="1" applyAlignment="1">
      <alignment horizontal="left"/>
    </xf>
    <xf numFmtId="0" fontId="33" fillId="0" borderId="0" xfId="8815" applyNumberFormat="1" applyFont="1" applyFill="1" applyAlignment="1">
      <alignment horizontal="center"/>
    </xf>
    <xf numFmtId="0" fontId="33" fillId="0" borderId="0" xfId="8815" applyFont="1" applyFill="1" applyAlignment="1"/>
    <xf numFmtId="2" fontId="210" fillId="0" borderId="0" xfId="8815" applyNumberFormat="1" applyFont="1" applyFill="1"/>
    <xf numFmtId="0" fontId="210" fillId="0" borderId="0" xfId="8815" applyFont="1" applyFill="1"/>
    <xf numFmtId="0" fontId="33" fillId="0" borderId="0" xfId="8815" applyNumberFormat="1" applyFont="1" applyFill="1" applyAlignment="1"/>
    <xf numFmtId="0" fontId="210" fillId="0" borderId="0" xfId="8815" applyFont="1" applyFill="1" applyBorder="1" applyAlignment="1"/>
    <xf numFmtId="201" fontId="210" fillId="0" borderId="0" xfId="8815" applyNumberFormat="1" applyFont="1" applyFill="1" applyBorder="1" applyAlignment="1"/>
    <xf numFmtId="201" fontId="33" fillId="0" borderId="0" xfId="8815" applyNumberFormat="1" applyFont="1" applyFill="1" applyAlignment="1"/>
    <xf numFmtId="9" fontId="33" fillId="0" borderId="0" xfId="8669" applyFont="1" applyFill="1" applyAlignment="1">
      <alignment horizontal="center"/>
    </xf>
    <xf numFmtId="9" fontId="81" fillId="0" borderId="0" xfId="8669" applyFont="1" applyFill="1" applyBorder="1" applyAlignment="1">
      <alignment horizontal="right" wrapText="1"/>
    </xf>
    <xf numFmtId="9" fontId="33" fillId="0" borderId="0" xfId="8669" quotePrefix="1" applyFont="1" applyFill="1" applyAlignment="1">
      <alignment horizontal="center"/>
    </xf>
    <xf numFmtId="2" fontId="33" fillId="0" borderId="0" xfId="8815" quotePrefix="1" applyNumberFormat="1" applyFont="1" applyFill="1" applyAlignment="1">
      <alignment horizontal="center"/>
    </xf>
    <xf numFmtId="49" fontId="15" fillId="0" borderId="0" xfId="52774" applyNumberFormat="1" applyFont="1" applyAlignment="1">
      <alignment horizontal="left" wrapText="1"/>
    </xf>
    <xf numFmtId="180" fontId="15" fillId="0" borderId="0" xfId="52774" applyNumberFormat="1" applyFont="1" applyFill="1" applyAlignment="1">
      <alignment horizontal="left" indent="3"/>
    </xf>
    <xf numFmtId="202" fontId="15" fillId="0" borderId="0" xfId="52774" applyNumberFormat="1" applyFont="1" applyFill="1" applyAlignment="1">
      <alignment horizontal="right"/>
    </xf>
    <xf numFmtId="0" fontId="81" fillId="0" borderId="0" xfId="8667" applyFont="1" applyFill="1" applyBorder="1" applyAlignment="1">
      <alignment horizontal="center"/>
    </xf>
    <xf numFmtId="0" fontId="81" fillId="0" borderId="0" xfId="8667" applyFont="1" applyFill="1" applyBorder="1" applyAlignment="1">
      <alignment horizontal="center"/>
    </xf>
    <xf numFmtId="49" fontId="2" fillId="0" borderId="0" xfId="52772" applyNumberFormat="1" applyFont="1" applyFill="1" applyAlignment="1">
      <alignment horizontal="left" wrapText="1"/>
    </xf>
    <xf numFmtId="49" fontId="5" fillId="0" borderId="0" xfId="52772" applyNumberFormat="1" applyFont="1" applyFill="1" applyAlignment="1">
      <alignment horizontal="right" wrapText="1"/>
    </xf>
    <xf numFmtId="49" fontId="5" fillId="0" borderId="0" xfId="52772" applyNumberFormat="1" applyFont="1" applyFill="1" applyAlignment="1">
      <alignment horizontal="left" wrapText="1"/>
    </xf>
    <xf numFmtId="180" fontId="11" fillId="0" borderId="0" xfId="52772" applyNumberFormat="1" applyFont="1" applyFill="1" applyAlignment="1">
      <alignment horizontal="left"/>
    </xf>
    <xf numFmtId="37" fontId="5" fillId="0" borderId="0" xfId="52772" applyNumberFormat="1" applyFill="1"/>
    <xf numFmtId="180" fontId="5" fillId="0" borderId="0" xfId="52772" applyNumberFormat="1" applyFont="1" applyFill="1" applyAlignment="1">
      <alignment horizontal="right"/>
    </xf>
    <xf numFmtId="0" fontId="5" fillId="0" borderId="0" xfId="52772" applyFill="1"/>
    <xf numFmtId="180" fontId="1" fillId="0" borderId="0" xfId="52772" applyNumberFormat="1" applyFont="1" applyFill="1" applyAlignment="1">
      <alignment horizontal="left"/>
    </xf>
    <xf numFmtId="0" fontId="86" fillId="0" borderId="0" xfId="8815" applyFont="1" applyFill="1" applyAlignment="1">
      <alignment horizontal="centerContinuous"/>
    </xf>
    <xf numFmtId="0" fontId="86" fillId="0" borderId="0" xfId="8815" applyNumberFormat="1" applyFont="1" applyFill="1" applyAlignment="1">
      <alignment horizontal="centerContinuous"/>
    </xf>
    <xf numFmtId="0" fontId="210" fillId="0" borderId="0" xfId="8815" applyNumberFormat="1" applyFont="1" applyFill="1" applyAlignment="1">
      <alignment horizontal="centerContinuous"/>
    </xf>
    <xf numFmtId="177" fontId="210" fillId="0" borderId="0" xfId="8815" applyNumberFormat="1" applyFont="1" applyFill="1" applyAlignment="1">
      <alignment horizontal="centerContinuous"/>
    </xf>
    <xf numFmtId="0" fontId="86" fillId="0" borderId="0" xfId="8815" applyFont="1" applyFill="1" applyAlignment="1"/>
    <xf numFmtId="0" fontId="86" fillId="0" borderId="0" xfId="8815" applyNumberFormat="1" applyFont="1" applyFill="1" applyAlignment="1">
      <alignment horizontal="center"/>
    </xf>
    <xf numFmtId="177" fontId="86" fillId="0" borderId="0" xfId="8815" applyNumberFormat="1" applyFont="1" applyFill="1" applyAlignment="1">
      <alignment horizontal="center"/>
    </xf>
    <xf numFmtId="0" fontId="33" fillId="0" borderId="0" xfId="8815" applyNumberFormat="1" applyFont="1" applyFill="1" applyBorder="1" applyAlignment="1">
      <alignment horizontal="centerContinuous"/>
    </xf>
    <xf numFmtId="0" fontId="86" fillId="0" borderId="0" xfId="8815" applyNumberFormat="1" applyFont="1" applyFill="1" applyBorder="1" applyAlignment="1">
      <alignment horizontal="center"/>
    </xf>
    <xf numFmtId="37" fontId="86" fillId="0" borderId="25" xfId="8815" applyNumberFormat="1" applyFont="1" applyFill="1" applyBorder="1" applyAlignment="1">
      <alignment horizontal="center"/>
    </xf>
    <xf numFmtId="3" fontId="86" fillId="0" borderId="0" xfId="8815" applyNumberFormat="1" applyFont="1" applyFill="1" applyAlignment="1">
      <alignment horizontal="center"/>
    </xf>
    <xf numFmtId="177" fontId="86" fillId="0" borderId="25" xfId="8815" applyNumberFormat="1" applyFont="1" applyFill="1" applyBorder="1" applyAlignment="1">
      <alignment horizontal="center"/>
    </xf>
    <xf numFmtId="3" fontId="86" fillId="0" borderId="25" xfId="8815" applyNumberFormat="1" applyFont="1" applyFill="1" applyBorder="1" applyAlignment="1">
      <alignment horizontal="center"/>
    </xf>
    <xf numFmtId="0" fontId="86" fillId="0" borderId="0" xfId="8815" applyNumberFormat="1" applyFont="1" applyFill="1" applyAlignment="1"/>
    <xf numFmtId="177" fontId="33" fillId="0" borderId="0" xfId="8815" applyNumberFormat="1" applyFont="1" applyFill="1" applyAlignment="1">
      <alignment horizontal="center"/>
    </xf>
    <xf numFmtId="0" fontId="33" fillId="0" borderId="0" xfId="8815" applyFont="1" applyFill="1" applyAlignment="1">
      <alignment horizontal="center"/>
    </xf>
    <xf numFmtId="0" fontId="86" fillId="0" borderId="5" xfId="8815" applyNumberFormat="1" applyFont="1" applyFill="1" applyBorder="1" applyAlignment="1">
      <alignment horizontal="center"/>
    </xf>
    <xf numFmtId="0" fontId="86" fillId="0" borderId="0" xfId="8815" applyNumberFormat="1" applyFont="1" applyFill="1" applyAlignment="1">
      <alignment horizontal="left"/>
    </xf>
    <xf numFmtId="2" fontId="86" fillId="0" borderId="0" xfId="8815" applyNumberFormat="1" applyFont="1" applyFill="1"/>
    <xf numFmtId="0" fontId="86" fillId="0" borderId="25" xfId="8815" applyNumberFormat="1" applyFont="1" applyFill="1" applyBorder="1" applyAlignment="1">
      <alignment horizontal="center"/>
    </xf>
    <xf numFmtId="1" fontId="33" fillId="0" borderId="0" xfId="8815" applyNumberFormat="1" applyFont="1" applyFill="1" applyAlignment="1">
      <alignment horizontal="center"/>
    </xf>
    <xf numFmtId="2" fontId="210" fillId="0" borderId="5" xfId="8815" applyNumberFormat="1" applyFont="1" applyFill="1" applyBorder="1"/>
    <xf numFmtId="177" fontId="33" fillId="0" borderId="0" xfId="8815" quotePrefix="1" applyNumberFormat="1" applyFont="1" applyFill="1" applyAlignment="1">
      <alignment horizontal="center"/>
    </xf>
    <xf numFmtId="0" fontId="33" fillId="0" borderId="0" xfId="8815" quotePrefix="1" applyNumberFormat="1" applyFont="1" applyFill="1" applyAlignment="1">
      <alignment horizontal="center"/>
    </xf>
    <xf numFmtId="0" fontId="210" fillId="0" borderId="0" xfId="8815" quotePrefix="1" applyFont="1" applyFill="1" applyAlignment="1">
      <alignment horizontal="center"/>
    </xf>
    <xf numFmtId="2" fontId="211" fillId="0" borderId="0" xfId="8815" applyNumberFormat="1" applyFont="1" applyFill="1"/>
    <xf numFmtId="3" fontId="210" fillId="0" borderId="0" xfId="8815" applyNumberFormat="1" applyFont="1" applyFill="1"/>
    <xf numFmtId="2" fontId="211" fillId="0" borderId="0" xfId="8815" applyNumberFormat="1" applyFont="1" applyFill="1" applyBorder="1"/>
    <xf numFmtId="0" fontId="33" fillId="0" borderId="0" xfId="8815" quotePrefix="1" applyFont="1" applyFill="1" applyAlignment="1">
      <alignment horizontal="center"/>
    </xf>
    <xf numFmtId="2" fontId="210" fillId="0" borderId="0" xfId="8815" applyNumberFormat="1" applyFont="1" applyFill="1" applyAlignment="1">
      <alignment horizontal="right"/>
    </xf>
    <xf numFmtId="177" fontId="210" fillId="0" borderId="0" xfId="8815" quotePrefix="1" applyNumberFormat="1" applyFont="1" applyFill="1" applyAlignment="1">
      <alignment horizontal="center"/>
    </xf>
    <xf numFmtId="0" fontId="86" fillId="0" borderId="0" xfId="8815" applyNumberFormat="1" applyFont="1" applyFill="1" applyAlignment="1">
      <alignment horizontal="right"/>
    </xf>
    <xf numFmtId="177" fontId="210" fillId="0" borderId="0" xfId="8815" applyNumberFormat="1" applyFont="1" applyFill="1" applyAlignment="1"/>
    <xf numFmtId="0" fontId="210" fillId="0" borderId="0" xfId="8815" quotePrefix="1" applyFont="1" applyFill="1" applyAlignment="1"/>
    <xf numFmtId="0" fontId="33" fillId="0" borderId="0" xfId="8815" applyNumberFormat="1" applyFont="1" applyFill="1" applyBorder="1" applyAlignment="1">
      <alignment horizontal="left"/>
    </xf>
    <xf numFmtId="3" fontId="33" fillId="0" borderId="0" xfId="8815" applyNumberFormat="1" applyFont="1" applyFill="1" applyAlignment="1"/>
    <xf numFmtId="4" fontId="33" fillId="0" borderId="0" xfId="8815" applyNumberFormat="1" applyFont="1" applyFill="1" applyAlignment="1"/>
    <xf numFmtId="2" fontId="33" fillId="0" borderId="0" xfId="8815" applyNumberFormat="1" applyFont="1" applyFill="1" applyAlignment="1"/>
    <xf numFmtId="180" fontId="15" fillId="15" borderId="0" xfId="52774" applyNumberFormat="1" applyFont="1" applyFill="1" applyAlignment="1">
      <alignment horizontal="right"/>
    </xf>
    <xf numFmtId="0" fontId="15" fillId="15" borderId="0" xfId="1" applyFill="1"/>
    <xf numFmtId="37" fontId="145" fillId="0" borderId="0" xfId="9302" applyFont="1" applyFill="1" applyAlignment="1">
      <alignment horizontal="center"/>
    </xf>
    <xf numFmtId="49" fontId="145" fillId="0" borderId="0" xfId="9302" applyNumberFormat="1" applyFont="1" applyFill="1" applyAlignment="1">
      <alignment horizontal="center"/>
    </xf>
    <xf numFmtId="49" fontId="86" fillId="0" borderId="0" xfId="9302" applyNumberFormat="1" applyFont="1" applyFill="1" applyAlignment="1">
      <alignment horizontal="center"/>
    </xf>
    <xf numFmtId="0" fontId="83" fillId="0" borderId="0" xfId="8813" applyFont="1" applyAlignment="1">
      <alignment horizontal="center"/>
    </xf>
    <xf numFmtId="0" fontId="14" fillId="0" borderId="0" xfId="8676" applyFont="1" applyAlignment="1" applyProtection="1">
      <alignment horizontal="center"/>
    </xf>
    <xf numFmtId="49" fontId="14" fillId="0" borderId="0" xfId="8676" applyNumberFormat="1" applyFont="1" applyAlignment="1" applyProtection="1">
      <alignment horizontal="center"/>
    </xf>
    <xf numFmtId="49" fontId="14" fillId="0" borderId="0" xfId="8667" applyNumberFormat="1" applyFont="1" applyFill="1" applyBorder="1" applyAlignment="1">
      <alignment horizontal="center"/>
    </xf>
    <xf numFmtId="0" fontId="14" fillId="0" borderId="0" xfId="8667" applyFont="1" applyFill="1" applyBorder="1" applyAlignment="1">
      <alignment horizontal="center"/>
    </xf>
    <xf numFmtId="0" fontId="81" fillId="0" borderId="0" xfId="8667" applyFont="1" applyFill="1" applyBorder="1" applyAlignment="1">
      <alignment horizontal="center"/>
    </xf>
    <xf numFmtId="0" fontId="81" fillId="0" borderId="28" xfId="8667" applyFont="1" applyFill="1" applyBorder="1" applyAlignment="1">
      <alignment horizontal="center"/>
    </xf>
    <xf numFmtId="37" fontId="71" fillId="0" borderId="0" xfId="8765" applyNumberFormat="1" applyFont="1" applyFill="1" applyAlignment="1">
      <alignment horizontal="center"/>
    </xf>
    <xf numFmtId="37" fontId="14" fillId="0" borderId="0" xfId="8765" applyNumberFormat="1" applyFont="1" applyFill="1" applyAlignment="1">
      <alignment horizontal="center"/>
    </xf>
    <xf numFmtId="0" fontId="13" fillId="0" borderId="0" xfId="0" applyNumberFormat="1" applyFont="1" applyFill="1" applyAlignment="1" applyProtection="1">
      <alignment horizontal="center"/>
    </xf>
    <xf numFmtId="165" fontId="13" fillId="0" borderId="0" xfId="0" quotePrefix="1" applyNumberFormat="1" applyFont="1" applyFill="1" applyAlignment="1">
      <alignment horizontal="center"/>
    </xf>
    <xf numFmtId="165" fontId="13" fillId="0" borderId="0" xfId="0" applyNumberFormat="1" applyFont="1" applyFill="1" applyAlignment="1">
      <alignment horizontal="center"/>
    </xf>
    <xf numFmtId="0" fontId="86" fillId="0" borderId="0" xfId="8779" applyFont="1" applyFill="1" applyAlignment="1">
      <alignment horizontal="center"/>
    </xf>
    <xf numFmtId="0" fontId="86" fillId="0" borderId="5" xfId="8779" applyFont="1" applyFill="1" applyBorder="1" applyAlignment="1">
      <alignment horizontal="center"/>
    </xf>
    <xf numFmtId="0" fontId="86" fillId="0" borderId="0" xfId="8815" applyFont="1" applyFill="1" applyAlignment="1">
      <alignment horizontal="center"/>
    </xf>
  </cellXfs>
  <cellStyles count="62041">
    <cellStyle name="_x0013_" xfId="9384"/>
    <cellStyle name="%" xfId="8677"/>
    <cellStyle name="_Ebill Paper Bill ARC Recovery" xfId="8678"/>
    <cellStyle name="_MTC Resource Unit Baseline by state 050920 v2" xfId="8679"/>
    <cellStyle name="_Row1" xfId="6"/>
    <cellStyle name="_Row1 2" xfId="7"/>
    <cellStyle name="_Row1 3" xfId="9385"/>
    <cellStyle name="_Term for Change of Control" xfId="8680"/>
    <cellStyle name="_Term for Convenience" xfId="8681"/>
    <cellStyle name="_Transformation Projects Cap vs Exp Master" xfId="8682"/>
    <cellStyle name="=C:\WINNT\SYSTEM32\COMMAND.COM" xfId="8208"/>
    <cellStyle name="=C:\WINNT\SYSTEM32\COMMAND.COM 2" xfId="8209"/>
    <cellStyle name="=C:\WINNT\SYSTEM32\COMMAND.COM 2 2" xfId="9386"/>
    <cellStyle name="=C:\WINNT\SYSTEM32\COMMAND.COM 3" xfId="9387"/>
    <cellStyle name="=C:\WINNT35\SYSTEM32\COMMAND.COM" xfId="9388"/>
    <cellStyle name="20% - Accent1 10" xfId="8"/>
    <cellStyle name="20% - Accent1 10 2" xfId="9"/>
    <cellStyle name="20% - Accent1 10 2 2" xfId="10"/>
    <cellStyle name="20% - Accent1 10 3" xfId="11"/>
    <cellStyle name="20% - Accent1 10 4" xfId="57995"/>
    <cellStyle name="20% - Accent1 11" xfId="12"/>
    <cellStyle name="20% - Accent1 11 2" xfId="13"/>
    <cellStyle name="20% - Accent1 11 2 2" xfId="14"/>
    <cellStyle name="20% - Accent1 11 3" xfId="15"/>
    <cellStyle name="20% - Accent1 11 4" xfId="57996"/>
    <cellStyle name="20% - Accent1 12" xfId="16"/>
    <cellStyle name="20% - Accent1 12 2" xfId="17"/>
    <cellStyle name="20% - Accent1 12 3" xfId="57997"/>
    <cellStyle name="20% - Accent1 13" xfId="18"/>
    <cellStyle name="20% - Accent1 13 2" xfId="57998"/>
    <cellStyle name="20% - Accent1 14" xfId="8818"/>
    <cellStyle name="20% - Accent1 15" xfId="9389"/>
    <cellStyle name="20% - Accent1 16" xfId="9390"/>
    <cellStyle name="20% - Accent1 17" xfId="9391"/>
    <cellStyle name="20% - Accent1 17 2" xfId="57999"/>
    <cellStyle name="20% - Accent1 18" xfId="58000"/>
    <cellStyle name="20% - Accent1 19" xfId="58001"/>
    <cellStyle name="20% - Accent1 2" xfId="19"/>
    <cellStyle name="20% - Accent1 2 2" xfId="20"/>
    <cellStyle name="20% - Accent1 2 2 2" xfId="21"/>
    <cellStyle name="20% - Accent1 2 2 2 2" xfId="22"/>
    <cellStyle name="20% - Accent1 2 2 2 2 2" xfId="23"/>
    <cellStyle name="20% - Accent1 2 2 2 2 2 2" xfId="24"/>
    <cellStyle name="20% - Accent1 2 2 2 2 2 2 2" xfId="25"/>
    <cellStyle name="20% - Accent1 2 2 2 2 2 3" xfId="26"/>
    <cellStyle name="20% - Accent1 2 2 2 2 3" xfId="27"/>
    <cellStyle name="20% - Accent1 2 2 2 2 3 2" xfId="28"/>
    <cellStyle name="20% - Accent1 2 2 2 2 4" xfId="29"/>
    <cellStyle name="20% - Accent1 2 2 2 2 5" xfId="58002"/>
    <cellStyle name="20% - Accent1 2 2 2 3" xfId="30"/>
    <cellStyle name="20% - Accent1 2 2 2 3 2" xfId="31"/>
    <cellStyle name="20% - Accent1 2 2 2 3 2 2" xfId="32"/>
    <cellStyle name="20% - Accent1 2 2 2 3 3" xfId="33"/>
    <cellStyle name="20% - Accent1 2 2 2 4" xfId="34"/>
    <cellStyle name="20% - Accent1 2 2 2 4 2" xfId="35"/>
    <cellStyle name="20% - Accent1 2 2 2 5" xfId="36"/>
    <cellStyle name="20% - Accent1 2 2 2 6" xfId="58003"/>
    <cellStyle name="20% - Accent1 2 2 3" xfId="37"/>
    <cellStyle name="20% - Accent1 2 2 3 2" xfId="38"/>
    <cellStyle name="20% - Accent1 2 2 3 2 2" xfId="39"/>
    <cellStyle name="20% - Accent1 2 2 3 2 2 2" xfId="40"/>
    <cellStyle name="20% - Accent1 2 2 3 2 3" xfId="41"/>
    <cellStyle name="20% - Accent1 2 2 3 3" xfId="42"/>
    <cellStyle name="20% - Accent1 2 2 3 3 2" xfId="43"/>
    <cellStyle name="20% - Accent1 2 2 3 4" xfId="44"/>
    <cellStyle name="20% - Accent1 2 2 3 5" xfId="58004"/>
    <cellStyle name="20% - Accent1 2 2 4" xfId="45"/>
    <cellStyle name="20% - Accent1 2 2 4 2" xfId="46"/>
    <cellStyle name="20% - Accent1 2 2 4 2 2" xfId="47"/>
    <cellStyle name="20% - Accent1 2 2 4 3" xfId="48"/>
    <cellStyle name="20% - Accent1 2 2 5" xfId="49"/>
    <cellStyle name="20% - Accent1 2 2 5 2" xfId="50"/>
    <cellStyle name="20% - Accent1 2 2 6" xfId="51"/>
    <cellStyle name="20% - Accent1 2 2 7" xfId="58005"/>
    <cellStyle name="20% - Accent1 2 3" xfId="52"/>
    <cellStyle name="20% - Accent1 2 3 2" xfId="53"/>
    <cellStyle name="20% - Accent1 2 3 2 2" xfId="54"/>
    <cellStyle name="20% - Accent1 2 3 2 2 2" xfId="55"/>
    <cellStyle name="20% - Accent1 2 3 2 2 2 2" xfId="56"/>
    <cellStyle name="20% - Accent1 2 3 2 2 3" xfId="57"/>
    <cellStyle name="20% - Accent1 2 3 2 3" xfId="58"/>
    <cellStyle name="20% - Accent1 2 3 2 3 2" xfId="59"/>
    <cellStyle name="20% - Accent1 2 3 2 4" xfId="60"/>
    <cellStyle name="20% - Accent1 2 3 3" xfId="61"/>
    <cellStyle name="20% - Accent1 2 3 3 2" xfId="62"/>
    <cellStyle name="20% - Accent1 2 3 3 2 2" xfId="63"/>
    <cellStyle name="20% - Accent1 2 3 3 3" xfId="64"/>
    <cellStyle name="20% - Accent1 2 3 4" xfId="65"/>
    <cellStyle name="20% - Accent1 2 3 4 2" xfId="66"/>
    <cellStyle name="20% - Accent1 2 3 5" xfId="67"/>
    <cellStyle name="20% - Accent1 2 3 6" xfId="58006"/>
    <cellStyle name="20% - Accent1 2 4" xfId="68"/>
    <cellStyle name="20% - Accent1 2 4 2" xfId="69"/>
    <cellStyle name="20% - Accent1 2 4 2 2" xfId="70"/>
    <cellStyle name="20% - Accent1 2 4 2 2 2" xfId="71"/>
    <cellStyle name="20% - Accent1 2 4 2 3" xfId="72"/>
    <cellStyle name="20% - Accent1 2 4 3" xfId="73"/>
    <cellStyle name="20% - Accent1 2 4 3 2" xfId="74"/>
    <cellStyle name="20% - Accent1 2 4 4" xfId="75"/>
    <cellStyle name="20% - Accent1 2 4 5" xfId="58007"/>
    <cellStyle name="20% - Accent1 2 5" xfId="76"/>
    <cellStyle name="20% - Accent1 2 5 2" xfId="77"/>
    <cellStyle name="20% - Accent1 2 5 2 2" xfId="78"/>
    <cellStyle name="20% - Accent1 2 5 3" xfId="79"/>
    <cellStyle name="20% - Accent1 2 5 4" xfId="58008"/>
    <cellStyle name="20% - Accent1 2 6" xfId="80"/>
    <cellStyle name="20% - Accent1 2 6 2" xfId="81"/>
    <cellStyle name="20% - Accent1 2 6 3" xfId="58009"/>
    <cellStyle name="20% - Accent1 2 7" xfId="82"/>
    <cellStyle name="20% - Accent1 2 8" xfId="83"/>
    <cellStyle name="20% - Accent1 2 9" xfId="58010"/>
    <cellStyle name="20% - Accent1 20" xfId="58011"/>
    <cellStyle name="20% - Accent1 21" xfId="58012"/>
    <cellStyle name="20% - Accent1 3" xfId="84"/>
    <cellStyle name="20% - Accent1 3 2" xfId="85"/>
    <cellStyle name="20% - Accent1 3 2 2" xfId="86"/>
    <cellStyle name="20% - Accent1 3 2 2 2" xfId="87"/>
    <cellStyle name="20% - Accent1 3 2 2 2 2" xfId="88"/>
    <cellStyle name="20% - Accent1 3 2 2 2 2 2" xfId="89"/>
    <cellStyle name="20% - Accent1 3 2 2 2 2 2 2" xfId="90"/>
    <cellStyle name="20% - Accent1 3 2 2 2 2 3" xfId="91"/>
    <cellStyle name="20% - Accent1 3 2 2 2 3" xfId="92"/>
    <cellStyle name="20% - Accent1 3 2 2 2 3 2" xfId="93"/>
    <cellStyle name="20% - Accent1 3 2 2 2 4" xfId="94"/>
    <cellStyle name="20% - Accent1 3 2 2 2 5" xfId="8819"/>
    <cellStyle name="20% - Accent1 3 2 2 3" xfId="95"/>
    <cellStyle name="20% - Accent1 3 2 2 3 2" xfId="96"/>
    <cellStyle name="20% - Accent1 3 2 2 3 2 2" xfId="97"/>
    <cellStyle name="20% - Accent1 3 2 2 3 3" xfId="98"/>
    <cellStyle name="20% - Accent1 3 2 2 4" xfId="99"/>
    <cellStyle name="20% - Accent1 3 2 2 4 2" xfId="100"/>
    <cellStyle name="20% - Accent1 3 2 2 5" xfId="101"/>
    <cellStyle name="20% - Accent1 3 2 2 6" xfId="8820"/>
    <cellStyle name="20% - Accent1 3 2 3" xfId="102"/>
    <cellStyle name="20% - Accent1 3 2 3 2" xfId="103"/>
    <cellStyle name="20% - Accent1 3 2 3 2 2" xfId="104"/>
    <cellStyle name="20% - Accent1 3 2 3 2 2 2" xfId="105"/>
    <cellStyle name="20% - Accent1 3 2 3 2 3" xfId="106"/>
    <cellStyle name="20% - Accent1 3 2 3 3" xfId="107"/>
    <cellStyle name="20% - Accent1 3 2 3 3 2" xfId="108"/>
    <cellStyle name="20% - Accent1 3 2 3 4" xfId="109"/>
    <cellStyle name="20% - Accent1 3 2 3 5" xfId="8821"/>
    <cellStyle name="20% - Accent1 3 2 4" xfId="110"/>
    <cellStyle name="20% - Accent1 3 2 4 2" xfId="111"/>
    <cellStyle name="20% - Accent1 3 2 4 2 2" xfId="112"/>
    <cellStyle name="20% - Accent1 3 2 4 3" xfId="113"/>
    <cellStyle name="20% - Accent1 3 2 5" xfId="114"/>
    <cellStyle name="20% - Accent1 3 2 5 2" xfId="115"/>
    <cellStyle name="20% - Accent1 3 2 6" xfId="116"/>
    <cellStyle name="20% - Accent1 3 2 7" xfId="8822"/>
    <cellStyle name="20% - Accent1 3 3" xfId="117"/>
    <cellStyle name="20% - Accent1 3 3 2" xfId="118"/>
    <cellStyle name="20% - Accent1 3 3 2 2" xfId="119"/>
    <cellStyle name="20% - Accent1 3 3 2 2 2" xfId="120"/>
    <cellStyle name="20% - Accent1 3 3 2 2 2 2" xfId="121"/>
    <cellStyle name="20% - Accent1 3 3 2 2 3" xfId="122"/>
    <cellStyle name="20% - Accent1 3 3 2 3" xfId="123"/>
    <cellStyle name="20% - Accent1 3 3 2 3 2" xfId="124"/>
    <cellStyle name="20% - Accent1 3 3 2 4" xfId="125"/>
    <cellStyle name="20% - Accent1 3 3 2 5" xfId="8823"/>
    <cellStyle name="20% - Accent1 3 3 3" xfId="126"/>
    <cellStyle name="20% - Accent1 3 3 3 2" xfId="127"/>
    <cellStyle name="20% - Accent1 3 3 3 2 2" xfId="128"/>
    <cellStyle name="20% - Accent1 3 3 3 3" xfId="129"/>
    <cellStyle name="20% - Accent1 3 3 4" xfId="130"/>
    <cellStyle name="20% - Accent1 3 3 4 2" xfId="131"/>
    <cellStyle name="20% - Accent1 3 3 5" xfId="132"/>
    <cellStyle name="20% - Accent1 3 3 6" xfId="8824"/>
    <cellStyle name="20% - Accent1 3 4" xfId="133"/>
    <cellStyle name="20% - Accent1 3 4 2" xfId="134"/>
    <cellStyle name="20% - Accent1 3 4 2 2" xfId="135"/>
    <cellStyle name="20% - Accent1 3 4 2 2 2" xfId="136"/>
    <cellStyle name="20% - Accent1 3 4 2 3" xfId="137"/>
    <cellStyle name="20% - Accent1 3 4 3" xfId="138"/>
    <cellStyle name="20% - Accent1 3 4 3 2" xfId="139"/>
    <cellStyle name="20% - Accent1 3 4 4" xfId="140"/>
    <cellStyle name="20% - Accent1 3 4 5" xfId="8825"/>
    <cellStyle name="20% - Accent1 3 5" xfId="141"/>
    <cellStyle name="20% - Accent1 3 5 2" xfId="142"/>
    <cellStyle name="20% - Accent1 3 5 2 2" xfId="143"/>
    <cellStyle name="20% - Accent1 3 5 3" xfId="144"/>
    <cellStyle name="20% - Accent1 3 6" xfId="145"/>
    <cellStyle name="20% - Accent1 3 6 2" xfId="146"/>
    <cellStyle name="20% - Accent1 3 7" xfId="147"/>
    <cellStyle name="20% - Accent1 3 8" xfId="148"/>
    <cellStyle name="20% - Accent1 3 9" xfId="8826"/>
    <cellStyle name="20% - Accent1 4" xfId="149"/>
    <cellStyle name="20% - Accent1 4 10" xfId="9392"/>
    <cellStyle name="20% - Accent1 4 10 2" xfId="9393"/>
    <cellStyle name="20% - Accent1 4 10 2 2" xfId="9394"/>
    <cellStyle name="20% - Accent1 4 10 2 3" xfId="9395"/>
    <cellStyle name="20% - Accent1 4 10 3" xfId="9396"/>
    <cellStyle name="20% - Accent1 4 10 3 2" xfId="9397"/>
    <cellStyle name="20% - Accent1 4 10 4" xfId="9398"/>
    <cellStyle name="20% - Accent1 4 10 5" xfId="9399"/>
    <cellStyle name="20% - Accent1 4 11" xfId="9400"/>
    <cellStyle name="20% - Accent1 4 11 2" xfId="9401"/>
    <cellStyle name="20% - Accent1 4 11 3" xfId="9402"/>
    <cellStyle name="20% - Accent1 4 12" xfId="9403"/>
    <cellStyle name="20% - Accent1 4 12 2" xfId="9404"/>
    <cellStyle name="20% - Accent1 4 12 3" xfId="9405"/>
    <cellStyle name="20% - Accent1 4 13" xfId="9406"/>
    <cellStyle name="20% - Accent1 4 13 2" xfId="9407"/>
    <cellStyle name="20% - Accent1 4 14" xfId="9408"/>
    <cellStyle name="20% - Accent1 4 15" xfId="9409"/>
    <cellStyle name="20% - Accent1 4 16" xfId="9410"/>
    <cellStyle name="20% - Accent1 4 2" xfId="150"/>
    <cellStyle name="20% - Accent1 4 2 10" xfId="9411"/>
    <cellStyle name="20% - Accent1 4 2 10 2" xfId="9412"/>
    <cellStyle name="20% - Accent1 4 2 10 3" xfId="9413"/>
    <cellStyle name="20% - Accent1 4 2 11" xfId="9414"/>
    <cellStyle name="20% - Accent1 4 2 11 2" xfId="9415"/>
    <cellStyle name="20% - Accent1 4 2 11 3" xfId="9416"/>
    <cellStyle name="20% - Accent1 4 2 12" xfId="9417"/>
    <cellStyle name="20% - Accent1 4 2 12 2" xfId="9418"/>
    <cellStyle name="20% - Accent1 4 2 13" xfId="9419"/>
    <cellStyle name="20% - Accent1 4 2 14" xfId="9420"/>
    <cellStyle name="20% - Accent1 4 2 15" xfId="9421"/>
    <cellStyle name="20% - Accent1 4 2 2" xfId="151"/>
    <cellStyle name="20% - Accent1 4 2 2 10" xfId="9422"/>
    <cellStyle name="20% - Accent1 4 2 2 10 2" xfId="9423"/>
    <cellStyle name="20% - Accent1 4 2 2 10 3" xfId="9424"/>
    <cellStyle name="20% - Accent1 4 2 2 11" xfId="9425"/>
    <cellStyle name="20% - Accent1 4 2 2 11 2" xfId="9426"/>
    <cellStyle name="20% - Accent1 4 2 2 12" xfId="9427"/>
    <cellStyle name="20% - Accent1 4 2 2 13" xfId="9428"/>
    <cellStyle name="20% - Accent1 4 2 2 2" xfId="152"/>
    <cellStyle name="20% - Accent1 4 2 2 2 10" xfId="9429"/>
    <cellStyle name="20% - Accent1 4 2 2 2 10 2" xfId="9430"/>
    <cellStyle name="20% - Accent1 4 2 2 2 11" xfId="9431"/>
    <cellStyle name="20% - Accent1 4 2 2 2 12" xfId="9432"/>
    <cellStyle name="20% - Accent1 4 2 2 2 2" xfId="153"/>
    <cellStyle name="20% - Accent1 4 2 2 2 2 10" xfId="9433"/>
    <cellStyle name="20% - Accent1 4 2 2 2 2 2" xfId="154"/>
    <cellStyle name="20% - Accent1 4 2 2 2 2 2 2" xfId="9434"/>
    <cellStyle name="20% - Accent1 4 2 2 2 2 2 2 2" xfId="9435"/>
    <cellStyle name="20% - Accent1 4 2 2 2 2 2 2 2 2" xfId="9436"/>
    <cellStyle name="20% - Accent1 4 2 2 2 2 2 2 2 3" xfId="9437"/>
    <cellStyle name="20% - Accent1 4 2 2 2 2 2 2 3" xfId="9438"/>
    <cellStyle name="20% - Accent1 4 2 2 2 2 2 2 3 2" xfId="9439"/>
    <cellStyle name="20% - Accent1 4 2 2 2 2 2 2 3 3" xfId="9440"/>
    <cellStyle name="20% - Accent1 4 2 2 2 2 2 2 4" xfId="9441"/>
    <cellStyle name="20% - Accent1 4 2 2 2 2 2 2 4 2" xfId="9442"/>
    <cellStyle name="20% - Accent1 4 2 2 2 2 2 2 5" xfId="9443"/>
    <cellStyle name="20% - Accent1 4 2 2 2 2 2 2 6" xfId="9444"/>
    <cellStyle name="20% - Accent1 4 2 2 2 2 2 3" xfId="9445"/>
    <cellStyle name="20% - Accent1 4 2 2 2 2 2 3 2" xfId="9446"/>
    <cellStyle name="20% - Accent1 4 2 2 2 2 2 3 2 2" xfId="9447"/>
    <cellStyle name="20% - Accent1 4 2 2 2 2 2 3 2 3" xfId="9448"/>
    <cellStyle name="20% - Accent1 4 2 2 2 2 2 3 3" xfId="9449"/>
    <cellStyle name="20% - Accent1 4 2 2 2 2 2 3 3 2" xfId="9450"/>
    <cellStyle name="20% - Accent1 4 2 2 2 2 2 3 3 3" xfId="9451"/>
    <cellStyle name="20% - Accent1 4 2 2 2 2 2 3 4" xfId="9452"/>
    <cellStyle name="20% - Accent1 4 2 2 2 2 2 3 4 2" xfId="9453"/>
    <cellStyle name="20% - Accent1 4 2 2 2 2 2 3 5" xfId="9454"/>
    <cellStyle name="20% - Accent1 4 2 2 2 2 2 3 6" xfId="9455"/>
    <cellStyle name="20% - Accent1 4 2 2 2 2 2 4" xfId="9456"/>
    <cellStyle name="20% - Accent1 4 2 2 2 2 2 4 2" xfId="9457"/>
    <cellStyle name="20% - Accent1 4 2 2 2 2 2 4 2 2" xfId="9458"/>
    <cellStyle name="20% - Accent1 4 2 2 2 2 2 4 2 3" xfId="9459"/>
    <cellStyle name="20% - Accent1 4 2 2 2 2 2 4 3" xfId="9460"/>
    <cellStyle name="20% - Accent1 4 2 2 2 2 2 4 3 2" xfId="9461"/>
    <cellStyle name="20% - Accent1 4 2 2 2 2 2 4 4" xfId="9462"/>
    <cellStyle name="20% - Accent1 4 2 2 2 2 2 4 5" xfId="9463"/>
    <cellStyle name="20% - Accent1 4 2 2 2 2 2 5" xfId="9464"/>
    <cellStyle name="20% - Accent1 4 2 2 2 2 2 5 2" xfId="9465"/>
    <cellStyle name="20% - Accent1 4 2 2 2 2 2 5 3" xfId="9466"/>
    <cellStyle name="20% - Accent1 4 2 2 2 2 2 6" xfId="9467"/>
    <cellStyle name="20% - Accent1 4 2 2 2 2 2 6 2" xfId="9468"/>
    <cellStyle name="20% - Accent1 4 2 2 2 2 2 6 3" xfId="9469"/>
    <cellStyle name="20% - Accent1 4 2 2 2 2 2 7" xfId="9470"/>
    <cellStyle name="20% - Accent1 4 2 2 2 2 2 7 2" xfId="9471"/>
    <cellStyle name="20% - Accent1 4 2 2 2 2 2 8" xfId="9472"/>
    <cellStyle name="20% - Accent1 4 2 2 2 2 2 9" xfId="9473"/>
    <cellStyle name="20% - Accent1 4 2 2 2 2 3" xfId="9474"/>
    <cellStyle name="20% - Accent1 4 2 2 2 2 3 2" xfId="9475"/>
    <cellStyle name="20% - Accent1 4 2 2 2 2 3 2 2" xfId="9476"/>
    <cellStyle name="20% - Accent1 4 2 2 2 2 3 2 3" xfId="9477"/>
    <cellStyle name="20% - Accent1 4 2 2 2 2 3 3" xfId="9478"/>
    <cellStyle name="20% - Accent1 4 2 2 2 2 3 3 2" xfId="9479"/>
    <cellStyle name="20% - Accent1 4 2 2 2 2 3 3 3" xfId="9480"/>
    <cellStyle name="20% - Accent1 4 2 2 2 2 3 4" xfId="9481"/>
    <cellStyle name="20% - Accent1 4 2 2 2 2 3 4 2" xfId="9482"/>
    <cellStyle name="20% - Accent1 4 2 2 2 2 3 5" xfId="9483"/>
    <cellStyle name="20% - Accent1 4 2 2 2 2 3 6" xfId="9484"/>
    <cellStyle name="20% - Accent1 4 2 2 2 2 4" xfId="9485"/>
    <cellStyle name="20% - Accent1 4 2 2 2 2 4 2" xfId="9486"/>
    <cellStyle name="20% - Accent1 4 2 2 2 2 4 2 2" xfId="9487"/>
    <cellStyle name="20% - Accent1 4 2 2 2 2 4 2 3" xfId="9488"/>
    <cellStyle name="20% - Accent1 4 2 2 2 2 4 3" xfId="9489"/>
    <cellStyle name="20% - Accent1 4 2 2 2 2 4 3 2" xfId="9490"/>
    <cellStyle name="20% - Accent1 4 2 2 2 2 4 3 3" xfId="9491"/>
    <cellStyle name="20% - Accent1 4 2 2 2 2 4 4" xfId="9492"/>
    <cellStyle name="20% - Accent1 4 2 2 2 2 4 4 2" xfId="9493"/>
    <cellStyle name="20% - Accent1 4 2 2 2 2 4 5" xfId="9494"/>
    <cellStyle name="20% - Accent1 4 2 2 2 2 4 6" xfId="9495"/>
    <cellStyle name="20% - Accent1 4 2 2 2 2 5" xfId="9496"/>
    <cellStyle name="20% - Accent1 4 2 2 2 2 5 2" xfId="9497"/>
    <cellStyle name="20% - Accent1 4 2 2 2 2 5 2 2" xfId="9498"/>
    <cellStyle name="20% - Accent1 4 2 2 2 2 5 2 3" xfId="9499"/>
    <cellStyle name="20% - Accent1 4 2 2 2 2 5 3" xfId="9500"/>
    <cellStyle name="20% - Accent1 4 2 2 2 2 5 3 2" xfId="9501"/>
    <cellStyle name="20% - Accent1 4 2 2 2 2 5 4" xfId="9502"/>
    <cellStyle name="20% - Accent1 4 2 2 2 2 5 5" xfId="9503"/>
    <cellStyle name="20% - Accent1 4 2 2 2 2 6" xfId="9504"/>
    <cellStyle name="20% - Accent1 4 2 2 2 2 6 2" xfId="9505"/>
    <cellStyle name="20% - Accent1 4 2 2 2 2 6 3" xfId="9506"/>
    <cellStyle name="20% - Accent1 4 2 2 2 2 7" xfId="9507"/>
    <cellStyle name="20% - Accent1 4 2 2 2 2 7 2" xfId="9508"/>
    <cellStyle name="20% - Accent1 4 2 2 2 2 7 3" xfId="9509"/>
    <cellStyle name="20% - Accent1 4 2 2 2 2 8" xfId="9510"/>
    <cellStyle name="20% - Accent1 4 2 2 2 2 8 2" xfId="9511"/>
    <cellStyle name="20% - Accent1 4 2 2 2 2 9" xfId="9512"/>
    <cellStyle name="20% - Accent1 4 2 2 2 3" xfId="155"/>
    <cellStyle name="20% - Accent1 4 2 2 2 3 2" xfId="9513"/>
    <cellStyle name="20% - Accent1 4 2 2 2 3 2 2" xfId="9514"/>
    <cellStyle name="20% - Accent1 4 2 2 2 3 2 2 2" xfId="9515"/>
    <cellStyle name="20% - Accent1 4 2 2 2 3 2 2 3" xfId="9516"/>
    <cellStyle name="20% - Accent1 4 2 2 2 3 2 3" xfId="9517"/>
    <cellStyle name="20% - Accent1 4 2 2 2 3 2 3 2" xfId="9518"/>
    <cellStyle name="20% - Accent1 4 2 2 2 3 2 3 3" xfId="9519"/>
    <cellStyle name="20% - Accent1 4 2 2 2 3 2 4" xfId="9520"/>
    <cellStyle name="20% - Accent1 4 2 2 2 3 2 4 2" xfId="9521"/>
    <cellStyle name="20% - Accent1 4 2 2 2 3 2 5" xfId="9522"/>
    <cellStyle name="20% - Accent1 4 2 2 2 3 2 6" xfId="9523"/>
    <cellStyle name="20% - Accent1 4 2 2 2 3 3" xfId="9524"/>
    <cellStyle name="20% - Accent1 4 2 2 2 3 3 2" xfId="9525"/>
    <cellStyle name="20% - Accent1 4 2 2 2 3 3 2 2" xfId="9526"/>
    <cellStyle name="20% - Accent1 4 2 2 2 3 3 2 3" xfId="9527"/>
    <cellStyle name="20% - Accent1 4 2 2 2 3 3 3" xfId="9528"/>
    <cellStyle name="20% - Accent1 4 2 2 2 3 3 3 2" xfId="9529"/>
    <cellStyle name="20% - Accent1 4 2 2 2 3 3 3 3" xfId="9530"/>
    <cellStyle name="20% - Accent1 4 2 2 2 3 3 4" xfId="9531"/>
    <cellStyle name="20% - Accent1 4 2 2 2 3 3 4 2" xfId="9532"/>
    <cellStyle name="20% - Accent1 4 2 2 2 3 3 5" xfId="9533"/>
    <cellStyle name="20% - Accent1 4 2 2 2 3 3 6" xfId="9534"/>
    <cellStyle name="20% - Accent1 4 2 2 2 3 4" xfId="9535"/>
    <cellStyle name="20% - Accent1 4 2 2 2 3 4 2" xfId="9536"/>
    <cellStyle name="20% - Accent1 4 2 2 2 3 4 2 2" xfId="9537"/>
    <cellStyle name="20% - Accent1 4 2 2 2 3 4 2 3" xfId="9538"/>
    <cellStyle name="20% - Accent1 4 2 2 2 3 4 3" xfId="9539"/>
    <cellStyle name="20% - Accent1 4 2 2 2 3 4 3 2" xfId="9540"/>
    <cellStyle name="20% - Accent1 4 2 2 2 3 4 4" xfId="9541"/>
    <cellStyle name="20% - Accent1 4 2 2 2 3 4 5" xfId="9542"/>
    <cellStyle name="20% - Accent1 4 2 2 2 3 5" xfId="9543"/>
    <cellStyle name="20% - Accent1 4 2 2 2 3 5 2" xfId="9544"/>
    <cellStyle name="20% - Accent1 4 2 2 2 3 5 3" xfId="9545"/>
    <cellStyle name="20% - Accent1 4 2 2 2 3 6" xfId="9546"/>
    <cellStyle name="20% - Accent1 4 2 2 2 3 6 2" xfId="9547"/>
    <cellStyle name="20% - Accent1 4 2 2 2 3 6 3" xfId="9548"/>
    <cellStyle name="20% - Accent1 4 2 2 2 3 7" xfId="9549"/>
    <cellStyle name="20% - Accent1 4 2 2 2 3 7 2" xfId="9550"/>
    <cellStyle name="20% - Accent1 4 2 2 2 3 8" xfId="9551"/>
    <cellStyle name="20% - Accent1 4 2 2 2 3 9" xfId="9552"/>
    <cellStyle name="20% - Accent1 4 2 2 2 4" xfId="9553"/>
    <cellStyle name="20% - Accent1 4 2 2 2 4 2" xfId="9554"/>
    <cellStyle name="20% - Accent1 4 2 2 2 4 2 2" xfId="9555"/>
    <cellStyle name="20% - Accent1 4 2 2 2 4 2 2 2" xfId="9556"/>
    <cellStyle name="20% - Accent1 4 2 2 2 4 2 2 3" xfId="9557"/>
    <cellStyle name="20% - Accent1 4 2 2 2 4 2 3" xfId="9558"/>
    <cellStyle name="20% - Accent1 4 2 2 2 4 2 3 2" xfId="9559"/>
    <cellStyle name="20% - Accent1 4 2 2 2 4 2 3 3" xfId="9560"/>
    <cellStyle name="20% - Accent1 4 2 2 2 4 2 4" xfId="9561"/>
    <cellStyle name="20% - Accent1 4 2 2 2 4 2 4 2" xfId="9562"/>
    <cellStyle name="20% - Accent1 4 2 2 2 4 2 5" xfId="9563"/>
    <cellStyle name="20% - Accent1 4 2 2 2 4 2 6" xfId="9564"/>
    <cellStyle name="20% - Accent1 4 2 2 2 4 3" xfId="9565"/>
    <cellStyle name="20% - Accent1 4 2 2 2 4 3 2" xfId="9566"/>
    <cellStyle name="20% - Accent1 4 2 2 2 4 3 2 2" xfId="9567"/>
    <cellStyle name="20% - Accent1 4 2 2 2 4 3 2 3" xfId="9568"/>
    <cellStyle name="20% - Accent1 4 2 2 2 4 3 3" xfId="9569"/>
    <cellStyle name="20% - Accent1 4 2 2 2 4 3 3 2" xfId="9570"/>
    <cellStyle name="20% - Accent1 4 2 2 2 4 3 3 3" xfId="9571"/>
    <cellStyle name="20% - Accent1 4 2 2 2 4 3 4" xfId="9572"/>
    <cellStyle name="20% - Accent1 4 2 2 2 4 3 4 2" xfId="9573"/>
    <cellStyle name="20% - Accent1 4 2 2 2 4 3 5" xfId="9574"/>
    <cellStyle name="20% - Accent1 4 2 2 2 4 3 6" xfId="9575"/>
    <cellStyle name="20% - Accent1 4 2 2 2 4 4" xfId="9576"/>
    <cellStyle name="20% - Accent1 4 2 2 2 4 4 2" xfId="9577"/>
    <cellStyle name="20% - Accent1 4 2 2 2 4 4 2 2" xfId="9578"/>
    <cellStyle name="20% - Accent1 4 2 2 2 4 4 2 3" xfId="9579"/>
    <cellStyle name="20% - Accent1 4 2 2 2 4 4 3" xfId="9580"/>
    <cellStyle name="20% - Accent1 4 2 2 2 4 4 3 2" xfId="9581"/>
    <cellStyle name="20% - Accent1 4 2 2 2 4 4 4" xfId="9582"/>
    <cellStyle name="20% - Accent1 4 2 2 2 4 4 5" xfId="9583"/>
    <cellStyle name="20% - Accent1 4 2 2 2 4 5" xfId="9584"/>
    <cellStyle name="20% - Accent1 4 2 2 2 4 5 2" xfId="9585"/>
    <cellStyle name="20% - Accent1 4 2 2 2 4 5 3" xfId="9586"/>
    <cellStyle name="20% - Accent1 4 2 2 2 4 6" xfId="9587"/>
    <cellStyle name="20% - Accent1 4 2 2 2 4 6 2" xfId="9588"/>
    <cellStyle name="20% - Accent1 4 2 2 2 4 6 3" xfId="9589"/>
    <cellStyle name="20% - Accent1 4 2 2 2 4 7" xfId="9590"/>
    <cellStyle name="20% - Accent1 4 2 2 2 4 7 2" xfId="9591"/>
    <cellStyle name="20% - Accent1 4 2 2 2 4 8" xfId="9592"/>
    <cellStyle name="20% - Accent1 4 2 2 2 4 9" xfId="9593"/>
    <cellStyle name="20% - Accent1 4 2 2 2 5" xfId="9594"/>
    <cellStyle name="20% - Accent1 4 2 2 2 5 2" xfId="9595"/>
    <cellStyle name="20% - Accent1 4 2 2 2 5 2 2" xfId="9596"/>
    <cellStyle name="20% - Accent1 4 2 2 2 5 2 3" xfId="9597"/>
    <cellStyle name="20% - Accent1 4 2 2 2 5 3" xfId="9598"/>
    <cellStyle name="20% - Accent1 4 2 2 2 5 3 2" xfId="9599"/>
    <cellStyle name="20% - Accent1 4 2 2 2 5 3 3" xfId="9600"/>
    <cellStyle name="20% - Accent1 4 2 2 2 5 4" xfId="9601"/>
    <cellStyle name="20% - Accent1 4 2 2 2 5 4 2" xfId="9602"/>
    <cellStyle name="20% - Accent1 4 2 2 2 5 5" xfId="9603"/>
    <cellStyle name="20% - Accent1 4 2 2 2 5 6" xfId="9604"/>
    <cellStyle name="20% - Accent1 4 2 2 2 6" xfId="9605"/>
    <cellStyle name="20% - Accent1 4 2 2 2 6 2" xfId="9606"/>
    <cellStyle name="20% - Accent1 4 2 2 2 6 2 2" xfId="9607"/>
    <cellStyle name="20% - Accent1 4 2 2 2 6 2 3" xfId="9608"/>
    <cellStyle name="20% - Accent1 4 2 2 2 6 3" xfId="9609"/>
    <cellStyle name="20% - Accent1 4 2 2 2 6 3 2" xfId="9610"/>
    <cellStyle name="20% - Accent1 4 2 2 2 6 3 3" xfId="9611"/>
    <cellStyle name="20% - Accent1 4 2 2 2 6 4" xfId="9612"/>
    <cellStyle name="20% - Accent1 4 2 2 2 6 4 2" xfId="9613"/>
    <cellStyle name="20% - Accent1 4 2 2 2 6 5" xfId="9614"/>
    <cellStyle name="20% - Accent1 4 2 2 2 6 6" xfId="9615"/>
    <cellStyle name="20% - Accent1 4 2 2 2 7" xfId="9616"/>
    <cellStyle name="20% - Accent1 4 2 2 2 7 2" xfId="9617"/>
    <cellStyle name="20% - Accent1 4 2 2 2 7 2 2" xfId="9618"/>
    <cellStyle name="20% - Accent1 4 2 2 2 7 2 3" xfId="9619"/>
    <cellStyle name="20% - Accent1 4 2 2 2 7 3" xfId="9620"/>
    <cellStyle name="20% - Accent1 4 2 2 2 7 3 2" xfId="9621"/>
    <cellStyle name="20% - Accent1 4 2 2 2 7 4" xfId="9622"/>
    <cellStyle name="20% - Accent1 4 2 2 2 7 5" xfId="9623"/>
    <cellStyle name="20% - Accent1 4 2 2 2 8" xfId="9624"/>
    <cellStyle name="20% - Accent1 4 2 2 2 8 2" xfId="9625"/>
    <cellStyle name="20% - Accent1 4 2 2 2 8 3" xfId="9626"/>
    <cellStyle name="20% - Accent1 4 2 2 2 9" xfId="9627"/>
    <cellStyle name="20% - Accent1 4 2 2 2 9 2" xfId="9628"/>
    <cellStyle name="20% - Accent1 4 2 2 2 9 3" xfId="9629"/>
    <cellStyle name="20% - Accent1 4 2 2 3" xfId="156"/>
    <cellStyle name="20% - Accent1 4 2 2 3 10" xfId="9630"/>
    <cellStyle name="20% - Accent1 4 2 2 3 2" xfId="157"/>
    <cellStyle name="20% - Accent1 4 2 2 3 2 2" xfId="9631"/>
    <cellStyle name="20% - Accent1 4 2 2 3 2 2 2" xfId="9632"/>
    <cellStyle name="20% - Accent1 4 2 2 3 2 2 2 2" xfId="9633"/>
    <cellStyle name="20% - Accent1 4 2 2 3 2 2 2 3" xfId="9634"/>
    <cellStyle name="20% - Accent1 4 2 2 3 2 2 3" xfId="9635"/>
    <cellStyle name="20% - Accent1 4 2 2 3 2 2 3 2" xfId="9636"/>
    <cellStyle name="20% - Accent1 4 2 2 3 2 2 3 3" xfId="9637"/>
    <cellStyle name="20% - Accent1 4 2 2 3 2 2 4" xfId="9638"/>
    <cellStyle name="20% - Accent1 4 2 2 3 2 2 4 2" xfId="9639"/>
    <cellStyle name="20% - Accent1 4 2 2 3 2 2 5" xfId="9640"/>
    <cellStyle name="20% - Accent1 4 2 2 3 2 2 6" xfId="9641"/>
    <cellStyle name="20% - Accent1 4 2 2 3 2 3" xfId="9642"/>
    <cellStyle name="20% - Accent1 4 2 2 3 2 3 2" xfId="9643"/>
    <cellStyle name="20% - Accent1 4 2 2 3 2 3 2 2" xfId="9644"/>
    <cellStyle name="20% - Accent1 4 2 2 3 2 3 2 3" xfId="9645"/>
    <cellStyle name="20% - Accent1 4 2 2 3 2 3 3" xfId="9646"/>
    <cellStyle name="20% - Accent1 4 2 2 3 2 3 3 2" xfId="9647"/>
    <cellStyle name="20% - Accent1 4 2 2 3 2 3 3 3" xfId="9648"/>
    <cellStyle name="20% - Accent1 4 2 2 3 2 3 4" xfId="9649"/>
    <cellStyle name="20% - Accent1 4 2 2 3 2 3 4 2" xfId="9650"/>
    <cellStyle name="20% - Accent1 4 2 2 3 2 3 5" xfId="9651"/>
    <cellStyle name="20% - Accent1 4 2 2 3 2 3 6" xfId="9652"/>
    <cellStyle name="20% - Accent1 4 2 2 3 2 4" xfId="9653"/>
    <cellStyle name="20% - Accent1 4 2 2 3 2 4 2" xfId="9654"/>
    <cellStyle name="20% - Accent1 4 2 2 3 2 4 2 2" xfId="9655"/>
    <cellStyle name="20% - Accent1 4 2 2 3 2 4 2 3" xfId="9656"/>
    <cellStyle name="20% - Accent1 4 2 2 3 2 4 3" xfId="9657"/>
    <cellStyle name="20% - Accent1 4 2 2 3 2 4 3 2" xfId="9658"/>
    <cellStyle name="20% - Accent1 4 2 2 3 2 4 4" xfId="9659"/>
    <cellStyle name="20% - Accent1 4 2 2 3 2 4 5" xfId="9660"/>
    <cellStyle name="20% - Accent1 4 2 2 3 2 5" xfId="9661"/>
    <cellStyle name="20% - Accent1 4 2 2 3 2 5 2" xfId="9662"/>
    <cellStyle name="20% - Accent1 4 2 2 3 2 5 3" xfId="9663"/>
    <cellStyle name="20% - Accent1 4 2 2 3 2 6" xfId="9664"/>
    <cellStyle name="20% - Accent1 4 2 2 3 2 6 2" xfId="9665"/>
    <cellStyle name="20% - Accent1 4 2 2 3 2 6 3" xfId="9666"/>
    <cellStyle name="20% - Accent1 4 2 2 3 2 7" xfId="9667"/>
    <cellStyle name="20% - Accent1 4 2 2 3 2 7 2" xfId="9668"/>
    <cellStyle name="20% - Accent1 4 2 2 3 2 8" xfId="9669"/>
    <cellStyle name="20% - Accent1 4 2 2 3 2 9" xfId="9670"/>
    <cellStyle name="20% - Accent1 4 2 2 3 3" xfId="9671"/>
    <cellStyle name="20% - Accent1 4 2 2 3 3 2" xfId="9672"/>
    <cellStyle name="20% - Accent1 4 2 2 3 3 2 2" xfId="9673"/>
    <cellStyle name="20% - Accent1 4 2 2 3 3 2 3" xfId="9674"/>
    <cellStyle name="20% - Accent1 4 2 2 3 3 3" xfId="9675"/>
    <cellStyle name="20% - Accent1 4 2 2 3 3 3 2" xfId="9676"/>
    <cellStyle name="20% - Accent1 4 2 2 3 3 3 3" xfId="9677"/>
    <cellStyle name="20% - Accent1 4 2 2 3 3 4" xfId="9678"/>
    <cellStyle name="20% - Accent1 4 2 2 3 3 4 2" xfId="9679"/>
    <cellStyle name="20% - Accent1 4 2 2 3 3 5" xfId="9680"/>
    <cellStyle name="20% - Accent1 4 2 2 3 3 6" xfId="9681"/>
    <cellStyle name="20% - Accent1 4 2 2 3 4" xfId="9682"/>
    <cellStyle name="20% - Accent1 4 2 2 3 4 2" xfId="9683"/>
    <cellStyle name="20% - Accent1 4 2 2 3 4 2 2" xfId="9684"/>
    <cellStyle name="20% - Accent1 4 2 2 3 4 2 3" xfId="9685"/>
    <cellStyle name="20% - Accent1 4 2 2 3 4 3" xfId="9686"/>
    <cellStyle name="20% - Accent1 4 2 2 3 4 3 2" xfId="9687"/>
    <cellStyle name="20% - Accent1 4 2 2 3 4 3 3" xfId="9688"/>
    <cellStyle name="20% - Accent1 4 2 2 3 4 4" xfId="9689"/>
    <cellStyle name="20% - Accent1 4 2 2 3 4 4 2" xfId="9690"/>
    <cellStyle name="20% - Accent1 4 2 2 3 4 5" xfId="9691"/>
    <cellStyle name="20% - Accent1 4 2 2 3 4 6" xfId="9692"/>
    <cellStyle name="20% - Accent1 4 2 2 3 5" xfId="9693"/>
    <cellStyle name="20% - Accent1 4 2 2 3 5 2" xfId="9694"/>
    <cellStyle name="20% - Accent1 4 2 2 3 5 2 2" xfId="9695"/>
    <cellStyle name="20% - Accent1 4 2 2 3 5 2 3" xfId="9696"/>
    <cellStyle name="20% - Accent1 4 2 2 3 5 3" xfId="9697"/>
    <cellStyle name="20% - Accent1 4 2 2 3 5 3 2" xfId="9698"/>
    <cellStyle name="20% - Accent1 4 2 2 3 5 4" xfId="9699"/>
    <cellStyle name="20% - Accent1 4 2 2 3 5 5" xfId="9700"/>
    <cellStyle name="20% - Accent1 4 2 2 3 6" xfId="9701"/>
    <cellStyle name="20% - Accent1 4 2 2 3 6 2" xfId="9702"/>
    <cellStyle name="20% - Accent1 4 2 2 3 6 3" xfId="9703"/>
    <cellStyle name="20% - Accent1 4 2 2 3 7" xfId="9704"/>
    <cellStyle name="20% - Accent1 4 2 2 3 7 2" xfId="9705"/>
    <cellStyle name="20% - Accent1 4 2 2 3 7 3" xfId="9706"/>
    <cellStyle name="20% - Accent1 4 2 2 3 8" xfId="9707"/>
    <cellStyle name="20% - Accent1 4 2 2 3 8 2" xfId="9708"/>
    <cellStyle name="20% - Accent1 4 2 2 3 9" xfId="9709"/>
    <cellStyle name="20% - Accent1 4 2 2 4" xfId="158"/>
    <cellStyle name="20% - Accent1 4 2 2 4 2" xfId="9710"/>
    <cellStyle name="20% - Accent1 4 2 2 4 2 2" xfId="9711"/>
    <cellStyle name="20% - Accent1 4 2 2 4 2 2 2" xfId="9712"/>
    <cellStyle name="20% - Accent1 4 2 2 4 2 2 3" xfId="9713"/>
    <cellStyle name="20% - Accent1 4 2 2 4 2 3" xfId="9714"/>
    <cellStyle name="20% - Accent1 4 2 2 4 2 3 2" xfId="9715"/>
    <cellStyle name="20% - Accent1 4 2 2 4 2 3 3" xfId="9716"/>
    <cellStyle name="20% - Accent1 4 2 2 4 2 4" xfId="9717"/>
    <cellStyle name="20% - Accent1 4 2 2 4 2 4 2" xfId="9718"/>
    <cellStyle name="20% - Accent1 4 2 2 4 2 5" xfId="9719"/>
    <cellStyle name="20% - Accent1 4 2 2 4 2 6" xfId="9720"/>
    <cellStyle name="20% - Accent1 4 2 2 4 3" xfId="9721"/>
    <cellStyle name="20% - Accent1 4 2 2 4 3 2" xfId="9722"/>
    <cellStyle name="20% - Accent1 4 2 2 4 3 2 2" xfId="9723"/>
    <cellStyle name="20% - Accent1 4 2 2 4 3 2 3" xfId="9724"/>
    <cellStyle name="20% - Accent1 4 2 2 4 3 3" xfId="9725"/>
    <cellStyle name="20% - Accent1 4 2 2 4 3 3 2" xfId="9726"/>
    <cellStyle name="20% - Accent1 4 2 2 4 3 3 3" xfId="9727"/>
    <cellStyle name="20% - Accent1 4 2 2 4 3 4" xfId="9728"/>
    <cellStyle name="20% - Accent1 4 2 2 4 3 4 2" xfId="9729"/>
    <cellStyle name="20% - Accent1 4 2 2 4 3 5" xfId="9730"/>
    <cellStyle name="20% - Accent1 4 2 2 4 3 6" xfId="9731"/>
    <cellStyle name="20% - Accent1 4 2 2 4 4" xfId="9732"/>
    <cellStyle name="20% - Accent1 4 2 2 4 4 2" xfId="9733"/>
    <cellStyle name="20% - Accent1 4 2 2 4 4 2 2" xfId="9734"/>
    <cellStyle name="20% - Accent1 4 2 2 4 4 2 3" xfId="9735"/>
    <cellStyle name="20% - Accent1 4 2 2 4 4 3" xfId="9736"/>
    <cellStyle name="20% - Accent1 4 2 2 4 4 3 2" xfId="9737"/>
    <cellStyle name="20% - Accent1 4 2 2 4 4 4" xfId="9738"/>
    <cellStyle name="20% - Accent1 4 2 2 4 4 5" xfId="9739"/>
    <cellStyle name="20% - Accent1 4 2 2 4 5" xfId="9740"/>
    <cellStyle name="20% - Accent1 4 2 2 4 5 2" xfId="9741"/>
    <cellStyle name="20% - Accent1 4 2 2 4 5 3" xfId="9742"/>
    <cellStyle name="20% - Accent1 4 2 2 4 6" xfId="9743"/>
    <cellStyle name="20% - Accent1 4 2 2 4 6 2" xfId="9744"/>
    <cellStyle name="20% - Accent1 4 2 2 4 6 3" xfId="9745"/>
    <cellStyle name="20% - Accent1 4 2 2 4 7" xfId="9746"/>
    <cellStyle name="20% - Accent1 4 2 2 4 7 2" xfId="9747"/>
    <cellStyle name="20% - Accent1 4 2 2 4 8" xfId="9748"/>
    <cellStyle name="20% - Accent1 4 2 2 4 9" xfId="9749"/>
    <cellStyle name="20% - Accent1 4 2 2 5" xfId="9750"/>
    <cellStyle name="20% - Accent1 4 2 2 5 2" xfId="9751"/>
    <cellStyle name="20% - Accent1 4 2 2 5 2 2" xfId="9752"/>
    <cellStyle name="20% - Accent1 4 2 2 5 2 2 2" xfId="9753"/>
    <cellStyle name="20% - Accent1 4 2 2 5 2 2 3" xfId="9754"/>
    <cellStyle name="20% - Accent1 4 2 2 5 2 3" xfId="9755"/>
    <cellStyle name="20% - Accent1 4 2 2 5 2 3 2" xfId="9756"/>
    <cellStyle name="20% - Accent1 4 2 2 5 2 3 3" xfId="9757"/>
    <cellStyle name="20% - Accent1 4 2 2 5 2 4" xfId="9758"/>
    <cellStyle name="20% - Accent1 4 2 2 5 2 4 2" xfId="9759"/>
    <cellStyle name="20% - Accent1 4 2 2 5 2 5" xfId="9760"/>
    <cellStyle name="20% - Accent1 4 2 2 5 2 6" xfId="9761"/>
    <cellStyle name="20% - Accent1 4 2 2 5 3" xfId="9762"/>
    <cellStyle name="20% - Accent1 4 2 2 5 3 2" xfId="9763"/>
    <cellStyle name="20% - Accent1 4 2 2 5 3 2 2" xfId="9764"/>
    <cellStyle name="20% - Accent1 4 2 2 5 3 2 3" xfId="9765"/>
    <cellStyle name="20% - Accent1 4 2 2 5 3 3" xfId="9766"/>
    <cellStyle name="20% - Accent1 4 2 2 5 3 3 2" xfId="9767"/>
    <cellStyle name="20% - Accent1 4 2 2 5 3 3 3" xfId="9768"/>
    <cellStyle name="20% - Accent1 4 2 2 5 3 4" xfId="9769"/>
    <cellStyle name="20% - Accent1 4 2 2 5 3 4 2" xfId="9770"/>
    <cellStyle name="20% - Accent1 4 2 2 5 3 5" xfId="9771"/>
    <cellStyle name="20% - Accent1 4 2 2 5 3 6" xfId="9772"/>
    <cellStyle name="20% - Accent1 4 2 2 5 4" xfId="9773"/>
    <cellStyle name="20% - Accent1 4 2 2 5 4 2" xfId="9774"/>
    <cellStyle name="20% - Accent1 4 2 2 5 4 2 2" xfId="9775"/>
    <cellStyle name="20% - Accent1 4 2 2 5 4 2 3" xfId="9776"/>
    <cellStyle name="20% - Accent1 4 2 2 5 4 3" xfId="9777"/>
    <cellStyle name="20% - Accent1 4 2 2 5 4 3 2" xfId="9778"/>
    <cellStyle name="20% - Accent1 4 2 2 5 4 4" xfId="9779"/>
    <cellStyle name="20% - Accent1 4 2 2 5 4 5" xfId="9780"/>
    <cellStyle name="20% - Accent1 4 2 2 5 5" xfId="9781"/>
    <cellStyle name="20% - Accent1 4 2 2 5 5 2" xfId="9782"/>
    <cellStyle name="20% - Accent1 4 2 2 5 5 3" xfId="9783"/>
    <cellStyle name="20% - Accent1 4 2 2 5 6" xfId="9784"/>
    <cellStyle name="20% - Accent1 4 2 2 5 6 2" xfId="9785"/>
    <cellStyle name="20% - Accent1 4 2 2 5 6 3" xfId="9786"/>
    <cellStyle name="20% - Accent1 4 2 2 5 7" xfId="9787"/>
    <cellStyle name="20% - Accent1 4 2 2 5 7 2" xfId="9788"/>
    <cellStyle name="20% - Accent1 4 2 2 5 8" xfId="9789"/>
    <cellStyle name="20% - Accent1 4 2 2 5 9" xfId="9790"/>
    <cellStyle name="20% - Accent1 4 2 2 6" xfId="9791"/>
    <cellStyle name="20% - Accent1 4 2 2 6 2" xfId="9792"/>
    <cellStyle name="20% - Accent1 4 2 2 6 2 2" xfId="9793"/>
    <cellStyle name="20% - Accent1 4 2 2 6 2 3" xfId="9794"/>
    <cellStyle name="20% - Accent1 4 2 2 6 3" xfId="9795"/>
    <cellStyle name="20% - Accent1 4 2 2 6 3 2" xfId="9796"/>
    <cellStyle name="20% - Accent1 4 2 2 6 3 3" xfId="9797"/>
    <cellStyle name="20% - Accent1 4 2 2 6 4" xfId="9798"/>
    <cellStyle name="20% - Accent1 4 2 2 6 4 2" xfId="9799"/>
    <cellStyle name="20% - Accent1 4 2 2 6 5" xfId="9800"/>
    <cellStyle name="20% - Accent1 4 2 2 6 6" xfId="9801"/>
    <cellStyle name="20% - Accent1 4 2 2 7" xfId="9802"/>
    <cellStyle name="20% - Accent1 4 2 2 7 2" xfId="9803"/>
    <cellStyle name="20% - Accent1 4 2 2 7 2 2" xfId="9804"/>
    <cellStyle name="20% - Accent1 4 2 2 7 2 3" xfId="9805"/>
    <cellStyle name="20% - Accent1 4 2 2 7 3" xfId="9806"/>
    <cellStyle name="20% - Accent1 4 2 2 7 3 2" xfId="9807"/>
    <cellStyle name="20% - Accent1 4 2 2 7 3 3" xfId="9808"/>
    <cellStyle name="20% - Accent1 4 2 2 7 4" xfId="9809"/>
    <cellStyle name="20% - Accent1 4 2 2 7 4 2" xfId="9810"/>
    <cellStyle name="20% - Accent1 4 2 2 7 5" xfId="9811"/>
    <cellStyle name="20% - Accent1 4 2 2 7 6" xfId="9812"/>
    <cellStyle name="20% - Accent1 4 2 2 8" xfId="9813"/>
    <cellStyle name="20% - Accent1 4 2 2 8 2" xfId="9814"/>
    <cellStyle name="20% - Accent1 4 2 2 8 2 2" xfId="9815"/>
    <cellStyle name="20% - Accent1 4 2 2 8 2 3" xfId="9816"/>
    <cellStyle name="20% - Accent1 4 2 2 8 3" xfId="9817"/>
    <cellStyle name="20% - Accent1 4 2 2 8 3 2" xfId="9818"/>
    <cellStyle name="20% - Accent1 4 2 2 8 4" xfId="9819"/>
    <cellStyle name="20% - Accent1 4 2 2 8 5" xfId="9820"/>
    <cellStyle name="20% - Accent1 4 2 2 9" xfId="9821"/>
    <cellStyle name="20% - Accent1 4 2 2 9 2" xfId="9822"/>
    <cellStyle name="20% - Accent1 4 2 2 9 3" xfId="9823"/>
    <cellStyle name="20% - Accent1 4 2 3" xfId="159"/>
    <cellStyle name="20% - Accent1 4 2 3 10" xfId="9824"/>
    <cellStyle name="20% - Accent1 4 2 3 10 2" xfId="9825"/>
    <cellStyle name="20% - Accent1 4 2 3 11" xfId="9826"/>
    <cellStyle name="20% - Accent1 4 2 3 12" xfId="9827"/>
    <cellStyle name="20% - Accent1 4 2 3 2" xfId="160"/>
    <cellStyle name="20% - Accent1 4 2 3 2 10" xfId="9828"/>
    <cellStyle name="20% - Accent1 4 2 3 2 2" xfId="161"/>
    <cellStyle name="20% - Accent1 4 2 3 2 2 2" xfId="9829"/>
    <cellStyle name="20% - Accent1 4 2 3 2 2 2 2" xfId="9830"/>
    <cellStyle name="20% - Accent1 4 2 3 2 2 2 2 2" xfId="9831"/>
    <cellStyle name="20% - Accent1 4 2 3 2 2 2 2 3" xfId="9832"/>
    <cellStyle name="20% - Accent1 4 2 3 2 2 2 3" xfId="9833"/>
    <cellStyle name="20% - Accent1 4 2 3 2 2 2 3 2" xfId="9834"/>
    <cellStyle name="20% - Accent1 4 2 3 2 2 2 3 3" xfId="9835"/>
    <cellStyle name="20% - Accent1 4 2 3 2 2 2 4" xfId="9836"/>
    <cellStyle name="20% - Accent1 4 2 3 2 2 2 4 2" xfId="9837"/>
    <cellStyle name="20% - Accent1 4 2 3 2 2 2 5" xfId="9838"/>
    <cellStyle name="20% - Accent1 4 2 3 2 2 2 6" xfId="9839"/>
    <cellStyle name="20% - Accent1 4 2 3 2 2 3" xfId="9840"/>
    <cellStyle name="20% - Accent1 4 2 3 2 2 3 2" xfId="9841"/>
    <cellStyle name="20% - Accent1 4 2 3 2 2 3 2 2" xfId="9842"/>
    <cellStyle name="20% - Accent1 4 2 3 2 2 3 2 3" xfId="9843"/>
    <cellStyle name="20% - Accent1 4 2 3 2 2 3 3" xfId="9844"/>
    <cellStyle name="20% - Accent1 4 2 3 2 2 3 3 2" xfId="9845"/>
    <cellStyle name="20% - Accent1 4 2 3 2 2 3 3 3" xfId="9846"/>
    <cellStyle name="20% - Accent1 4 2 3 2 2 3 4" xfId="9847"/>
    <cellStyle name="20% - Accent1 4 2 3 2 2 3 4 2" xfId="9848"/>
    <cellStyle name="20% - Accent1 4 2 3 2 2 3 5" xfId="9849"/>
    <cellStyle name="20% - Accent1 4 2 3 2 2 3 6" xfId="9850"/>
    <cellStyle name="20% - Accent1 4 2 3 2 2 4" xfId="9851"/>
    <cellStyle name="20% - Accent1 4 2 3 2 2 4 2" xfId="9852"/>
    <cellStyle name="20% - Accent1 4 2 3 2 2 4 2 2" xfId="9853"/>
    <cellStyle name="20% - Accent1 4 2 3 2 2 4 2 3" xfId="9854"/>
    <cellStyle name="20% - Accent1 4 2 3 2 2 4 3" xfId="9855"/>
    <cellStyle name="20% - Accent1 4 2 3 2 2 4 3 2" xfId="9856"/>
    <cellStyle name="20% - Accent1 4 2 3 2 2 4 4" xfId="9857"/>
    <cellStyle name="20% - Accent1 4 2 3 2 2 4 5" xfId="9858"/>
    <cellStyle name="20% - Accent1 4 2 3 2 2 5" xfId="9859"/>
    <cellStyle name="20% - Accent1 4 2 3 2 2 5 2" xfId="9860"/>
    <cellStyle name="20% - Accent1 4 2 3 2 2 5 3" xfId="9861"/>
    <cellStyle name="20% - Accent1 4 2 3 2 2 6" xfId="9862"/>
    <cellStyle name="20% - Accent1 4 2 3 2 2 6 2" xfId="9863"/>
    <cellStyle name="20% - Accent1 4 2 3 2 2 6 3" xfId="9864"/>
    <cellStyle name="20% - Accent1 4 2 3 2 2 7" xfId="9865"/>
    <cellStyle name="20% - Accent1 4 2 3 2 2 7 2" xfId="9866"/>
    <cellStyle name="20% - Accent1 4 2 3 2 2 8" xfId="9867"/>
    <cellStyle name="20% - Accent1 4 2 3 2 2 9" xfId="9868"/>
    <cellStyle name="20% - Accent1 4 2 3 2 3" xfId="9869"/>
    <cellStyle name="20% - Accent1 4 2 3 2 3 2" xfId="9870"/>
    <cellStyle name="20% - Accent1 4 2 3 2 3 2 2" xfId="9871"/>
    <cellStyle name="20% - Accent1 4 2 3 2 3 2 3" xfId="9872"/>
    <cellStyle name="20% - Accent1 4 2 3 2 3 3" xfId="9873"/>
    <cellStyle name="20% - Accent1 4 2 3 2 3 3 2" xfId="9874"/>
    <cellStyle name="20% - Accent1 4 2 3 2 3 3 3" xfId="9875"/>
    <cellStyle name="20% - Accent1 4 2 3 2 3 4" xfId="9876"/>
    <cellStyle name="20% - Accent1 4 2 3 2 3 4 2" xfId="9877"/>
    <cellStyle name="20% - Accent1 4 2 3 2 3 5" xfId="9878"/>
    <cellStyle name="20% - Accent1 4 2 3 2 3 6" xfId="9879"/>
    <cellStyle name="20% - Accent1 4 2 3 2 4" xfId="9880"/>
    <cellStyle name="20% - Accent1 4 2 3 2 4 2" xfId="9881"/>
    <cellStyle name="20% - Accent1 4 2 3 2 4 2 2" xfId="9882"/>
    <cellStyle name="20% - Accent1 4 2 3 2 4 2 3" xfId="9883"/>
    <cellStyle name="20% - Accent1 4 2 3 2 4 3" xfId="9884"/>
    <cellStyle name="20% - Accent1 4 2 3 2 4 3 2" xfId="9885"/>
    <cellStyle name="20% - Accent1 4 2 3 2 4 3 3" xfId="9886"/>
    <cellStyle name="20% - Accent1 4 2 3 2 4 4" xfId="9887"/>
    <cellStyle name="20% - Accent1 4 2 3 2 4 4 2" xfId="9888"/>
    <cellStyle name="20% - Accent1 4 2 3 2 4 5" xfId="9889"/>
    <cellStyle name="20% - Accent1 4 2 3 2 4 6" xfId="9890"/>
    <cellStyle name="20% - Accent1 4 2 3 2 5" xfId="9891"/>
    <cellStyle name="20% - Accent1 4 2 3 2 5 2" xfId="9892"/>
    <cellStyle name="20% - Accent1 4 2 3 2 5 2 2" xfId="9893"/>
    <cellStyle name="20% - Accent1 4 2 3 2 5 2 3" xfId="9894"/>
    <cellStyle name="20% - Accent1 4 2 3 2 5 3" xfId="9895"/>
    <cellStyle name="20% - Accent1 4 2 3 2 5 3 2" xfId="9896"/>
    <cellStyle name="20% - Accent1 4 2 3 2 5 4" xfId="9897"/>
    <cellStyle name="20% - Accent1 4 2 3 2 5 5" xfId="9898"/>
    <cellStyle name="20% - Accent1 4 2 3 2 6" xfId="9899"/>
    <cellStyle name="20% - Accent1 4 2 3 2 6 2" xfId="9900"/>
    <cellStyle name="20% - Accent1 4 2 3 2 6 3" xfId="9901"/>
    <cellStyle name="20% - Accent1 4 2 3 2 7" xfId="9902"/>
    <cellStyle name="20% - Accent1 4 2 3 2 7 2" xfId="9903"/>
    <cellStyle name="20% - Accent1 4 2 3 2 7 3" xfId="9904"/>
    <cellStyle name="20% - Accent1 4 2 3 2 8" xfId="9905"/>
    <cellStyle name="20% - Accent1 4 2 3 2 8 2" xfId="9906"/>
    <cellStyle name="20% - Accent1 4 2 3 2 9" xfId="9907"/>
    <cellStyle name="20% - Accent1 4 2 3 3" xfId="162"/>
    <cellStyle name="20% - Accent1 4 2 3 3 2" xfId="9908"/>
    <cellStyle name="20% - Accent1 4 2 3 3 2 2" xfId="9909"/>
    <cellStyle name="20% - Accent1 4 2 3 3 2 2 2" xfId="9910"/>
    <cellStyle name="20% - Accent1 4 2 3 3 2 2 3" xfId="9911"/>
    <cellStyle name="20% - Accent1 4 2 3 3 2 3" xfId="9912"/>
    <cellStyle name="20% - Accent1 4 2 3 3 2 3 2" xfId="9913"/>
    <cellStyle name="20% - Accent1 4 2 3 3 2 3 3" xfId="9914"/>
    <cellStyle name="20% - Accent1 4 2 3 3 2 4" xfId="9915"/>
    <cellStyle name="20% - Accent1 4 2 3 3 2 4 2" xfId="9916"/>
    <cellStyle name="20% - Accent1 4 2 3 3 2 5" xfId="9917"/>
    <cellStyle name="20% - Accent1 4 2 3 3 2 6" xfId="9918"/>
    <cellStyle name="20% - Accent1 4 2 3 3 3" xfId="9919"/>
    <cellStyle name="20% - Accent1 4 2 3 3 3 2" xfId="9920"/>
    <cellStyle name="20% - Accent1 4 2 3 3 3 2 2" xfId="9921"/>
    <cellStyle name="20% - Accent1 4 2 3 3 3 2 3" xfId="9922"/>
    <cellStyle name="20% - Accent1 4 2 3 3 3 3" xfId="9923"/>
    <cellStyle name="20% - Accent1 4 2 3 3 3 3 2" xfId="9924"/>
    <cellStyle name="20% - Accent1 4 2 3 3 3 3 3" xfId="9925"/>
    <cellStyle name="20% - Accent1 4 2 3 3 3 4" xfId="9926"/>
    <cellStyle name="20% - Accent1 4 2 3 3 3 4 2" xfId="9927"/>
    <cellStyle name="20% - Accent1 4 2 3 3 3 5" xfId="9928"/>
    <cellStyle name="20% - Accent1 4 2 3 3 3 6" xfId="9929"/>
    <cellStyle name="20% - Accent1 4 2 3 3 4" xfId="9930"/>
    <cellStyle name="20% - Accent1 4 2 3 3 4 2" xfId="9931"/>
    <cellStyle name="20% - Accent1 4 2 3 3 4 2 2" xfId="9932"/>
    <cellStyle name="20% - Accent1 4 2 3 3 4 2 3" xfId="9933"/>
    <cellStyle name="20% - Accent1 4 2 3 3 4 3" xfId="9934"/>
    <cellStyle name="20% - Accent1 4 2 3 3 4 3 2" xfId="9935"/>
    <cellStyle name="20% - Accent1 4 2 3 3 4 4" xfId="9936"/>
    <cellStyle name="20% - Accent1 4 2 3 3 4 5" xfId="9937"/>
    <cellStyle name="20% - Accent1 4 2 3 3 5" xfId="9938"/>
    <cellStyle name="20% - Accent1 4 2 3 3 5 2" xfId="9939"/>
    <cellStyle name="20% - Accent1 4 2 3 3 5 3" xfId="9940"/>
    <cellStyle name="20% - Accent1 4 2 3 3 6" xfId="9941"/>
    <cellStyle name="20% - Accent1 4 2 3 3 6 2" xfId="9942"/>
    <cellStyle name="20% - Accent1 4 2 3 3 6 3" xfId="9943"/>
    <cellStyle name="20% - Accent1 4 2 3 3 7" xfId="9944"/>
    <cellStyle name="20% - Accent1 4 2 3 3 7 2" xfId="9945"/>
    <cellStyle name="20% - Accent1 4 2 3 3 8" xfId="9946"/>
    <cellStyle name="20% - Accent1 4 2 3 3 9" xfId="9947"/>
    <cellStyle name="20% - Accent1 4 2 3 4" xfId="9948"/>
    <cellStyle name="20% - Accent1 4 2 3 4 2" xfId="9949"/>
    <cellStyle name="20% - Accent1 4 2 3 4 2 2" xfId="9950"/>
    <cellStyle name="20% - Accent1 4 2 3 4 2 2 2" xfId="9951"/>
    <cellStyle name="20% - Accent1 4 2 3 4 2 2 3" xfId="9952"/>
    <cellStyle name="20% - Accent1 4 2 3 4 2 3" xfId="9953"/>
    <cellStyle name="20% - Accent1 4 2 3 4 2 3 2" xfId="9954"/>
    <cellStyle name="20% - Accent1 4 2 3 4 2 3 3" xfId="9955"/>
    <cellStyle name="20% - Accent1 4 2 3 4 2 4" xfId="9956"/>
    <cellStyle name="20% - Accent1 4 2 3 4 2 4 2" xfId="9957"/>
    <cellStyle name="20% - Accent1 4 2 3 4 2 5" xfId="9958"/>
    <cellStyle name="20% - Accent1 4 2 3 4 2 6" xfId="9959"/>
    <cellStyle name="20% - Accent1 4 2 3 4 3" xfId="9960"/>
    <cellStyle name="20% - Accent1 4 2 3 4 3 2" xfId="9961"/>
    <cellStyle name="20% - Accent1 4 2 3 4 3 2 2" xfId="9962"/>
    <cellStyle name="20% - Accent1 4 2 3 4 3 2 3" xfId="9963"/>
    <cellStyle name="20% - Accent1 4 2 3 4 3 3" xfId="9964"/>
    <cellStyle name="20% - Accent1 4 2 3 4 3 3 2" xfId="9965"/>
    <cellStyle name="20% - Accent1 4 2 3 4 3 3 3" xfId="9966"/>
    <cellStyle name="20% - Accent1 4 2 3 4 3 4" xfId="9967"/>
    <cellStyle name="20% - Accent1 4 2 3 4 3 4 2" xfId="9968"/>
    <cellStyle name="20% - Accent1 4 2 3 4 3 5" xfId="9969"/>
    <cellStyle name="20% - Accent1 4 2 3 4 3 6" xfId="9970"/>
    <cellStyle name="20% - Accent1 4 2 3 4 4" xfId="9971"/>
    <cellStyle name="20% - Accent1 4 2 3 4 4 2" xfId="9972"/>
    <cellStyle name="20% - Accent1 4 2 3 4 4 2 2" xfId="9973"/>
    <cellStyle name="20% - Accent1 4 2 3 4 4 2 3" xfId="9974"/>
    <cellStyle name="20% - Accent1 4 2 3 4 4 3" xfId="9975"/>
    <cellStyle name="20% - Accent1 4 2 3 4 4 3 2" xfId="9976"/>
    <cellStyle name="20% - Accent1 4 2 3 4 4 4" xfId="9977"/>
    <cellStyle name="20% - Accent1 4 2 3 4 4 5" xfId="9978"/>
    <cellStyle name="20% - Accent1 4 2 3 4 5" xfId="9979"/>
    <cellStyle name="20% - Accent1 4 2 3 4 5 2" xfId="9980"/>
    <cellStyle name="20% - Accent1 4 2 3 4 5 3" xfId="9981"/>
    <cellStyle name="20% - Accent1 4 2 3 4 6" xfId="9982"/>
    <cellStyle name="20% - Accent1 4 2 3 4 6 2" xfId="9983"/>
    <cellStyle name="20% - Accent1 4 2 3 4 6 3" xfId="9984"/>
    <cellStyle name="20% - Accent1 4 2 3 4 7" xfId="9985"/>
    <cellStyle name="20% - Accent1 4 2 3 4 7 2" xfId="9986"/>
    <cellStyle name="20% - Accent1 4 2 3 4 8" xfId="9987"/>
    <cellStyle name="20% - Accent1 4 2 3 4 9" xfId="9988"/>
    <cellStyle name="20% - Accent1 4 2 3 5" xfId="9989"/>
    <cellStyle name="20% - Accent1 4 2 3 5 2" xfId="9990"/>
    <cellStyle name="20% - Accent1 4 2 3 5 2 2" xfId="9991"/>
    <cellStyle name="20% - Accent1 4 2 3 5 2 3" xfId="9992"/>
    <cellStyle name="20% - Accent1 4 2 3 5 3" xfId="9993"/>
    <cellStyle name="20% - Accent1 4 2 3 5 3 2" xfId="9994"/>
    <cellStyle name="20% - Accent1 4 2 3 5 3 3" xfId="9995"/>
    <cellStyle name="20% - Accent1 4 2 3 5 4" xfId="9996"/>
    <cellStyle name="20% - Accent1 4 2 3 5 4 2" xfId="9997"/>
    <cellStyle name="20% - Accent1 4 2 3 5 5" xfId="9998"/>
    <cellStyle name="20% - Accent1 4 2 3 5 6" xfId="9999"/>
    <cellStyle name="20% - Accent1 4 2 3 6" xfId="10000"/>
    <cellStyle name="20% - Accent1 4 2 3 6 2" xfId="10001"/>
    <cellStyle name="20% - Accent1 4 2 3 6 2 2" xfId="10002"/>
    <cellStyle name="20% - Accent1 4 2 3 6 2 3" xfId="10003"/>
    <cellStyle name="20% - Accent1 4 2 3 6 3" xfId="10004"/>
    <cellStyle name="20% - Accent1 4 2 3 6 3 2" xfId="10005"/>
    <cellStyle name="20% - Accent1 4 2 3 6 3 3" xfId="10006"/>
    <cellStyle name="20% - Accent1 4 2 3 6 4" xfId="10007"/>
    <cellStyle name="20% - Accent1 4 2 3 6 4 2" xfId="10008"/>
    <cellStyle name="20% - Accent1 4 2 3 6 5" xfId="10009"/>
    <cellStyle name="20% - Accent1 4 2 3 6 6" xfId="10010"/>
    <cellStyle name="20% - Accent1 4 2 3 7" xfId="10011"/>
    <cellStyle name="20% - Accent1 4 2 3 7 2" xfId="10012"/>
    <cellStyle name="20% - Accent1 4 2 3 7 2 2" xfId="10013"/>
    <cellStyle name="20% - Accent1 4 2 3 7 2 3" xfId="10014"/>
    <cellStyle name="20% - Accent1 4 2 3 7 3" xfId="10015"/>
    <cellStyle name="20% - Accent1 4 2 3 7 3 2" xfId="10016"/>
    <cellStyle name="20% - Accent1 4 2 3 7 4" xfId="10017"/>
    <cellStyle name="20% - Accent1 4 2 3 7 5" xfId="10018"/>
    <cellStyle name="20% - Accent1 4 2 3 8" xfId="10019"/>
    <cellStyle name="20% - Accent1 4 2 3 8 2" xfId="10020"/>
    <cellStyle name="20% - Accent1 4 2 3 8 3" xfId="10021"/>
    <cellStyle name="20% - Accent1 4 2 3 9" xfId="10022"/>
    <cellStyle name="20% - Accent1 4 2 3 9 2" xfId="10023"/>
    <cellStyle name="20% - Accent1 4 2 3 9 3" xfId="10024"/>
    <cellStyle name="20% - Accent1 4 2 4" xfId="163"/>
    <cellStyle name="20% - Accent1 4 2 4 10" xfId="10025"/>
    <cellStyle name="20% - Accent1 4 2 4 2" xfId="164"/>
    <cellStyle name="20% - Accent1 4 2 4 2 2" xfId="10026"/>
    <cellStyle name="20% - Accent1 4 2 4 2 2 2" xfId="10027"/>
    <cellStyle name="20% - Accent1 4 2 4 2 2 2 2" xfId="10028"/>
    <cellStyle name="20% - Accent1 4 2 4 2 2 2 3" xfId="10029"/>
    <cellStyle name="20% - Accent1 4 2 4 2 2 3" xfId="10030"/>
    <cellStyle name="20% - Accent1 4 2 4 2 2 3 2" xfId="10031"/>
    <cellStyle name="20% - Accent1 4 2 4 2 2 3 3" xfId="10032"/>
    <cellStyle name="20% - Accent1 4 2 4 2 2 4" xfId="10033"/>
    <cellStyle name="20% - Accent1 4 2 4 2 2 4 2" xfId="10034"/>
    <cellStyle name="20% - Accent1 4 2 4 2 2 5" xfId="10035"/>
    <cellStyle name="20% - Accent1 4 2 4 2 2 6" xfId="10036"/>
    <cellStyle name="20% - Accent1 4 2 4 2 3" xfId="10037"/>
    <cellStyle name="20% - Accent1 4 2 4 2 3 2" xfId="10038"/>
    <cellStyle name="20% - Accent1 4 2 4 2 3 2 2" xfId="10039"/>
    <cellStyle name="20% - Accent1 4 2 4 2 3 2 3" xfId="10040"/>
    <cellStyle name="20% - Accent1 4 2 4 2 3 3" xfId="10041"/>
    <cellStyle name="20% - Accent1 4 2 4 2 3 3 2" xfId="10042"/>
    <cellStyle name="20% - Accent1 4 2 4 2 3 3 3" xfId="10043"/>
    <cellStyle name="20% - Accent1 4 2 4 2 3 4" xfId="10044"/>
    <cellStyle name="20% - Accent1 4 2 4 2 3 4 2" xfId="10045"/>
    <cellStyle name="20% - Accent1 4 2 4 2 3 5" xfId="10046"/>
    <cellStyle name="20% - Accent1 4 2 4 2 3 6" xfId="10047"/>
    <cellStyle name="20% - Accent1 4 2 4 2 4" xfId="10048"/>
    <cellStyle name="20% - Accent1 4 2 4 2 4 2" xfId="10049"/>
    <cellStyle name="20% - Accent1 4 2 4 2 4 2 2" xfId="10050"/>
    <cellStyle name="20% - Accent1 4 2 4 2 4 2 3" xfId="10051"/>
    <cellStyle name="20% - Accent1 4 2 4 2 4 3" xfId="10052"/>
    <cellStyle name="20% - Accent1 4 2 4 2 4 3 2" xfId="10053"/>
    <cellStyle name="20% - Accent1 4 2 4 2 4 4" xfId="10054"/>
    <cellStyle name="20% - Accent1 4 2 4 2 4 5" xfId="10055"/>
    <cellStyle name="20% - Accent1 4 2 4 2 5" xfId="10056"/>
    <cellStyle name="20% - Accent1 4 2 4 2 5 2" xfId="10057"/>
    <cellStyle name="20% - Accent1 4 2 4 2 5 3" xfId="10058"/>
    <cellStyle name="20% - Accent1 4 2 4 2 6" xfId="10059"/>
    <cellStyle name="20% - Accent1 4 2 4 2 6 2" xfId="10060"/>
    <cellStyle name="20% - Accent1 4 2 4 2 6 3" xfId="10061"/>
    <cellStyle name="20% - Accent1 4 2 4 2 7" xfId="10062"/>
    <cellStyle name="20% - Accent1 4 2 4 2 7 2" xfId="10063"/>
    <cellStyle name="20% - Accent1 4 2 4 2 8" xfId="10064"/>
    <cellStyle name="20% - Accent1 4 2 4 2 9" xfId="10065"/>
    <cellStyle name="20% - Accent1 4 2 4 3" xfId="10066"/>
    <cellStyle name="20% - Accent1 4 2 4 3 2" xfId="10067"/>
    <cellStyle name="20% - Accent1 4 2 4 3 2 2" xfId="10068"/>
    <cellStyle name="20% - Accent1 4 2 4 3 2 3" xfId="10069"/>
    <cellStyle name="20% - Accent1 4 2 4 3 3" xfId="10070"/>
    <cellStyle name="20% - Accent1 4 2 4 3 3 2" xfId="10071"/>
    <cellStyle name="20% - Accent1 4 2 4 3 3 3" xfId="10072"/>
    <cellStyle name="20% - Accent1 4 2 4 3 4" xfId="10073"/>
    <cellStyle name="20% - Accent1 4 2 4 3 4 2" xfId="10074"/>
    <cellStyle name="20% - Accent1 4 2 4 3 5" xfId="10075"/>
    <cellStyle name="20% - Accent1 4 2 4 3 6" xfId="10076"/>
    <cellStyle name="20% - Accent1 4 2 4 4" xfId="10077"/>
    <cellStyle name="20% - Accent1 4 2 4 4 2" xfId="10078"/>
    <cellStyle name="20% - Accent1 4 2 4 4 2 2" xfId="10079"/>
    <cellStyle name="20% - Accent1 4 2 4 4 2 3" xfId="10080"/>
    <cellStyle name="20% - Accent1 4 2 4 4 3" xfId="10081"/>
    <cellStyle name="20% - Accent1 4 2 4 4 3 2" xfId="10082"/>
    <cellStyle name="20% - Accent1 4 2 4 4 3 3" xfId="10083"/>
    <cellStyle name="20% - Accent1 4 2 4 4 4" xfId="10084"/>
    <cellStyle name="20% - Accent1 4 2 4 4 4 2" xfId="10085"/>
    <cellStyle name="20% - Accent1 4 2 4 4 5" xfId="10086"/>
    <cellStyle name="20% - Accent1 4 2 4 4 6" xfId="10087"/>
    <cellStyle name="20% - Accent1 4 2 4 5" xfId="10088"/>
    <cellStyle name="20% - Accent1 4 2 4 5 2" xfId="10089"/>
    <cellStyle name="20% - Accent1 4 2 4 5 2 2" xfId="10090"/>
    <cellStyle name="20% - Accent1 4 2 4 5 2 3" xfId="10091"/>
    <cellStyle name="20% - Accent1 4 2 4 5 3" xfId="10092"/>
    <cellStyle name="20% - Accent1 4 2 4 5 3 2" xfId="10093"/>
    <cellStyle name="20% - Accent1 4 2 4 5 4" xfId="10094"/>
    <cellStyle name="20% - Accent1 4 2 4 5 5" xfId="10095"/>
    <cellStyle name="20% - Accent1 4 2 4 6" xfId="10096"/>
    <cellStyle name="20% - Accent1 4 2 4 6 2" xfId="10097"/>
    <cellStyle name="20% - Accent1 4 2 4 6 3" xfId="10098"/>
    <cellStyle name="20% - Accent1 4 2 4 7" xfId="10099"/>
    <cellStyle name="20% - Accent1 4 2 4 7 2" xfId="10100"/>
    <cellStyle name="20% - Accent1 4 2 4 7 3" xfId="10101"/>
    <cellStyle name="20% - Accent1 4 2 4 8" xfId="10102"/>
    <cellStyle name="20% - Accent1 4 2 4 8 2" xfId="10103"/>
    <cellStyle name="20% - Accent1 4 2 4 9" xfId="10104"/>
    <cellStyle name="20% - Accent1 4 2 5" xfId="165"/>
    <cellStyle name="20% - Accent1 4 2 5 2" xfId="10105"/>
    <cellStyle name="20% - Accent1 4 2 5 2 2" xfId="10106"/>
    <cellStyle name="20% - Accent1 4 2 5 2 2 2" xfId="10107"/>
    <cellStyle name="20% - Accent1 4 2 5 2 2 3" xfId="10108"/>
    <cellStyle name="20% - Accent1 4 2 5 2 3" xfId="10109"/>
    <cellStyle name="20% - Accent1 4 2 5 2 3 2" xfId="10110"/>
    <cellStyle name="20% - Accent1 4 2 5 2 3 3" xfId="10111"/>
    <cellStyle name="20% - Accent1 4 2 5 2 4" xfId="10112"/>
    <cellStyle name="20% - Accent1 4 2 5 2 4 2" xfId="10113"/>
    <cellStyle name="20% - Accent1 4 2 5 2 5" xfId="10114"/>
    <cellStyle name="20% - Accent1 4 2 5 2 6" xfId="10115"/>
    <cellStyle name="20% - Accent1 4 2 5 3" xfId="10116"/>
    <cellStyle name="20% - Accent1 4 2 5 3 2" xfId="10117"/>
    <cellStyle name="20% - Accent1 4 2 5 3 2 2" xfId="10118"/>
    <cellStyle name="20% - Accent1 4 2 5 3 2 3" xfId="10119"/>
    <cellStyle name="20% - Accent1 4 2 5 3 3" xfId="10120"/>
    <cellStyle name="20% - Accent1 4 2 5 3 3 2" xfId="10121"/>
    <cellStyle name="20% - Accent1 4 2 5 3 3 3" xfId="10122"/>
    <cellStyle name="20% - Accent1 4 2 5 3 4" xfId="10123"/>
    <cellStyle name="20% - Accent1 4 2 5 3 4 2" xfId="10124"/>
    <cellStyle name="20% - Accent1 4 2 5 3 5" xfId="10125"/>
    <cellStyle name="20% - Accent1 4 2 5 3 6" xfId="10126"/>
    <cellStyle name="20% - Accent1 4 2 5 4" xfId="10127"/>
    <cellStyle name="20% - Accent1 4 2 5 4 2" xfId="10128"/>
    <cellStyle name="20% - Accent1 4 2 5 4 2 2" xfId="10129"/>
    <cellStyle name="20% - Accent1 4 2 5 4 2 3" xfId="10130"/>
    <cellStyle name="20% - Accent1 4 2 5 4 3" xfId="10131"/>
    <cellStyle name="20% - Accent1 4 2 5 4 3 2" xfId="10132"/>
    <cellStyle name="20% - Accent1 4 2 5 4 4" xfId="10133"/>
    <cellStyle name="20% - Accent1 4 2 5 4 5" xfId="10134"/>
    <cellStyle name="20% - Accent1 4 2 5 5" xfId="10135"/>
    <cellStyle name="20% - Accent1 4 2 5 5 2" xfId="10136"/>
    <cellStyle name="20% - Accent1 4 2 5 5 3" xfId="10137"/>
    <cellStyle name="20% - Accent1 4 2 5 6" xfId="10138"/>
    <cellStyle name="20% - Accent1 4 2 5 6 2" xfId="10139"/>
    <cellStyle name="20% - Accent1 4 2 5 6 3" xfId="10140"/>
    <cellStyle name="20% - Accent1 4 2 5 7" xfId="10141"/>
    <cellStyle name="20% - Accent1 4 2 5 7 2" xfId="10142"/>
    <cellStyle name="20% - Accent1 4 2 5 8" xfId="10143"/>
    <cellStyle name="20% - Accent1 4 2 5 9" xfId="10144"/>
    <cellStyle name="20% - Accent1 4 2 6" xfId="10145"/>
    <cellStyle name="20% - Accent1 4 2 6 2" xfId="10146"/>
    <cellStyle name="20% - Accent1 4 2 6 2 2" xfId="10147"/>
    <cellStyle name="20% - Accent1 4 2 6 2 2 2" xfId="10148"/>
    <cellStyle name="20% - Accent1 4 2 6 2 2 3" xfId="10149"/>
    <cellStyle name="20% - Accent1 4 2 6 2 3" xfId="10150"/>
    <cellStyle name="20% - Accent1 4 2 6 2 3 2" xfId="10151"/>
    <cellStyle name="20% - Accent1 4 2 6 2 3 3" xfId="10152"/>
    <cellStyle name="20% - Accent1 4 2 6 2 4" xfId="10153"/>
    <cellStyle name="20% - Accent1 4 2 6 2 4 2" xfId="10154"/>
    <cellStyle name="20% - Accent1 4 2 6 2 5" xfId="10155"/>
    <cellStyle name="20% - Accent1 4 2 6 2 6" xfId="10156"/>
    <cellStyle name="20% - Accent1 4 2 6 3" xfId="10157"/>
    <cellStyle name="20% - Accent1 4 2 6 3 2" xfId="10158"/>
    <cellStyle name="20% - Accent1 4 2 6 3 2 2" xfId="10159"/>
    <cellStyle name="20% - Accent1 4 2 6 3 2 3" xfId="10160"/>
    <cellStyle name="20% - Accent1 4 2 6 3 3" xfId="10161"/>
    <cellStyle name="20% - Accent1 4 2 6 3 3 2" xfId="10162"/>
    <cellStyle name="20% - Accent1 4 2 6 3 3 3" xfId="10163"/>
    <cellStyle name="20% - Accent1 4 2 6 3 4" xfId="10164"/>
    <cellStyle name="20% - Accent1 4 2 6 3 4 2" xfId="10165"/>
    <cellStyle name="20% - Accent1 4 2 6 3 5" xfId="10166"/>
    <cellStyle name="20% - Accent1 4 2 6 3 6" xfId="10167"/>
    <cellStyle name="20% - Accent1 4 2 6 4" xfId="10168"/>
    <cellStyle name="20% - Accent1 4 2 6 4 2" xfId="10169"/>
    <cellStyle name="20% - Accent1 4 2 6 4 2 2" xfId="10170"/>
    <cellStyle name="20% - Accent1 4 2 6 4 2 3" xfId="10171"/>
    <cellStyle name="20% - Accent1 4 2 6 4 3" xfId="10172"/>
    <cellStyle name="20% - Accent1 4 2 6 4 3 2" xfId="10173"/>
    <cellStyle name="20% - Accent1 4 2 6 4 4" xfId="10174"/>
    <cellStyle name="20% - Accent1 4 2 6 4 5" xfId="10175"/>
    <cellStyle name="20% - Accent1 4 2 6 5" xfId="10176"/>
    <cellStyle name="20% - Accent1 4 2 6 5 2" xfId="10177"/>
    <cellStyle name="20% - Accent1 4 2 6 5 3" xfId="10178"/>
    <cellStyle name="20% - Accent1 4 2 6 6" xfId="10179"/>
    <cellStyle name="20% - Accent1 4 2 6 6 2" xfId="10180"/>
    <cellStyle name="20% - Accent1 4 2 6 6 3" xfId="10181"/>
    <cellStyle name="20% - Accent1 4 2 6 7" xfId="10182"/>
    <cellStyle name="20% - Accent1 4 2 6 7 2" xfId="10183"/>
    <cellStyle name="20% - Accent1 4 2 6 8" xfId="10184"/>
    <cellStyle name="20% - Accent1 4 2 6 9" xfId="10185"/>
    <cellStyle name="20% - Accent1 4 2 7" xfId="10186"/>
    <cellStyle name="20% - Accent1 4 2 7 2" xfId="10187"/>
    <cellStyle name="20% - Accent1 4 2 7 2 2" xfId="10188"/>
    <cellStyle name="20% - Accent1 4 2 7 2 3" xfId="10189"/>
    <cellStyle name="20% - Accent1 4 2 7 3" xfId="10190"/>
    <cellStyle name="20% - Accent1 4 2 7 3 2" xfId="10191"/>
    <cellStyle name="20% - Accent1 4 2 7 3 3" xfId="10192"/>
    <cellStyle name="20% - Accent1 4 2 7 4" xfId="10193"/>
    <cellStyle name="20% - Accent1 4 2 7 4 2" xfId="10194"/>
    <cellStyle name="20% - Accent1 4 2 7 5" xfId="10195"/>
    <cellStyle name="20% - Accent1 4 2 7 6" xfId="10196"/>
    <cellStyle name="20% - Accent1 4 2 8" xfId="10197"/>
    <cellStyle name="20% - Accent1 4 2 8 2" xfId="10198"/>
    <cellStyle name="20% - Accent1 4 2 8 2 2" xfId="10199"/>
    <cellStyle name="20% - Accent1 4 2 8 2 3" xfId="10200"/>
    <cellStyle name="20% - Accent1 4 2 8 3" xfId="10201"/>
    <cellStyle name="20% - Accent1 4 2 8 3 2" xfId="10202"/>
    <cellStyle name="20% - Accent1 4 2 8 3 3" xfId="10203"/>
    <cellStyle name="20% - Accent1 4 2 8 4" xfId="10204"/>
    <cellStyle name="20% - Accent1 4 2 8 4 2" xfId="10205"/>
    <cellStyle name="20% - Accent1 4 2 8 5" xfId="10206"/>
    <cellStyle name="20% - Accent1 4 2 8 6" xfId="10207"/>
    <cellStyle name="20% - Accent1 4 2 9" xfId="10208"/>
    <cellStyle name="20% - Accent1 4 2 9 2" xfId="10209"/>
    <cellStyle name="20% - Accent1 4 2 9 2 2" xfId="10210"/>
    <cellStyle name="20% - Accent1 4 2 9 2 3" xfId="10211"/>
    <cellStyle name="20% - Accent1 4 2 9 3" xfId="10212"/>
    <cellStyle name="20% - Accent1 4 2 9 3 2" xfId="10213"/>
    <cellStyle name="20% - Accent1 4 2 9 4" xfId="10214"/>
    <cellStyle name="20% - Accent1 4 2 9 5" xfId="10215"/>
    <cellStyle name="20% - Accent1 4 3" xfId="166"/>
    <cellStyle name="20% - Accent1 4 3 10" xfId="10216"/>
    <cellStyle name="20% - Accent1 4 3 10 2" xfId="10217"/>
    <cellStyle name="20% - Accent1 4 3 10 3" xfId="10218"/>
    <cellStyle name="20% - Accent1 4 3 11" xfId="10219"/>
    <cellStyle name="20% - Accent1 4 3 11 2" xfId="10220"/>
    <cellStyle name="20% - Accent1 4 3 12" xfId="10221"/>
    <cellStyle name="20% - Accent1 4 3 13" xfId="10222"/>
    <cellStyle name="20% - Accent1 4 3 14" xfId="10223"/>
    <cellStyle name="20% - Accent1 4 3 2" xfId="167"/>
    <cellStyle name="20% - Accent1 4 3 2 10" xfId="10224"/>
    <cellStyle name="20% - Accent1 4 3 2 10 2" xfId="10225"/>
    <cellStyle name="20% - Accent1 4 3 2 11" xfId="10226"/>
    <cellStyle name="20% - Accent1 4 3 2 12" xfId="10227"/>
    <cellStyle name="20% - Accent1 4 3 2 2" xfId="168"/>
    <cellStyle name="20% - Accent1 4 3 2 2 10" xfId="10228"/>
    <cellStyle name="20% - Accent1 4 3 2 2 2" xfId="169"/>
    <cellStyle name="20% - Accent1 4 3 2 2 2 2" xfId="10229"/>
    <cellStyle name="20% - Accent1 4 3 2 2 2 2 2" xfId="10230"/>
    <cellStyle name="20% - Accent1 4 3 2 2 2 2 2 2" xfId="10231"/>
    <cellStyle name="20% - Accent1 4 3 2 2 2 2 2 3" xfId="10232"/>
    <cellStyle name="20% - Accent1 4 3 2 2 2 2 3" xfId="10233"/>
    <cellStyle name="20% - Accent1 4 3 2 2 2 2 3 2" xfId="10234"/>
    <cellStyle name="20% - Accent1 4 3 2 2 2 2 3 3" xfId="10235"/>
    <cellStyle name="20% - Accent1 4 3 2 2 2 2 4" xfId="10236"/>
    <cellStyle name="20% - Accent1 4 3 2 2 2 2 4 2" xfId="10237"/>
    <cellStyle name="20% - Accent1 4 3 2 2 2 2 5" xfId="10238"/>
    <cellStyle name="20% - Accent1 4 3 2 2 2 2 6" xfId="10239"/>
    <cellStyle name="20% - Accent1 4 3 2 2 2 3" xfId="10240"/>
    <cellStyle name="20% - Accent1 4 3 2 2 2 3 2" xfId="10241"/>
    <cellStyle name="20% - Accent1 4 3 2 2 2 3 2 2" xfId="10242"/>
    <cellStyle name="20% - Accent1 4 3 2 2 2 3 2 3" xfId="10243"/>
    <cellStyle name="20% - Accent1 4 3 2 2 2 3 3" xfId="10244"/>
    <cellStyle name="20% - Accent1 4 3 2 2 2 3 3 2" xfId="10245"/>
    <cellStyle name="20% - Accent1 4 3 2 2 2 3 3 3" xfId="10246"/>
    <cellStyle name="20% - Accent1 4 3 2 2 2 3 4" xfId="10247"/>
    <cellStyle name="20% - Accent1 4 3 2 2 2 3 4 2" xfId="10248"/>
    <cellStyle name="20% - Accent1 4 3 2 2 2 3 5" xfId="10249"/>
    <cellStyle name="20% - Accent1 4 3 2 2 2 3 6" xfId="10250"/>
    <cellStyle name="20% - Accent1 4 3 2 2 2 4" xfId="10251"/>
    <cellStyle name="20% - Accent1 4 3 2 2 2 4 2" xfId="10252"/>
    <cellStyle name="20% - Accent1 4 3 2 2 2 4 2 2" xfId="10253"/>
    <cellStyle name="20% - Accent1 4 3 2 2 2 4 2 3" xfId="10254"/>
    <cellStyle name="20% - Accent1 4 3 2 2 2 4 3" xfId="10255"/>
    <cellStyle name="20% - Accent1 4 3 2 2 2 4 3 2" xfId="10256"/>
    <cellStyle name="20% - Accent1 4 3 2 2 2 4 4" xfId="10257"/>
    <cellStyle name="20% - Accent1 4 3 2 2 2 4 5" xfId="10258"/>
    <cellStyle name="20% - Accent1 4 3 2 2 2 5" xfId="10259"/>
    <cellStyle name="20% - Accent1 4 3 2 2 2 5 2" xfId="10260"/>
    <cellStyle name="20% - Accent1 4 3 2 2 2 5 3" xfId="10261"/>
    <cellStyle name="20% - Accent1 4 3 2 2 2 6" xfId="10262"/>
    <cellStyle name="20% - Accent1 4 3 2 2 2 6 2" xfId="10263"/>
    <cellStyle name="20% - Accent1 4 3 2 2 2 6 3" xfId="10264"/>
    <cellStyle name="20% - Accent1 4 3 2 2 2 7" xfId="10265"/>
    <cellStyle name="20% - Accent1 4 3 2 2 2 7 2" xfId="10266"/>
    <cellStyle name="20% - Accent1 4 3 2 2 2 8" xfId="10267"/>
    <cellStyle name="20% - Accent1 4 3 2 2 2 9" xfId="10268"/>
    <cellStyle name="20% - Accent1 4 3 2 2 3" xfId="10269"/>
    <cellStyle name="20% - Accent1 4 3 2 2 3 2" xfId="10270"/>
    <cellStyle name="20% - Accent1 4 3 2 2 3 2 2" xfId="10271"/>
    <cellStyle name="20% - Accent1 4 3 2 2 3 2 3" xfId="10272"/>
    <cellStyle name="20% - Accent1 4 3 2 2 3 3" xfId="10273"/>
    <cellStyle name="20% - Accent1 4 3 2 2 3 3 2" xfId="10274"/>
    <cellStyle name="20% - Accent1 4 3 2 2 3 3 3" xfId="10275"/>
    <cellStyle name="20% - Accent1 4 3 2 2 3 4" xfId="10276"/>
    <cellStyle name="20% - Accent1 4 3 2 2 3 4 2" xfId="10277"/>
    <cellStyle name="20% - Accent1 4 3 2 2 3 5" xfId="10278"/>
    <cellStyle name="20% - Accent1 4 3 2 2 3 6" xfId="10279"/>
    <cellStyle name="20% - Accent1 4 3 2 2 4" xfId="10280"/>
    <cellStyle name="20% - Accent1 4 3 2 2 4 2" xfId="10281"/>
    <cellStyle name="20% - Accent1 4 3 2 2 4 2 2" xfId="10282"/>
    <cellStyle name="20% - Accent1 4 3 2 2 4 2 3" xfId="10283"/>
    <cellStyle name="20% - Accent1 4 3 2 2 4 3" xfId="10284"/>
    <cellStyle name="20% - Accent1 4 3 2 2 4 3 2" xfId="10285"/>
    <cellStyle name="20% - Accent1 4 3 2 2 4 3 3" xfId="10286"/>
    <cellStyle name="20% - Accent1 4 3 2 2 4 4" xfId="10287"/>
    <cellStyle name="20% - Accent1 4 3 2 2 4 4 2" xfId="10288"/>
    <cellStyle name="20% - Accent1 4 3 2 2 4 5" xfId="10289"/>
    <cellStyle name="20% - Accent1 4 3 2 2 4 6" xfId="10290"/>
    <cellStyle name="20% - Accent1 4 3 2 2 5" xfId="10291"/>
    <cellStyle name="20% - Accent1 4 3 2 2 5 2" xfId="10292"/>
    <cellStyle name="20% - Accent1 4 3 2 2 5 2 2" xfId="10293"/>
    <cellStyle name="20% - Accent1 4 3 2 2 5 2 3" xfId="10294"/>
    <cellStyle name="20% - Accent1 4 3 2 2 5 3" xfId="10295"/>
    <cellStyle name="20% - Accent1 4 3 2 2 5 3 2" xfId="10296"/>
    <cellStyle name="20% - Accent1 4 3 2 2 5 4" xfId="10297"/>
    <cellStyle name="20% - Accent1 4 3 2 2 5 5" xfId="10298"/>
    <cellStyle name="20% - Accent1 4 3 2 2 6" xfId="10299"/>
    <cellStyle name="20% - Accent1 4 3 2 2 6 2" xfId="10300"/>
    <cellStyle name="20% - Accent1 4 3 2 2 6 3" xfId="10301"/>
    <cellStyle name="20% - Accent1 4 3 2 2 7" xfId="10302"/>
    <cellStyle name="20% - Accent1 4 3 2 2 7 2" xfId="10303"/>
    <cellStyle name="20% - Accent1 4 3 2 2 7 3" xfId="10304"/>
    <cellStyle name="20% - Accent1 4 3 2 2 8" xfId="10305"/>
    <cellStyle name="20% - Accent1 4 3 2 2 8 2" xfId="10306"/>
    <cellStyle name="20% - Accent1 4 3 2 2 9" xfId="10307"/>
    <cellStyle name="20% - Accent1 4 3 2 3" xfId="170"/>
    <cellStyle name="20% - Accent1 4 3 2 3 2" xfId="10308"/>
    <cellStyle name="20% - Accent1 4 3 2 3 2 2" xfId="10309"/>
    <cellStyle name="20% - Accent1 4 3 2 3 2 2 2" xfId="10310"/>
    <cellStyle name="20% - Accent1 4 3 2 3 2 2 3" xfId="10311"/>
    <cellStyle name="20% - Accent1 4 3 2 3 2 3" xfId="10312"/>
    <cellStyle name="20% - Accent1 4 3 2 3 2 3 2" xfId="10313"/>
    <cellStyle name="20% - Accent1 4 3 2 3 2 3 3" xfId="10314"/>
    <cellStyle name="20% - Accent1 4 3 2 3 2 4" xfId="10315"/>
    <cellStyle name="20% - Accent1 4 3 2 3 2 4 2" xfId="10316"/>
    <cellStyle name="20% - Accent1 4 3 2 3 2 5" xfId="10317"/>
    <cellStyle name="20% - Accent1 4 3 2 3 2 6" xfId="10318"/>
    <cellStyle name="20% - Accent1 4 3 2 3 3" xfId="10319"/>
    <cellStyle name="20% - Accent1 4 3 2 3 3 2" xfId="10320"/>
    <cellStyle name="20% - Accent1 4 3 2 3 3 2 2" xfId="10321"/>
    <cellStyle name="20% - Accent1 4 3 2 3 3 2 3" xfId="10322"/>
    <cellStyle name="20% - Accent1 4 3 2 3 3 3" xfId="10323"/>
    <cellStyle name="20% - Accent1 4 3 2 3 3 3 2" xfId="10324"/>
    <cellStyle name="20% - Accent1 4 3 2 3 3 3 3" xfId="10325"/>
    <cellStyle name="20% - Accent1 4 3 2 3 3 4" xfId="10326"/>
    <cellStyle name="20% - Accent1 4 3 2 3 3 4 2" xfId="10327"/>
    <cellStyle name="20% - Accent1 4 3 2 3 3 5" xfId="10328"/>
    <cellStyle name="20% - Accent1 4 3 2 3 3 6" xfId="10329"/>
    <cellStyle name="20% - Accent1 4 3 2 3 4" xfId="10330"/>
    <cellStyle name="20% - Accent1 4 3 2 3 4 2" xfId="10331"/>
    <cellStyle name="20% - Accent1 4 3 2 3 4 2 2" xfId="10332"/>
    <cellStyle name="20% - Accent1 4 3 2 3 4 2 3" xfId="10333"/>
    <cellStyle name="20% - Accent1 4 3 2 3 4 3" xfId="10334"/>
    <cellStyle name="20% - Accent1 4 3 2 3 4 3 2" xfId="10335"/>
    <cellStyle name="20% - Accent1 4 3 2 3 4 4" xfId="10336"/>
    <cellStyle name="20% - Accent1 4 3 2 3 4 5" xfId="10337"/>
    <cellStyle name="20% - Accent1 4 3 2 3 5" xfId="10338"/>
    <cellStyle name="20% - Accent1 4 3 2 3 5 2" xfId="10339"/>
    <cellStyle name="20% - Accent1 4 3 2 3 5 3" xfId="10340"/>
    <cellStyle name="20% - Accent1 4 3 2 3 6" xfId="10341"/>
    <cellStyle name="20% - Accent1 4 3 2 3 6 2" xfId="10342"/>
    <cellStyle name="20% - Accent1 4 3 2 3 6 3" xfId="10343"/>
    <cellStyle name="20% - Accent1 4 3 2 3 7" xfId="10344"/>
    <cellStyle name="20% - Accent1 4 3 2 3 7 2" xfId="10345"/>
    <cellStyle name="20% - Accent1 4 3 2 3 8" xfId="10346"/>
    <cellStyle name="20% - Accent1 4 3 2 3 9" xfId="10347"/>
    <cellStyle name="20% - Accent1 4 3 2 4" xfId="10348"/>
    <cellStyle name="20% - Accent1 4 3 2 4 2" xfId="10349"/>
    <cellStyle name="20% - Accent1 4 3 2 4 2 2" xfId="10350"/>
    <cellStyle name="20% - Accent1 4 3 2 4 2 2 2" xfId="10351"/>
    <cellStyle name="20% - Accent1 4 3 2 4 2 2 3" xfId="10352"/>
    <cellStyle name="20% - Accent1 4 3 2 4 2 3" xfId="10353"/>
    <cellStyle name="20% - Accent1 4 3 2 4 2 3 2" xfId="10354"/>
    <cellStyle name="20% - Accent1 4 3 2 4 2 3 3" xfId="10355"/>
    <cellStyle name="20% - Accent1 4 3 2 4 2 4" xfId="10356"/>
    <cellStyle name="20% - Accent1 4 3 2 4 2 4 2" xfId="10357"/>
    <cellStyle name="20% - Accent1 4 3 2 4 2 5" xfId="10358"/>
    <cellStyle name="20% - Accent1 4 3 2 4 2 6" xfId="10359"/>
    <cellStyle name="20% - Accent1 4 3 2 4 3" xfId="10360"/>
    <cellStyle name="20% - Accent1 4 3 2 4 3 2" xfId="10361"/>
    <cellStyle name="20% - Accent1 4 3 2 4 3 2 2" xfId="10362"/>
    <cellStyle name="20% - Accent1 4 3 2 4 3 2 3" xfId="10363"/>
    <cellStyle name="20% - Accent1 4 3 2 4 3 3" xfId="10364"/>
    <cellStyle name="20% - Accent1 4 3 2 4 3 3 2" xfId="10365"/>
    <cellStyle name="20% - Accent1 4 3 2 4 3 3 3" xfId="10366"/>
    <cellStyle name="20% - Accent1 4 3 2 4 3 4" xfId="10367"/>
    <cellStyle name="20% - Accent1 4 3 2 4 3 4 2" xfId="10368"/>
    <cellStyle name="20% - Accent1 4 3 2 4 3 5" xfId="10369"/>
    <cellStyle name="20% - Accent1 4 3 2 4 3 6" xfId="10370"/>
    <cellStyle name="20% - Accent1 4 3 2 4 4" xfId="10371"/>
    <cellStyle name="20% - Accent1 4 3 2 4 4 2" xfId="10372"/>
    <cellStyle name="20% - Accent1 4 3 2 4 4 2 2" xfId="10373"/>
    <cellStyle name="20% - Accent1 4 3 2 4 4 2 3" xfId="10374"/>
    <cellStyle name="20% - Accent1 4 3 2 4 4 3" xfId="10375"/>
    <cellStyle name="20% - Accent1 4 3 2 4 4 3 2" xfId="10376"/>
    <cellStyle name="20% - Accent1 4 3 2 4 4 4" xfId="10377"/>
    <cellStyle name="20% - Accent1 4 3 2 4 4 5" xfId="10378"/>
    <cellStyle name="20% - Accent1 4 3 2 4 5" xfId="10379"/>
    <cellStyle name="20% - Accent1 4 3 2 4 5 2" xfId="10380"/>
    <cellStyle name="20% - Accent1 4 3 2 4 5 3" xfId="10381"/>
    <cellStyle name="20% - Accent1 4 3 2 4 6" xfId="10382"/>
    <cellStyle name="20% - Accent1 4 3 2 4 6 2" xfId="10383"/>
    <cellStyle name="20% - Accent1 4 3 2 4 6 3" xfId="10384"/>
    <cellStyle name="20% - Accent1 4 3 2 4 7" xfId="10385"/>
    <cellStyle name="20% - Accent1 4 3 2 4 7 2" xfId="10386"/>
    <cellStyle name="20% - Accent1 4 3 2 4 8" xfId="10387"/>
    <cellStyle name="20% - Accent1 4 3 2 4 9" xfId="10388"/>
    <cellStyle name="20% - Accent1 4 3 2 5" xfId="10389"/>
    <cellStyle name="20% - Accent1 4 3 2 5 2" xfId="10390"/>
    <cellStyle name="20% - Accent1 4 3 2 5 2 2" xfId="10391"/>
    <cellStyle name="20% - Accent1 4 3 2 5 2 3" xfId="10392"/>
    <cellStyle name="20% - Accent1 4 3 2 5 3" xfId="10393"/>
    <cellStyle name="20% - Accent1 4 3 2 5 3 2" xfId="10394"/>
    <cellStyle name="20% - Accent1 4 3 2 5 3 3" xfId="10395"/>
    <cellStyle name="20% - Accent1 4 3 2 5 4" xfId="10396"/>
    <cellStyle name="20% - Accent1 4 3 2 5 4 2" xfId="10397"/>
    <cellStyle name="20% - Accent1 4 3 2 5 5" xfId="10398"/>
    <cellStyle name="20% - Accent1 4 3 2 5 6" xfId="10399"/>
    <cellStyle name="20% - Accent1 4 3 2 6" xfId="10400"/>
    <cellStyle name="20% - Accent1 4 3 2 6 2" xfId="10401"/>
    <cellStyle name="20% - Accent1 4 3 2 6 2 2" xfId="10402"/>
    <cellStyle name="20% - Accent1 4 3 2 6 2 3" xfId="10403"/>
    <cellStyle name="20% - Accent1 4 3 2 6 3" xfId="10404"/>
    <cellStyle name="20% - Accent1 4 3 2 6 3 2" xfId="10405"/>
    <cellStyle name="20% - Accent1 4 3 2 6 3 3" xfId="10406"/>
    <cellStyle name="20% - Accent1 4 3 2 6 4" xfId="10407"/>
    <cellStyle name="20% - Accent1 4 3 2 6 4 2" xfId="10408"/>
    <cellStyle name="20% - Accent1 4 3 2 6 5" xfId="10409"/>
    <cellStyle name="20% - Accent1 4 3 2 6 6" xfId="10410"/>
    <cellStyle name="20% - Accent1 4 3 2 7" xfId="10411"/>
    <cellStyle name="20% - Accent1 4 3 2 7 2" xfId="10412"/>
    <cellStyle name="20% - Accent1 4 3 2 7 2 2" xfId="10413"/>
    <cellStyle name="20% - Accent1 4 3 2 7 2 3" xfId="10414"/>
    <cellStyle name="20% - Accent1 4 3 2 7 3" xfId="10415"/>
    <cellStyle name="20% - Accent1 4 3 2 7 3 2" xfId="10416"/>
    <cellStyle name="20% - Accent1 4 3 2 7 4" xfId="10417"/>
    <cellStyle name="20% - Accent1 4 3 2 7 5" xfId="10418"/>
    <cellStyle name="20% - Accent1 4 3 2 8" xfId="10419"/>
    <cellStyle name="20% - Accent1 4 3 2 8 2" xfId="10420"/>
    <cellStyle name="20% - Accent1 4 3 2 8 3" xfId="10421"/>
    <cellStyle name="20% - Accent1 4 3 2 9" xfId="10422"/>
    <cellStyle name="20% - Accent1 4 3 2 9 2" xfId="10423"/>
    <cellStyle name="20% - Accent1 4 3 2 9 3" xfId="10424"/>
    <cellStyle name="20% - Accent1 4 3 3" xfId="171"/>
    <cellStyle name="20% - Accent1 4 3 3 10" xfId="10425"/>
    <cellStyle name="20% - Accent1 4 3 3 2" xfId="172"/>
    <cellStyle name="20% - Accent1 4 3 3 2 2" xfId="10426"/>
    <cellStyle name="20% - Accent1 4 3 3 2 2 2" xfId="10427"/>
    <cellStyle name="20% - Accent1 4 3 3 2 2 2 2" xfId="10428"/>
    <cellStyle name="20% - Accent1 4 3 3 2 2 2 3" xfId="10429"/>
    <cellStyle name="20% - Accent1 4 3 3 2 2 3" xfId="10430"/>
    <cellStyle name="20% - Accent1 4 3 3 2 2 3 2" xfId="10431"/>
    <cellStyle name="20% - Accent1 4 3 3 2 2 3 3" xfId="10432"/>
    <cellStyle name="20% - Accent1 4 3 3 2 2 4" xfId="10433"/>
    <cellStyle name="20% - Accent1 4 3 3 2 2 4 2" xfId="10434"/>
    <cellStyle name="20% - Accent1 4 3 3 2 2 5" xfId="10435"/>
    <cellStyle name="20% - Accent1 4 3 3 2 2 6" xfId="10436"/>
    <cellStyle name="20% - Accent1 4 3 3 2 3" xfId="10437"/>
    <cellStyle name="20% - Accent1 4 3 3 2 3 2" xfId="10438"/>
    <cellStyle name="20% - Accent1 4 3 3 2 3 2 2" xfId="10439"/>
    <cellStyle name="20% - Accent1 4 3 3 2 3 2 3" xfId="10440"/>
    <cellStyle name="20% - Accent1 4 3 3 2 3 3" xfId="10441"/>
    <cellStyle name="20% - Accent1 4 3 3 2 3 3 2" xfId="10442"/>
    <cellStyle name="20% - Accent1 4 3 3 2 3 3 3" xfId="10443"/>
    <cellStyle name="20% - Accent1 4 3 3 2 3 4" xfId="10444"/>
    <cellStyle name="20% - Accent1 4 3 3 2 3 4 2" xfId="10445"/>
    <cellStyle name="20% - Accent1 4 3 3 2 3 5" xfId="10446"/>
    <cellStyle name="20% - Accent1 4 3 3 2 3 6" xfId="10447"/>
    <cellStyle name="20% - Accent1 4 3 3 2 4" xfId="10448"/>
    <cellStyle name="20% - Accent1 4 3 3 2 4 2" xfId="10449"/>
    <cellStyle name="20% - Accent1 4 3 3 2 4 2 2" xfId="10450"/>
    <cellStyle name="20% - Accent1 4 3 3 2 4 2 3" xfId="10451"/>
    <cellStyle name="20% - Accent1 4 3 3 2 4 3" xfId="10452"/>
    <cellStyle name="20% - Accent1 4 3 3 2 4 3 2" xfId="10453"/>
    <cellStyle name="20% - Accent1 4 3 3 2 4 4" xfId="10454"/>
    <cellStyle name="20% - Accent1 4 3 3 2 4 5" xfId="10455"/>
    <cellStyle name="20% - Accent1 4 3 3 2 5" xfId="10456"/>
    <cellStyle name="20% - Accent1 4 3 3 2 5 2" xfId="10457"/>
    <cellStyle name="20% - Accent1 4 3 3 2 5 3" xfId="10458"/>
    <cellStyle name="20% - Accent1 4 3 3 2 6" xfId="10459"/>
    <cellStyle name="20% - Accent1 4 3 3 2 6 2" xfId="10460"/>
    <cellStyle name="20% - Accent1 4 3 3 2 6 3" xfId="10461"/>
    <cellStyle name="20% - Accent1 4 3 3 2 7" xfId="10462"/>
    <cellStyle name="20% - Accent1 4 3 3 2 7 2" xfId="10463"/>
    <cellStyle name="20% - Accent1 4 3 3 2 8" xfId="10464"/>
    <cellStyle name="20% - Accent1 4 3 3 2 9" xfId="10465"/>
    <cellStyle name="20% - Accent1 4 3 3 3" xfId="10466"/>
    <cellStyle name="20% - Accent1 4 3 3 3 2" xfId="10467"/>
    <cellStyle name="20% - Accent1 4 3 3 3 2 2" xfId="10468"/>
    <cellStyle name="20% - Accent1 4 3 3 3 2 3" xfId="10469"/>
    <cellStyle name="20% - Accent1 4 3 3 3 3" xfId="10470"/>
    <cellStyle name="20% - Accent1 4 3 3 3 3 2" xfId="10471"/>
    <cellStyle name="20% - Accent1 4 3 3 3 3 3" xfId="10472"/>
    <cellStyle name="20% - Accent1 4 3 3 3 4" xfId="10473"/>
    <cellStyle name="20% - Accent1 4 3 3 3 4 2" xfId="10474"/>
    <cellStyle name="20% - Accent1 4 3 3 3 5" xfId="10475"/>
    <cellStyle name="20% - Accent1 4 3 3 3 6" xfId="10476"/>
    <cellStyle name="20% - Accent1 4 3 3 4" xfId="10477"/>
    <cellStyle name="20% - Accent1 4 3 3 4 2" xfId="10478"/>
    <cellStyle name="20% - Accent1 4 3 3 4 2 2" xfId="10479"/>
    <cellStyle name="20% - Accent1 4 3 3 4 2 3" xfId="10480"/>
    <cellStyle name="20% - Accent1 4 3 3 4 3" xfId="10481"/>
    <cellStyle name="20% - Accent1 4 3 3 4 3 2" xfId="10482"/>
    <cellStyle name="20% - Accent1 4 3 3 4 3 3" xfId="10483"/>
    <cellStyle name="20% - Accent1 4 3 3 4 4" xfId="10484"/>
    <cellStyle name="20% - Accent1 4 3 3 4 4 2" xfId="10485"/>
    <cellStyle name="20% - Accent1 4 3 3 4 5" xfId="10486"/>
    <cellStyle name="20% - Accent1 4 3 3 4 6" xfId="10487"/>
    <cellStyle name="20% - Accent1 4 3 3 5" xfId="10488"/>
    <cellStyle name="20% - Accent1 4 3 3 5 2" xfId="10489"/>
    <cellStyle name="20% - Accent1 4 3 3 5 2 2" xfId="10490"/>
    <cellStyle name="20% - Accent1 4 3 3 5 2 3" xfId="10491"/>
    <cellStyle name="20% - Accent1 4 3 3 5 3" xfId="10492"/>
    <cellStyle name="20% - Accent1 4 3 3 5 3 2" xfId="10493"/>
    <cellStyle name="20% - Accent1 4 3 3 5 4" xfId="10494"/>
    <cellStyle name="20% - Accent1 4 3 3 5 5" xfId="10495"/>
    <cellStyle name="20% - Accent1 4 3 3 6" xfId="10496"/>
    <cellStyle name="20% - Accent1 4 3 3 6 2" xfId="10497"/>
    <cellStyle name="20% - Accent1 4 3 3 6 3" xfId="10498"/>
    <cellStyle name="20% - Accent1 4 3 3 7" xfId="10499"/>
    <cellStyle name="20% - Accent1 4 3 3 7 2" xfId="10500"/>
    <cellStyle name="20% - Accent1 4 3 3 7 3" xfId="10501"/>
    <cellStyle name="20% - Accent1 4 3 3 8" xfId="10502"/>
    <cellStyle name="20% - Accent1 4 3 3 8 2" xfId="10503"/>
    <cellStyle name="20% - Accent1 4 3 3 9" xfId="10504"/>
    <cellStyle name="20% - Accent1 4 3 4" xfId="173"/>
    <cellStyle name="20% - Accent1 4 3 4 2" xfId="10505"/>
    <cellStyle name="20% - Accent1 4 3 4 2 2" xfId="10506"/>
    <cellStyle name="20% - Accent1 4 3 4 2 2 2" xfId="10507"/>
    <cellStyle name="20% - Accent1 4 3 4 2 2 3" xfId="10508"/>
    <cellStyle name="20% - Accent1 4 3 4 2 3" xfId="10509"/>
    <cellStyle name="20% - Accent1 4 3 4 2 3 2" xfId="10510"/>
    <cellStyle name="20% - Accent1 4 3 4 2 3 3" xfId="10511"/>
    <cellStyle name="20% - Accent1 4 3 4 2 4" xfId="10512"/>
    <cellStyle name="20% - Accent1 4 3 4 2 4 2" xfId="10513"/>
    <cellStyle name="20% - Accent1 4 3 4 2 5" xfId="10514"/>
    <cellStyle name="20% - Accent1 4 3 4 2 6" xfId="10515"/>
    <cellStyle name="20% - Accent1 4 3 4 3" xfId="10516"/>
    <cellStyle name="20% - Accent1 4 3 4 3 2" xfId="10517"/>
    <cellStyle name="20% - Accent1 4 3 4 3 2 2" xfId="10518"/>
    <cellStyle name="20% - Accent1 4 3 4 3 2 3" xfId="10519"/>
    <cellStyle name="20% - Accent1 4 3 4 3 3" xfId="10520"/>
    <cellStyle name="20% - Accent1 4 3 4 3 3 2" xfId="10521"/>
    <cellStyle name="20% - Accent1 4 3 4 3 3 3" xfId="10522"/>
    <cellStyle name="20% - Accent1 4 3 4 3 4" xfId="10523"/>
    <cellStyle name="20% - Accent1 4 3 4 3 4 2" xfId="10524"/>
    <cellStyle name="20% - Accent1 4 3 4 3 5" xfId="10525"/>
    <cellStyle name="20% - Accent1 4 3 4 3 6" xfId="10526"/>
    <cellStyle name="20% - Accent1 4 3 4 4" xfId="10527"/>
    <cellStyle name="20% - Accent1 4 3 4 4 2" xfId="10528"/>
    <cellStyle name="20% - Accent1 4 3 4 4 2 2" xfId="10529"/>
    <cellStyle name="20% - Accent1 4 3 4 4 2 3" xfId="10530"/>
    <cellStyle name="20% - Accent1 4 3 4 4 3" xfId="10531"/>
    <cellStyle name="20% - Accent1 4 3 4 4 3 2" xfId="10532"/>
    <cellStyle name="20% - Accent1 4 3 4 4 4" xfId="10533"/>
    <cellStyle name="20% - Accent1 4 3 4 4 5" xfId="10534"/>
    <cellStyle name="20% - Accent1 4 3 4 5" xfId="10535"/>
    <cellStyle name="20% - Accent1 4 3 4 5 2" xfId="10536"/>
    <cellStyle name="20% - Accent1 4 3 4 5 3" xfId="10537"/>
    <cellStyle name="20% - Accent1 4 3 4 6" xfId="10538"/>
    <cellStyle name="20% - Accent1 4 3 4 6 2" xfId="10539"/>
    <cellStyle name="20% - Accent1 4 3 4 6 3" xfId="10540"/>
    <cellStyle name="20% - Accent1 4 3 4 7" xfId="10541"/>
    <cellStyle name="20% - Accent1 4 3 4 7 2" xfId="10542"/>
    <cellStyle name="20% - Accent1 4 3 4 8" xfId="10543"/>
    <cellStyle name="20% - Accent1 4 3 4 9" xfId="10544"/>
    <cellStyle name="20% - Accent1 4 3 5" xfId="10545"/>
    <cellStyle name="20% - Accent1 4 3 5 2" xfId="10546"/>
    <cellStyle name="20% - Accent1 4 3 5 2 2" xfId="10547"/>
    <cellStyle name="20% - Accent1 4 3 5 2 2 2" xfId="10548"/>
    <cellStyle name="20% - Accent1 4 3 5 2 2 3" xfId="10549"/>
    <cellStyle name="20% - Accent1 4 3 5 2 3" xfId="10550"/>
    <cellStyle name="20% - Accent1 4 3 5 2 3 2" xfId="10551"/>
    <cellStyle name="20% - Accent1 4 3 5 2 3 3" xfId="10552"/>
    <cellStyle name="20% - Accent1 4 3 5 2 4" xfId="10553"/>
    <cellStyle name="20% - Accent1 4 3 5 2 4 2" xfId="10554"/>
    <cellStyle name="20% - Accent1 4 3 5 2 5" xfId="10555"/>
    <cellStyle name="20% - Accent1 4 3 5 2 6" xfId="10556"/>
    <cellStyle name="20% - Accent1 4 3 5 3" xfId="10557"/>
    <cellStyle name="20% - Accent1 4 3 5 3 2" xfId="10558"/>
    <cellStyle name="20% - Accent1 4 3 5 3 2 2" xfId="10559"/>
    <cellStyle name="20% - Accent1 4 3 5 3 2 3" xfId="10560"/>
    <cellStyle name="20% - Accent1 4 3 5 3 3" xfId="10561"/>
    <cellStyle name="20% - Accent1 4 3 5 3 3 2" xfId="10562"/>
    <cellStyle name="20% - Accent1 4 3 5 3 3 3" xfId="10563"/>
    <cellStyle name="20% - Accent1 4 3 5 3 4" xfId="10564"/>
    <cellStyle name="20% - Accent1 4 3 5 3 4 2" xfId="10565"/>
    <cellStyle name="20% - Accent1 4 3 5 3 5" xfId="10566"/>
    <cellStyle name="20% - Accent1 4 3 5 3 6" xfId="10567"/>
    <cellStyle name="20% - Accent1 4 3 5 4" xfId="10568"/>
    <cellStyle name="20% - Accent1 4 3 5 4 2" xfId="10569"/>
    <cellStyle name="20% - Accent1 4 3 5 4 2 2" xfId="10570"/>
    <cellStyle name="20% - Accent1 4 3 5 4 2 3" xfId="10571"/>
    <cellStyle name="20% - Accent1 4 3 5 4 3" xfId="10572"/>
    <cellStyle name="20% - Accent1 4 3 5 4 3 2" xfId="10573"/>
    <cellStyle name="20% - Accent1 4 3 5 4 4" xfId="10574"/>
    <cellStyle name="20% - Accent1 4 3 5 4 5" xfId="10575"/>
    <cellStyle name="20% - Accent1 4 3 5 5" xfId="10576"/>
    <cellStyle name="20% - Accent1 4 3 5 5 2" xfId="10577"/>
    <cellStyle name="20% - Accent1 4 3 5 5 3" xfId="10578"/>
    <cellStyle name="20% - Accent1 4 3 5 6" xfId="10579"/>
    <cellStyle name="20% - Accent1 4 3 5 6 2" xfId="10580"/>
    <cellStyle name="20% - Accent1 4 3 5 6 3" xfId="10581"/>
    <cellStyle name="20% - Accent1 4 3 5 7" xfId="10582"/>
    <cellStyle name="20% - Accent1 4 3 5 7 2" xfId="10583"/>
    <cellStyle name="20% - Accent1 4 3 5 8" xfId="10584"/>
    <cellStyle name="20% - Accent1 4 3 5 9" xfId="10585"/>
    <cellStyle name="20% - Accent1 4 3 6" xfId="10586"/>
    <cellStyle name="20% - Accent1 4 3 6 2" xfId="10587"/>
    <cellStyle name="20% - Accent1 4 3 6 2 2" xfId="10588"/>
    <cellStyle name="20% - Accent1 4 3 6 2 3" xfId="10589"/>
    <cellStyle name="20% - Accent1 4 3 6 3" xfId="10590"/>
    <cellStyle name="20% - Accent1 4 3 6 3 2" xfId="10591"/>
    <cellStyle name="20% - Accent1 4 3 6 3 3" xfId="10592"/>
    <cellStyle name="20% - Accent1 4 3 6 4" xfId="10593"/>
    <cellStyle name="20% - Accent1 4 3 6 4 2" xfId="10594"/>
    <cellStyle name="20% - Accent1 4 3 6 5" xfId="10595"/>
    <cellStyle name="20% - Accent1 4 3 6 6" xfId="10596"/>
    <cellStyle name="20% - Accent1 4 3 7" xfId="10597"/>
    <cellStyle name="20% - Accent1 4 3 7 2" xfId="10598"/>
    <cellStyle name="20% - Accent1 4 3 7 2 2" xfId="10599"/>
    <cellStyle name="20% - Accent1 4 3 7 2 3" xfId="10600"/>
    <cellStyle name="20% - Accent1 4 3 7 3" xfId="10601"/>
    <cellStyle name="20% - Accent1 4 3 7 3 2" xfId="10602"/>
    <cellStyle name="20% - Accent1 4 3 7 3 3" xfId="10603"/>
    <cellStyle name="20% - Accent1 4 3 7 4" xfId="10604"/>
    <cellStyle name="20% - Accent1 4 3 7 4 2" xfId="10605"/>
    <cellStyle name="20% - Accent1 4 3 7 5" xfId="10606"/>
    <cellStyle name="20% - Accent1 4 3 7 6" xfId="10607"/>
    <cellStyle name="20% - Accent1 4 3 8" xfId="10608"/>
    <cellStyle name="20% - Accent1 4 3 8 2" xfId="10609"/>
    <cellStyle name="20% - Accent1 4 3 8 2 2" xfId="10610"/>
    <cellStyle name="20% - Accent1 4 3 8 2 3" xfId="10611"/>
    <cellStyle name="20% - Accent1 4 3 8 3" xfId="10612"/>
    <cellStyle name="20% - Accent1 4 3 8 3 2" xfId="10613"/>
    <cellStyle name="20% - Accent1 4 3 8 4" xfId="10614"/>
    <cellStyle name="20% - Accent1 4 3 8 5" xfId="10615"/>
    <cellStyle name="20% - Accent1 4 3 9" xfId="10616"/>
    <cellStyle name="20% - Accent1 4 3 9 2" xfId="10617"/>
    <cellStyle name="20% - Accent1 4 3 9 3" xfId="10618"/>
    <cellStyle name="20% - Accent1 4 4" xfId="174"/>
    <cellStyle name="20% - Accent1 4 4 10" xfId="10619"/>
    <cellStyle name="20% - Accent1 4 4 10 2" xfId="10620"/>
    <cellStyle name="20% - Accent1 4 4 11" xfId="10621"/>
    <cellStyle name="20% - Accent1 4 4 12" xfId="10622"/>
    <cellStyle name="20% - Accent1 4 4 2" xfId="175"/>
    <cellStyle name="20% - Accent1 4 4 2 10" xfId="10623"/>
    <cellStyle name="20% - Accent1 4 4 2 2" xfId="176"/>
    <cellStyle name="20% - Accent1 4 4 2 2 2" xfId="10624"/>
    <cellStyle name="20% - Accent1 4 4 2 2 2 2" xfId="10625"/>
    <cellStyle name="20% - Accent1 4 4 2 2 2 2 2" xfId="10626"/>
    <cellStyle name="20% - Accent1 4 4 2 2 2 2 3" xfId="10627"/>
    <cellStyle name="20% - Accent1 4 4 2 2 2 3" xfId="10628"/>
    <cellStyle name="20% - Accent1 4 4 2 2 2 3 2" xfId="10629"/>
    <cellStyle name="20% - Accent1 4 4 2 2 2 3 3" xfId="10630"/>
    <cellStyle name="20% - Accent1 4 4 2 2 2 4" xfId="10631"/>
    <cellStyle name="20% - Accent1 4 4 2 2 2 4 2" xfId="10632"/>
    <cellStyle name="20% - Accent1 4 4 2 2 2 5" xfId="10633"/>
    <cellStyle name="20% - Accent1 4 4 2 2 2 6" xfId="10634"/>
    <cellStyle name="20% - Accent1 4 4 2 2 3" xfId="10635"/>
    <cellStyle name="20% - Accent1 4 4 2 2 3 2" xfId="10636"/>
    <cellStyle name="20% - Accent1 4 4 2 2 3 2 2" xfId="10637"/>
    <cellStyle name="20% - Accent1 4 4 2 2 3 2 3" xfId="10638"/>
    <cellStyle name="20% - Accent1 4 4 2 2 3 3" xfId="10639"/>
    <cellStyle name="20% - Accent1 4 4 2 2 3 3 2" xfId="10640"/>
    <cellStyle name="20% - Accent1 4 4 2 2 3 3 3" xfId="10641"/>
    <cellStyle name="20% - Accent1 4 4 2 2 3 4" xfId="10642"/>
    <cellStyle name="20% - Accent1 4 4 2 2 3 4 2" xfId="10643"/>
    <cellStyle name="20% - Accent1 4 4 2 2 3 5" xfId="10644"/>
    <cellStyle name="20% - Accent1 4 4 2 2 3 6" xfId="10645"/>
    <cellStyle name="20% - Accent1 4 4 2 2 4" xfId="10646"/>
    <cellStyle name="20% - Accent1 4 4 2 2 4 2" xfId="10647"/>
    <cellStyle name="20% - Accent1 4 4 2 2 4 2 2" xfId="10648"/>
    <cellStyle name="20% - Accent1 4 4 2 2 4 2 3" xfId="10649"/>
    <cellStyle name="20% - Accent1 4 4 2 2 4 3" xfId="10650"/>
    <cellStyle name="20% - Accent1 4 4 2 2 4 3 2" xfId="10651"/>
    <cellStyle name="20% - Accent1 4 4 2 2 4 4" xfId="10652"/>
    <cellStyle name="20% - Accent1 4 4 2 2 4 5" xfId="10653"/>
    <cellStyle name="20% - Accent1 4 4 2 2 5" xfId="10654"/>
    <cellStyle name="20% - Accent1 4 4 2 2 5 2" xfId="10655"/>
    <cellStyle name="20% - Accent1 4 4 2 2 5 3" xfId="10656"/>
    <cellStyle name="20% - Accent1 4 4 2 2 6" xfId="10657"/>
    <cellStyle name="20% - Accent1 4 4 2 2 6 2" xfId="10658"/>
    <cellStyle name="20% - Accent1 4 4 2 2 6 3" xfId="10659"/>
    <cellStyle name="20% - Accent1 4 4 2 2 7" xfId="10660"/>
    <cellStyle name="20% - Accent1 4 4 2 2 7 2" xfId="10661"/>
    <cellStyle name="20% - Accent1 4 4 2 2 8" xfId="10662"/>
    <cellStyle name="20% - Accent1 4 4 2 2 9" xfId="10663"/>
    <cellStyle name="20% - Accent1 4 4 2 3" xfId="10664"/>
    <cellStyle name="20% - Accent1 4 4 2 3 2" xfId="10665"/>
    <cellStyle name="20% - Accent1 4 4 2 3 2 2" xfId="10666"/>
    <cellStyle name="20% - Accent1 4 4 2 3 2 3" xfId="10667"/>
    <cellStyle name="20% - Accent1 4 4 2 3 3" xfId="10668"/>
    <cellStyle name="20% - Accent1 4 4 2 3 3 2" xfId="10669"/>
    <cellStyle name="20% - Accent1 4 4 2 3 3 3" xfId="10670"/>
    <cellStyle name="20% - Accent1 4 4 2 3 4" xfId="10671"/>
    <cellStyle name="20% - Accent1 4 4 2 3 4 2" xfId="10672"/>
    <cellStyle name="20% - Accent1 4 4 2 3 5" xfId="10673"/>
    <cellStyle name="20% - Accent1 4 4 2 3 6" xfId="10674"/>
    <cellStyle name="20% - Accent1 4 4 2 4" xfId="10675"/>
    <cellStyle name="20% - Accent1 4 4 2 4 2" xfId="10676"/>
    <cellStyle name="20% - Accent1 4 4 2 4 2 2" xfId="10677"/>
    <cellStyle name="20% - Accent1 4 4 2 4 2 3" xfId="10678"/>
    <cellStyle name="20% - Accent1 4 4 2 4 3" xfId="10679"/>
    <cellStyle name="20% - Accent1 4 4 2 4 3 2" xfId="10680"/>
    <cellStyle name="20% - Accent1 4 4 2 4 3 3" xfId="10681"/>
    <cellStyle name="20% - Accent1 4 4 2 4 4" xfId="10682"/>
    <cellStyle name="20% - Accent1 4 4 2 4 4 2" xfId="10683"/>
    <cellStyle name="20% - Accent1 4 4 2 4 5" xfId="10684"/>
    <cellStyle name="20% - Accent1 4 4 2 4 6" xfId="10685"/>
    <cellStyle name="20% - Accent1 4 4 2 5" xfId="10686"/>
    <cellStyle name="20% - Accent1 4 4 2 5 2" xfId="10687"/>
    <cellStyle name="20% - Accent1 4 4 2 5 2 2" xfId="10688"/>
    <cellStyle name="20% - Accent1 4 4 2 5 2 3" xfId="10689"/>
    <cellStyle name="20% - Accent1 4 4 2 5 3" xfId="10690"/>
    <cellStyle name="20% - Accent1 4 4 2 5 3 2" xfId="10691"/>
    <cellStyle name="20% - Accent1 4 4 2 5 4" xfId="10692"/>
    <cellStyle name="20% - Accent1 4 4 2 5 5" xfId="10693"/>
    <cellStyle name="20% - Accent1 4 4 2 6" xfId="10694"/>
    <cellStyle name="20% - Accent1 4 4 2 6 2" xfId="10695"/>
    <cellStyle name="20% - Accent1 4 4 2 6 3" xfId="10696"/>
    <cellStyle name="20% - Accent1 4 4 2 7" xfId="10697"/>
    <cellStyle name="20% - Accent1 4 4 2 7 2" xfId="10698"/>
    <cellStyle name="20% - Accent1 4 4 2 7 3" xfId="10699"/>
    <cellStyle name="20% - Accent1 4 4 2 8" xfId="10700"/>
    <cellStyle name="20% - Accent1 4 4 2 8 2" xfId="10701"/>
    <cellStyle name="20% - Accent1 4 4 2 9" xfId="10702"/>
    <cellStyle name="20% - Accent1 4 4 3" xfId="177"/>
    <cellStyle name="20% - Accent1 4 4 3 2" xfId="10703"/>
    <cellStyle name="20% - Accent1 4 4 3 2 2" xfId="10704"/>
    <cellStyle name="20% - Accent1 4 4 3 2 2 2" xfId="10705"/>
    <cellStyle name="20% - Accent1 4 4 3 2 2 3" xfId="10706"/>
    <cellStyle name="20% - Accent1 4 4 3 2 3" xfId="10707"/>
    <cellStyle name="20% - Accent1 4 4 3 2 3 2" xfId="10708"/>
    <cellStyle name="20% - Accent1 4 4 3 2 3 3" xfId="10709"/>
    <cellStyle name="20% - Accent1 4 4 3 2 4" xfId="10710"/>
    <cellStyle name="20% - Accent1 4 4 3 2 4 2" xfId="10711"/>
    <cellStyle name="20% - Accent1 4 4 3 2 5" xfId="10712"/>
    <cellStyle name="20% - Accent1 4 4 3 2 6" xfId="10713"/>
    <cellStyle name="20% - Accent1 4 4 3 3" xfId="10714"/>
    <cellStyle name="20% - Accent1 4 4 3 3 2" xfId="10715"/>
    <cellStyle name="20% - Accent1 4 4 3 3 2 2" xfId="10716"/>
    <cellStyle name="20% - Accent1 4 4 3 3 2 3" xfId="10717"/>
    <cellStyle name="20% - Accent1 4 4 3 3 3" xfId="10718"/>
    <cellStyle name="20% - Accent1 4 4 3 3 3 2" xfId="10719"/>
    <cellStyle name="20% - Accent1 4 4 3 3 3 3" xfId="10720"/>
    <cellStyle name="20% - Accent1 4 4 3 3 4" xfId="10721"/>
    <cellStyle name="20% - Accent1 4 4 3 3 4 2" xfId="10722"/>
    <cellStyle name="20% - Accent1 4 4 3 3 5" xfId="10723"/>
    <cellStyle name="20% - Accent1 4 4 3 3 6" xfId="10724"/>
    <cellStyle name="20% - Accent1 4 4 3 4" xfId="10725"/>
    <cellStyle name="20% - Accent1 4 4 3 4 2" xfId="10726"/>
    <cellStyle name="20% - Accent1 4 4 3 4 2 2" xfId="10727"/>
    <cellStyle name="20% - Accent1 4 4 3 4 2 3" xfId="10728"/>
    <cellStyle name="20% - Accent1 4 4 3 4 3" xfId="10729"/>
    <cellStyle name="20% - Accent1 4 4 3 4 3 2" xfId="10730"/>
    <cellStyle name="20% - Accent1 4 4 3 4 4" xfId="10731"/>
    <cellStyle name="20% - Accent1 4 4 3 4 5" xfId="10732"/>
    <cellStyle name="20% - Accent1 4 4 3 5" xfId="10733"/>
    <cellStyle name="20% - Accent1 4 4 3 5 2" xfId="10734"/>
    <cellStyle name="20% - Accent1 4 4 3 5 3" xfId="10735"/>
    <cellStyle name="20% - Accent1 4 4 3 6" xfId="10736"/>
    <cellStyle name="20% - Accent1 4 4 3 6 2" xfId="10737"/>
    <cellStyle name="20% - Accent1 4 4 3 6 3" xfId="10738"/>
    <cellStyle name="20% - Accent1 4 4 3 7" xfId="10739"/>
    <cellStyle name="20% - Accent1 4 4 3 7 2" xfId="10740"/>
    <cellStyle name="20% - Accent1 4 4 3 8" xfId="10741"/>
    <cellStyle name="20% - Accent1 4 4 3 9" xfId="10742"/>
    <cellStyle name="20% - Accent1 4 4 4" xfId="10743"/>
    <cellStyle name="20% - Accent1 4 4 4 2" xfId="10744"/>
    <cellStyle name="20% - Accent1 4 4 4 2 2" xfId="10745"/>
    <cellStyle name="20% - Accent1 4 4 4 2 2 2" xfId="10746"/>
    <cellStyle name="20% - Accent1 4 4 4 2 2 3" xfId="10747"/>
    <cellStyle name="20% - Accent1 4 4 4 2 3" xfId="10748"/>
    <cellStyle name="20% - Accent1 4 4 4 2 3 2" xfId="10749"/>
    <cellStyle name="20% - Accent1 4 4 4 2 3 3" xfId="10750"/>
    <cellStyle name="20% - Accent1 4 4 4 2 4" xfId="10751"/>
    <cellStyle name="20% - Accent1 4 4 4 2 4 2" xfId="10752"/>
    <cellStyle name="20% - Accent1 4 4 4 2 5" xfId="10753"/>
    <cellStyle name="20% - Accent1 4 4 4 2 6" xfId="10754"/>
    <cellStyle name="20% - Accent1 4 4 4 3" xfId="10755"/>
    <cellStyle name="20% - Accent1 4 4 4 3 2" xfId="10756"/>
    <cellStyle name="20% - Accent1 4 4 4 3 2 2" xfId="10757"/>
    <cellStyle name="20% - Accent1 4 4 4 3 2 3" xfId="10758"/>
    <cellStyle name="20% - Accent1 4 4 4 3 3" xfId="10759"/>
    <cellStyle name="20% - Accent1 4 4 4 3 3 2" xfId="10760"/>
    <cellStyle name="20% - Accent1 4 4 4 3 3 3" xfId="10761"/>
    <cellStyle name="20% - Accent1 4 4 4 3 4" xfId="10762"/>
    <cellStyle name="20% - Accent1 4 4 4 3 4 2" xfId="10763"/>
    <cellStyle name="20% - Accent1 4 4 4 3 5" xfId="10764"/>
    <cellStyle name="20% - Accent1 4 4 4 3 6" xfId="10765"/>
    <cellStyle name="20% - Accent1 4 4 4 4" xfId="10766"/>
    <cellStyle name="20% - Accent1 4 4 4 4 2" xfId="10767"/>
    <cellStyle name="20% - Accent1 4 4 4 4 2 2" xfId="10768"/>
    <cellStyle name="20% - Accent1 4 4 4 4 2 3" xfId="10769"/>
    <cellStyle name="20% - Accent1 4 4 4 4 3" xfId="10770"/>
    <cellStyle name="20% - Accent1 4 4 4 4 3 2" xfId="10771"/>
    <cellStyle name="20% - Accent1 4 4 4 4 4" xfId="10772"/>
    <cellStyle name="20% - Accent1 4 4 4 4 5" xfId="10773"/>
    <cellStyle name="20% - Accent1 4 4 4 5" xfId="10774"/>
    <cellStyle name="20% - Accent1 4 4 4 5 2" xfId="10775"/>
    <cellStyle name="20% - Accent1 4 4 4 5 3" xfId="10776"/>
    <cellStyle name="20% - Accent1 4 4 4 6" xfId="10777"/>
    <cellStyle name="20% - Accent1 4 4 4 6 2" xfId="10778"/>
    <cellStyle name="20% - Accent1 4 4 4 6 3" xfId="10779"/>
    <cellStyle name="20% - Accent1 4 4 4 7" xfId="10780"/>
    <cellStyle name="20% - Accent1 4 4 4 7 2" xfId="10781"/>
    <cellStyle name="20% - Accent1 4 4 4 8" xfId="10782"/>
    <cellStyle name="20% - Accent1 4 4 4 9" xfId="10783"/>
    <cellStyle name="20% - Accent1 4 4 5" xfId="10784"/>
    <cellStyle name="20% - Accent1 4 4 5 2" xfId="10785"/>
    <cellStyle name="20% - Accent1 4 4 5 2 2" xfId="10786"/>
    <cellStyle name="20% - Accent1 4 4 5 2 3" xfId="10787"/>
    <cellStyle name="20% - Accent1 4 4 5 3" xfId="10788"/>
    <cellStyle name="20% - Accent1 4 4 5 3 2" xfId="10789"/>
    <cellStyle name="20% - Accent1 4 4 5 3 3" xfId="10790"/>
    <cellStyle name="20% - Accent1 4 4 5 4" xfId="10791"/>
    <cellStyle name="20% - Accent1 4 4 5 4 2" xfId="10792"/>
    <cellStyle name="20% - Accent1 4 4 5 5" xfId="10793"/>
    <cellStyle name="20% - Accent1 4 4 5 6" xfId="10794"/>
    <cellStyle name="20% - Accent1 4 4 6" xfId="10795"/>
    <cellStyle name="20% - Accent1 4 4 6 2" xfId="10796"/>
    <cellStyle name="20% - Accent1 4 4 6 2 2" xfId="10797"/>
    <cellStyle name="20% - Accent1 4 4 6 2 3" xfId="10798"/>
    <cellStyle name="20% - Accent1 4 4 6 3" xfId="10799"/>
    <cellStyle name="20% - Accent1 4 4 6 3 2" xfId="10800"/>
    <cellStyle name="20% - Accent1 4 4 6 3 3" xfId="10801"/>
    <cellStyle name="20% - Accent1 4 4 6 4" xfId="10802"/>
    <cellStyle name="20% - Accent1 4 4 6 4 2" xfId="10803"/>
    <cellStyle name="20% - Accent1 4 4 6 5" xfId="10804"/>
    <cellStyle name="20% - Accent1 4 4 6 6" xfId="10805"/>
    <cellStyle name="20% - Accent1 4 4 7" xfId="10806"/>
    <cellStyle name="20% - Accent1 4 4 7 2" xfId="10807"/>
    <cellStyle name="20% - Accent1 4 4 7 2 2" xfId="10808"/>
    <cellStyle name="20% - Accent1 4 4 7 2 3" xfId="10809"/>
    <cellStyle name="20% - Accent1 4 4 7 3" xfId="10810"/>
    <cellStyle name="20% - Accent1 4 4 7 3 2" xfId="10811"/>
    <cellStyle name="20% - Accent1 4 4 7 4" xfId="10812"/>
    <cellStyle name="20% - Accent1 4 4 7 5" xfId="10813"/>
    <cellStyle name="20% - Accent1 4 4 8" xfId="10814"/>
    <cellStyle name="20% - Accent1 4 4 8 2" xfId="10815"/>
    <cellStyle name="20% - Accent1 4 4 8 3" xfId="10816"/>
    <cellStyle name="20% - Accent1 4 4 9" xfId="10817"/>
    <cellStyle name="20% - Accent1 4 4 9 2" xfId="10818"/>
    <cellStyle name="20% - Accent1 4 4 9 3" xfId="10819"/>
    <cellStyle name="20% - Accent1 4 5" xfId="178"/>
    <cellStyle name="20% - Accent1 4 5 10" xfId="10820"/>
    <cellStyle name="20% - Accent1 4 5 2" xfId="179"/>
    <cellStyle name="20% - Accent1 4 5 2 2" xfId="10821"/>
    <cellStyle name="20% - Accent1 4 5 2 2 2" xfId="10822"/>
    <cellStyle name="20% - Accent1 4 5 2 2 2 2" xfId="10823"/>
    <cellStyle name="20% - Accent1 4 5 2 2 2 3" xfId="10824"/>
    <cellStyle name="20% - Accent1 4 5 2 2 3" xfId="10825"/>
    <cellStyle name="20% - Accent1 4 5 2 2 3 2" xfId="10826"/>
    <cellStyle name="20% - Accent1 4 5 2 2 3 3" xfId="10827"/>
    <cellStyle name="20% - Accent1 4 5 2 2 4" xfId="10828"/>
    <cellStyle name="20% - Accent1 4 5 2 2 4 2" xfId="10829"/>
    <cellStyle name="20% - Accent1 4 5 2 2 5" xfId="10830"/>
    <cellStyle name="20% - Accent1 4 5 2 2 6" xfId="10831"/>
    <cellStyle name="20% - Accent1 4 5 2 3" xfId="10832"/>
    <cellStyle name="20% - Accent1 4 5 2 3 2" xfId="10833"/>
    <cellStyle name="20% - Accent1 4 5 2 3 2 2" xfId="10834"/>
    <cellStyle name="20% - Accent1 4 5 2 3 2 3" xfId="10835"/>
    <cellStyle name="20% - Accent1 4 5 2 3 3" xfId="10836"/>
    <cellStyle name="20% - Accent1 4 5 2 3 3 2" xfId="10837"/>
    <cellStyle name="20% - Accent1 4 5 2 3 3 3" xfId="10838"/>
    <cellStyle name="20% - Accent1 4 5 2 3 4" xfId="10839"/>
    <cellStyle name="20% - Accent1 4 5 2 3 4 2" xfId="10840"/>
    <cellStyle name="20% - Accent1 4 5 2 3 5" xfId="10841"/>
    <cellStyle name="20% - Accent1 4 5 2 3 6" xfId="10842"/>
    <cellStyle name="20% - Accent1 4 5 2 4" xfId="10843"/>
    <cellStyle name="20% - Accent1 4 5 2 4 2" xfId="10844"/>
    <cellStyle name="20% - Accent1 4 5 2 4 2 2" xfId="10845"/>
    <cellStyle name="20% - Accent1 4 5 2 4 2 3" xfId="10846"/>
    <cellStyle name="20% - Accent1 4 5 2 4 3" xfId="10847"/>
    <cellStyle name="20% - Accent1 4 5 2 4 3 2" xfId="10848"/>
    <cellStyle name="20% - Accent1 4 5 2 4 4" xfId="10849"/>
    <cellStyle name="20% - Accent1 4 5 2 4 5" xfId="10850"/>
    <cellStyle name="20% - Accent1 4 5 2 5" xfId="10851"/>
    <cellStyle name="20% - Accent1 4 5 2 5 2" xfId="10852"/>
    <cellStyle name="20% - Accent1 4 5 2 5 3" xfId="10853"/>
    <cellStyle name="20% - Accent1 4 5 2 6" xfId="10854"/>
    <cellStyle name="20% - Accent1 4 5 2 6 2" xfId="10855"/>
    <cellStyle name="20% - Accent1 4 5 2 6 3" xfId="10856"/>
    <cellStyle name="20% - Accent1 4 5 2 7" xfId="10857"/>
    <cellStyle name="20% - Accent1 4 5 2 7 2" xfId="10858"/>
    <cellStyle name="20% - Accent1 4 5 2 8" xfId="10859"/>
    <cellStyle name="20% - Accent1 4 5 2 9" xfId="10860"/>
    <cellStyle name="20% - Accent1 4 5 3" xfId="10861"/>
    <cellStyle name="20% - Accent1 4 5 3 2" xfId="10862"/>
    <cellStyle name="20% - Accent1 4 5 3 2 2" xfId="10863"/>
    <cellStyle name="20% - Accent1 4 5 3 2 3" xfId="10864"/>
    <cellStyle name="20% - Accent1 4 5 3 3" xfId="10865"/>
    <cellStyle name="20% - Accent1 4 5 3 3 2" xfId="10866"/>
    <cellStyle name="20% - Accent1 4 5 3 3 3" xfId="10867"/>
    <cellStyle name="20% - Accent1 4 5 3 4" xfId="10868"/>
    <cellStyle name="20% - Accent1 4 5 3 4 2" xfId="10869"/>
    <cellStyle name="20% - Accent1 4 5 3 5" xfId="10870"/>
    <cellStyle name="20% - Accent1 4 5 3 6" xfId="10871"/>
    <cellStyle name="20% - Accent1 4 5 4" xfId="10872"/>
    <cellStyle name="20% - Accent1 4 5 4 2" xfId="10873"/>
    <cellStyle name="20% - Accent1 4 5 4 2 2" xfId="10874"/>
    <cellStyle name="20% - Accent1 4 5 4 2 3" xfId="10875"/>
    <cellStyle name="20% - Accent1 4 5 4 3" xfId="10876"/>
    <cellStyle name="20% - Accent1 4 5 4 3 2" xfId="10877"/>
    <cellStyle name="20% - Accent1 4 5 4 3 3" xfId="10878"/>
    <cellStyle name="20% - Accent1 4 5 4 4" xfId="10879"/>
    <cellStyle name="20% - Accent1 4 5 4 4 2" xfId="10880"/>
    <cellStyle name="20% - Accent1 4 5 4 5" xfId="10881"/>
    <cellStyle name="20% - Accent1 4 5 4 6" xfId="10882"/>
    <cellStyle name="20% - Accent1 4 5 5" xfId="10883"/>
    <cellStyle name="20% - Accent1 4 5 5 2" xfId="10884"/>
    <cellStyle name="20% - Accent1 4 5 5 2 2" xfId="10885"/>
    <cellStyle name="20% - Accent1 4 5 5 2 3" xfId="10886"/>
    <cellStyle name="20% - Accent1 4 5 5 3" xfId="10887"/>
    <cellStyle name="20% - Accent1 4 5 5 3 2" xfId="10888"/>
    <cellStyle name="20% - Accent1 4 5 5 4" xfId="10889"/>
    <cellStyle name="20% - Accent1 4 5 5 5" xfId="10890"/>
    <cellStyle name="20% - Accent1 4 5 6" xfId="10891"/>
    <cellStyle name="20% - Accent1 4 5 6 2" xfId="10892"/>
    <cellStyle name="20% - Accent1 4 5 6 3" xfId="10893"/>
    <cellStyle name="20% - Accent1 4 5 7" xfId="10894"/>
    <cellStyle name="20% - Accent1 4 5 7 2" xfId="10895"/>
    <cellStyle name="20% - Accent1 4 5 7 3" xfId="10896"/>
    <cellStyle name="20% - Accent1 4 5 8" xfId="10897"/>
    <cellStyle name="20% - Accent1 4 5 8 2" xfId="10898"/>
    <cellStyle name="20% - Accent1 4 5 9" xfId="10899"/>
    <cellStyle name="20% - Accent1 4 6" xfId="180"/>
    <cellStyle name="20% - Accent1 4 6 2" xfId="10900"/>
    <cellStyle name="20% - Accent1 4 6 2 2" xfId="10901"/>
    <cellStyle name="20% - Accent1 4 6 2 2 2" xfId="10902"/>
    <cellStyle name="20% - Accent1 4 6 2 2 3" xfId="10903"/>
    <cellStyle name="20% - Accent1 4 6 2 3" xfId="10904"/>
    <cellStyle name="20% - Accent1 4 6 2 3 2" xfId="10905"/>
    <cellStyle name="20% - Accent1 4 6 2 3 3" xfId="10906"/>
    <cellStyle name="20% - Accent1 4 6 2 4" xfId="10907"/>
    <cellStyle name="20% - Accent1 4 6 2 4 2" xfId="10908"/>
    <cellStyle name="20% - Accent1 4 6 2 5" xfId="10909"/>
    <cellStyle name="20% - Accent1 4 6 2 6" xfId="10910"/>
    <cellStyle name="20% - Accent1 4 6 3" xfId="10911"/>
    <cellStyle name="20% - Accent1 4 6 3 2" xfId="10912"/>
    <cellStyle name="20% - Accent1 4 6 3 2 2" xfId="10913"/>
    <cellStyle name="20% - Accent1 4 6 3 2 3" xfId="10914"/>
    <cellStyle name="20% - Accent1 4 6 3 3" xfId="10915"/>
    <cellStyle name="20% - Accent1 4 6 3 3 2" xfId="10916"/>
    <cellStyle name="20% - Accent1 4 6 3 3 3" xfId="10917"/>
    <cellStyle name="20% - Accent1 4 6 3 4" xfId="10918"/>
    <cellStyle name="20% - Accent1 4 6 3 4 2" xfId="10919"/>
    <cellStyle name="20% - Accent1 4 6 3 5" xfId="10920"/>
    <cellStyle name="20% - Accent1 4 6 3 6" xfId="10921"/>
    <cellStyle name="20% - Accent1 4 6 4" xfId="10922"/>
    <cellStyle name="20% - Accent1 4 6 4 2" xfId="10923"/>
    <cellStyle name="20% - Accent1 4 6 4 2 2" xfId="10924"/>
    <cellStyle name="20% - Accent1 4 6 4 2 3" xfId="10925"/>
    <cellStyle name="20% - Accent1 4 6 4 3" xfId="10926"/>
    <cellStyle name="20% - Accent1 4 6 4 3 2" xfId="10927"/>
    <cellStyle name="20% - Accent1 4 6 4 4" xfId="10928"/>
    <cellStyle name="20% - Accent1 4 6 4 5" xfId="10929"/>
    <cellStyle name="20% - Accent1 4 6 5" xfId="10930"/>
    <cellStyle name="20% - Accent1 4 6 5 2" xfId="10931"/>
    <cellStyle name="20% - Accent1 4 6 5 3" xfId="10932"/>
    <cellStyle name="20% - Accent1 4 6 6" xfId="10933"/>
    <cellStyle name="20% - Accent1 4 6 6 2" xfId="10934"/>
    <cellStyle name="20% - Accent1 4 6 6 3" xfId="10935"/>
    <cellStyle name="20% - Accent1 4 6 7" xfId="10936"/>
    <cellStyle name="20% - Accent1 4 6 7 2" xfId="10937"/>
    <cellStyle name="20% - Accent1 4 6 8" xfId="10938"/>
    <cellStyle name="20% - Accent1 4 6 9" xfId="10939"/>
    <cellStyle name="20% - Accent1 4 7" xfId="8827"/>
    <cellStyle name="20% - Accent1 4 7 2" xfId="10940"/>
    <cellStyle name="20% - Accent1 4 7 2 2" xfId="10941"/>
    <cellStyle name="20% - Accent1 4 7 2 2 2" xfId="10942"/>
    <cellStyle name="20% - Accent1 4 7 2 2 3" xfId="10943"/>
    <cellStyle name="20% - Accent1 4 7 2 3" xfId="10944"/>
    <cellStyle name="20% - Accent1 4 7 2 3 2" xfId="10945"/>
    <cellStyle name="20% - Accent1 4 7 2 3 3" xfId="10946"/>
    <cellStyle name="20% - Accent1 4 7 2 4" xfId="10947"/>
    <cellStyle name="20% - Accent1 4 7 2 4 2" xfId="10948"/>
    <cellStyle name="20% - Accent1 4 7 2 5" xfId="10949"/>
    <cellStyle name="20% - Accent1 4 7 2 6" xfId="10950"/>
    <cellStyle name="20% - Accent1 4 7 3" xfId="10951"/>
    <cellStyle name="20% - Accent1 4 7 3 2" xfId="10952"/>
    <cellStyle name="20% - Accent1 4 7 3 2 2" xfId="10953"/>
    <cellStyle name="20% - Accent1 4 7 3 2 3" xfId="10954"/>
    <cellStyle name="20% - Accent1 4 7 3 3" xfId="10955"/>
    <cellStyle name="20% - Accent1 4 7 3 3 2" xfId="10956"/>
    <cellStyle name="20% - Accent1 4 7 3 3 3" xfId="10957"/>
    <cellStyle name="20% - Accent1 4 7 3 4" xfId="10958"/>
    <cellStyle name="20% - Accent1 4 7 3 4 2" xfId="10959"/>
    <cellStyle name="20% - Accent1 4 7 3 5" xfId="10960"/>
    <cellStyle name="20% - Accent1 4 7 3 6" xfId="10961"/>
    <cellStyle name="20% - Accent1 4 7 4" xfId="10962"/>
    <cellStyle name="20% - Accent1 4 7 4 2" xfId="10963"/>
    <cellStyle name="20% - Accent1 4 7 4 2 2" xfId="10964"/>
    <cellStyle name="20% - Accent1 4 7 4 2 3" xfId="10965"/>
    <cellStyle name="20% - Accent1 4 7 4 3" xfId="10966"/>
    <cellStyle name="20% - Accent1 4 7 4 3 2" xfId="10967"/>
    <cellStyle name="20% - Accent1 4 7 4 4" xfId="10968"/>
    <cellStyle name="20% - Accent1 4 7 4 5" xfId="10969"/>
    <cellStyle name="20% - Accent1 4 7 5" xfId="10970"/>
    <cellStyle name="20% - Accent1 4 7 5 2" xfId="10971"/>
    <cellStyle name="20% - Accent1 4 7 5 3" xfId="10972"/>
    <cellStyle name="20% - Accent1 4 7 6" xfId="10973"/>
    <cellStyle name="20% - Accent1 4 7 6 2" xfId="10974"/>
    <cellStyle name="20% - Accent1 4 7 6 3" xfId="10975"/>
    <cellStyle name="20% - Accent1 4 7 7" xfId="10976"/>
    <cellStyle name="20% - Accent1 4 7 7 2" xfId="10977"/>
    <cellStyle name="20% - Accent1 4 7 8" xfId="10978"/>
    <cellStyle name="20% - Accent1 4 7 9" xfId="10979"/>
    <cellStyle name="20% - Accent1 4 8" xfId="10980"/>
    <cellStyle name="20% - Accent1 4 8 2" xfId="10981"/>
    <cellStyle name="20% - Accent1 4 8 2 2" xfId="10982"/>
    <cellStyle name="20% - Accent1 4 8 2 3" xfId="10983"/>
    <cellStyle name="20% - Accent1 4 8 3" xfId="10984"/>
    <cellStyle name="20% - Accent1 4 8 3 2" xfId="10985"/>
    <cellStyle name="20% - Accent1 4 8 3 3" xfId="10986"/>
    <cellStyle name="20% - Accent1 4 8 4" xfId="10987"/>
    <cellStyle name="20% - Accent1 4 8 4 2" xfId="10988"/>
    <cellStyle name="20% - Accent1 4 8 5" xfId="10989"/>
    <cellStyle name="20% - Accent1 4 8 6" xfId="10990"/>
    <cellStyle name="20% - Accent1 4 9" xfId="10991"/>
    <cellStyle name="20% - Accent1 4 9 2" xfId="10992"/>
    <cellStyle name="20% - Accent1 4 9 2 2" xfId="10993"/>
    <cellStyle name="20% - Accent1 4 9 2 3" xfId="10994"/>
    <cellStyle name="20% - Accent1 4 9 3" xfId="10995"/>
    <cellStyle name="20% - Accent1 4 9 3 2" xfId="10996"/>
    <cellStyle name="20% - Accent1 4 9 3 3" xfId="10997"/>
    <cellStyle name="20% - Accent1 4 9 4" xfId="10998"/>
    <cellStyle name="20% - Accent1 4 9 4 2" xfId="10999"/>
    <cellStyle name="20% - Accent1 4 9 5" xfId="11000"/>
    <cellStyle name="20% - Accent1 4 9 6" xfId="11001"/>
    <cellStyle name="20% - Accent1 5" xfId="181"/>
    <cellStyle name="20% - Accent1 5 2" xfId="182"/>
    <cellStyle name="20% - Accent1 5 2 2" xfId="183"/>
    <cellStyle name="20% - Accent1 5 2 2 2" xfId="184"/>
    <cellStyle name="20% - Accent1 5 2 2 2 2" xfId="185"/>
    <cellStyle name="20% - Accent1 5 2 2 3" xfId="186"/>
    <cellStyle name="20% - Accent1 5 2 3" xfId="187"/>
    <cellStyle name="20% - Accent1 5 2 3 2" xfId="188"/>
    <cellStyle name="20% - Accent1 5 2 4" xfId="189"/>
    <cellStyle name="20% - Accent1 5 2 5" xfId="58013"/>
    <cellStyle name="20% - Accent1 5 3" xfId="190"/>
    <cellStyle name="20% - Accent1 5 3 2" xfId="191"/>
    <cellStyle name="20% - Accent1 5 3 2 2" xfId="192"/>
    <cellStyle name="20% - Accent1 5 3 3" xfId="193"/>
    <cellStyle name="20% - Accent1 5 4" xfId="194"/>
    <cellStyle name="20% - Accent1 5 4 2" xfId="195"/>
    <cellStyle name="20% - Accent1 5 5" xfId="196"/>
    <cellStyle name="20% - Accent1 5 6" xfId="8828"/>
    <cellStyle name="20% - Accent1 6" xfId="197"/>
    <cellStyle name="20% - Accent1 6 2" xfId="198"/>
    <cellStyle name="20% - Accent1 6 2 2" xfId="199"/>
    <cellStyle name="20% - Accent1 6 2 2 2" xfId="200"/>
    <cellStyle name="20% - Accent1 6 2 3" xfId="201"/>
    <cellStyle name="20% - Accent1 6 2 4" xfId="58014"/>
    <cellStyle name="20% - Accent1 6 2 5" xfId="58015"/>
    <cellStyle name="20% - Accent1 6 3" xfId="202"/>
    <cellStyle name="20% - Accent1 6 3 2" xfId="203"/>
    <cellStyle name="20% - Accent1 6 4" xfId="204"/>
    <cellStyle name="20% - Accent1 6 5" xfId="58016"/>
    <cellStyle name="20% - Accent1 7" xfId="205"/>
    <cellStyle name="20% - Accent1 7 2" xfId="206"/>
    <cellStyle name="20% - Accent1 7 2 2" xfId="207"/>
    <cellStyle name="20% - Accent1 7 2 2 2" xfId="208"/>
    <cellStyle name="20% - Accent1 7 2 3" xfId="209"/>
    <cellStyle name="20% - Accent1 7 3" xfId="210"/>
    <cellStyle name="20% - Accent1 7 3 2" xfId="211"/>
    <cellStyle name="20% - Accent1 7 4" xfId="212"/>
    <cellStyle name="20% - Accent1 7 5" xfId="58017"/>
    <cellStyle name="20% - Accent1 8" xfId="213"/>
    <cellStyle name="20% - Accent1 8 2" xfId="214"/>
    <cellStyle name="20% - Accent1 8 2 2" xfId="215"/>
    <cellStyle name="20% - Accent1 8 2 2 2" xfId="216"/>
    <cellStyle name="20% - Accent1 8 2 3" xfId="217"/>
    <cellStyle name="20% - Accent1 8 3" xfId="218"/>
    <cellStyle name="20% - Accent1 8 3 2" xfId="219"/>
    <cellStyle name="20% - Accent1 8 4" xfId="220"/>
    <cellStyle name="20% - Accent1 8 5" xfId="58018"/>
    <cellStyle name="20% - Accent1 9" xfId="221"/>
    <cellStyle name="20% - Accent1 9 2" xfId="222"/>
    <cellStyle name="20% - Accent1 9 2 2" xfId="223"/>
    <cellStyle name="20% - Accent1 9 3" xfId="224"/>
    <cellStyle name="20% - Accent1 9 4" xfId="58019"/>
    <cellStyle name="20% - Accent2 10" xfId="225"/>
    <cellStyle name="20% - Accent2 10 2" xfId="226"/>
    <cellStyle name="20% - Accent2 10 2 2" xfId="227"/>
    <cellStyle name="20% - Accent2 10 3" xfId="228"/>
    <cellStyle name="20% - Accent2 10 4" xfId="58020"/>
    <cellStyle name="20% - Accent2 11" xfId="229"/>
    <cellStyle name="20% - Accent2 11 2" xfId="230"/>
    <cellStyle name="20% - Accent2 11 2 2" xfId="231"/>
    <cellStyle name="20% - Accent2 11 3" xfId="232"/>
    <cellStyle name="20% - Accent2 11 4" xfId="58021"/>
    <cellStyle name="20% - Accent2 12" xfId="233"/>
    <cellStyle name="20% - Accent2 12 2" xfId="234"/>
    <cellStyle name="20% - Accent2 12 3" xfId="58022"/>
    <cellStyle name="20% - Accent2 13" xfId="235"/>
    <cellStyle name="20% - Accent2 13 2" xfId="58023"/>
    <cellStyle name="20% - Accent2 14" xfId="8829"/>
    <cellStyle name="20% - Accent2 15" xfId="11002"/>
    <cellStyle name="20% - Accent2 16" xfId="11003"/>
    <cellStyle name="20% - Accent2 17" xfId="11004"/>
    <cellStyle name="20% - Accent2 17 2" xfId="58024"/>
    <cellStyle name="20% - Accent2 18" xfId="58025"/>
    <cellStyle name="20% - Accent2 19" xfId="58026"/>
    <cellStyle name="20% - Accent2 2" xfId="236"/>
    <cellStyle name="20% - Accent2 2 2" xfId="237"/>
    <cellStyle name="20% - Accent2 2 2 2" xfId="238"/>
    <cellStyle name="20% - Accent2 2 2 2 2" xfId="239"/>
    <cellStyle name="20% - Accent2 2 2 2 2 2" xfId="240"/>
    <cellStyle name="20% - Accent2 2 2 2 2 2 2" xfId="241"/>
    <cellStyle name="20% - Accent2 2 2 2 2 2 2 2" xfId="242"/>
    <cellStyle name="20% - Accent2 2 2 2 2 2 3" xfId="243"/>
    <cellStyle name="20% - Accent2 2 2 2 2 3" xfId="244"/>
    <cellStyle name="20% - Accent2 2 2 2 2 3 2" xfId="245"/>
    <cellStyle name="20% - Accent2 2 2 2 2 4" xfId="246"/>
    <cellStyle name="20% - Accent2 2 2 2 2 5" xfId="58027"/>
    <cellStyle name="20% - Accent2 2 2 2 3" xfId="247"/>
    <cellStyle name="20% - Accent2 2 2 2 3 2" xfId="248"/>
    <cellStyle name="20% - Accent2 2 2 2 3 2 2" xfId="249"/>
    <cellStyle name="20% - Accent2 2 2 2 3 3" xfId="250"/>
    <cellStyle name="20% - Accent2 2 2 2 4" xfId="251"/>
    <cellStyle name="20% - Accent2 2 2 2 4 2" xfId="252"/>
    <cellStyle name="20% - Accent2 2 2 2 5" xfId="253"/>
    <cellStyle name="20% - Accent2 2 2 2 6" xfId="58028"/>
    <cellStyle name="20% - Accent2 2 2 3" xfId="254"/>
    <cellStyle name="20% - Accent2 2 2 3 2" xfId="255"/>
    <cellStyle name="20% - Accent2 2 2 3 2 2" xfId="256"/>
    <cellStyle name="20% - Accent2 2 2 3 2 2 2" xfId="257"/>
    <cellStyle name="20% - Accent2 2 2 3 2 3" xfId="258"/>
    <cellStyle name="20% - Accent2 2 2 3 3" xfId="259"/>
    <cellStyle name="20% - Accent2 2 2 3 3 2" xfId="260"/>
    <cellStyle name="20% - Accent2 2 2 3 4" xfId="261"/>
    <cellStyle name="20% - Accent2 2 2 3 5" xfId="58029"/>
    <cellStyle name="20% - Accent2 2 2 4" xfId="262"/>
    <cellStyle name="20% - Accent2 2 2 4 2" xfId="263"/>
    <cellStyle name="20% - Accent2 2 2 4 2 2" xfId="264"/>
    <cellStyle name="20% - Accent2 2 2 4 3" xfId="265"/>
    <cellStyle name="20% - Accent2 2 2 5" xfId="266"/>
    <cellStyle name="20% - Accent2 2 2 5 2" xfId="267"/>
    <cellStyle name="20% - Accent2 2 2 6" xfId="268"/>
    <cellStyle name="20% - Accent2 2 2 7" xfId="58030"/>
    <cellStyle name="20% - Accent2 2 3" xfId="269"/>
    <cellStyle name="20% - Accent2 2 3 2" xfId="270"/>
    <cellStyle name="20% - Accent2 2 3 2 2" xfId="271"/>
    <cellStyle name="20% - Accent2 2 3 2 2 2" xfId="272"/>
    <cellStyle name="20% - Accent2 2 3 2 2 2 2" xfId="273"/>
    <cellStyle name="20% - Accent2 2 3 2 2 3" xfId="274"/>
    <cellStyle name="20% - Accent2 2 3 2 3" xfId="275"/>
    <cellStyle name="20% - Accent2 2 3 2 3 2" xfId="276"/>
    <cellStyle name="20% - Accent2 2 3 2 4" xfId="277"/>
    <cellStyle name="20% - Accent2 2 3 3" xfId="278"/>
    <cellStyle name="20% - Accent2 2 3 3 2" xfId="279"/>
    <cellStyle name="20% - Accent2 2 3 3 2 2" xfId="280"/>
    <cellStyle name="20% - Accent2 2 3 3 3" xfId="281"/>
    <cellStyle name="20% - Accent2 2 3 4" xfId="282"/>
    <cellStyle name="20% - Accent2 2 3 4 2" xfId="283"/>
    <cellStyle name="20% - Accent2 2 3 5" xfId="284"/>
    <cellStyle name="20% - Accent2 2 3 6" xfId="58031"/>
    <cellStyle name="20% - Accent2 2 4" xfId="285"/>
    <cellStyle name="20% - Accent2 2 4 2" xfId="286"/>
    <cellStyle name="20% - Accent2 2 4 2 2" xfId="287"/>
    <cellStyle name="20% - Accent2 2 4 2 2 2" xfId="288"/>
    <cellStyle name="20% - Accent2 2 4 2 3" xfId="289"/>
    <cellStyle name="20% - Accent2 2 4 3" xfId="290"/>
    <cellStyle name="20% - Accent2 2 4 3 2" xfId="291"/>
    <cellStyle name="20% - Accent2 2 4 4" xfId="292"/>
    <cellStyle name="20% - Accent2 2 4 5" xfId="58032"/>
    <cellStyle name="20% - Accent2 2 5" xfId="293"/>
    <cellStyle name="20% - Accent2 2 5 2" xfId="294"/>
    <cellStyle name="20% - Accent2 2 5 2 2" xfId="295"/>
    <cellStyle name="20% - Accent2 2 5 3" xfId="296"/>
    <cellStyle name="20% - Accent2 2 5 4" xfId="58033"/>
    <cellStyle name="20% - Accent2 2 6" xfId="297"/>
    <cellStyle name="20% - Accent2 2 6 2" xfId="298"/>
    <cellStyle name="20% - Accent2 2 6 3" xfId="58034"/>
    <cellStyle name="20% - Accent2 2 7" xfId="299"/>
    <cellStyle name="20% - Accent2 2 8" xfId="300"/>
    <cellStyle name="20% - Accent2 2 9" xfId="58035"/>
    <cellStyle name="20% - Accent2 20" xfId="58036"/>
    <cellStyle name="20% - Accent2 21" xfId="58037"/>
    <cellStyle name="20% - Accent2 3" xfId="301"/>
    <cellStyle name="20% - Accent2 3 2" xfId="302"/>
    <cellStyle name="20% - Accent2 3 2 2" xfId="303"/>
    <cellStyle name="20% - Accent2 3 2 2 2" xfId="304"/>
    <cellStyle name="20% - Accent2 3 2 2 2 2" xfId="305"/>
    <cellStyle name="20% - Accent2 3 2 2 2 2 2" xfId="306"/>
    <cellStyle name="20% - Accent2 3 2 2 2 2 2 2" xfId="307"/>
    <cellStyle name="20% - Accent2 3 2 2 2 2 3" xfId="308"/>
    <cellStyle name="20% - Accent2 3 2 2 2 3" xfId="309"/>
    <cellStyle name="20% - Accent2 3 2 2 2 3 2" xfId="310"/>
    <cellStyle name="20% - Accent2 3 2 2 2 4" xfId="311"/>
    <cellStyle name="20% - Accent2 3 2 2 2 5" xfId="8830"/>
    <cellStyle name="20% - Accent2 3 2 2 3" xfId="312"/>
    <cellStyle name="20% - Accent2 3 2 2 3 2" xfId="313"/>
    <cellStyle name="20% - Accent2 3 2 2 3 2 2" xfId="314"/>
    <cellStyle name="20% - Accent2 3 2 2 3 3" xfId="315"/>
    <cellStyle name="20% - Accent2 3 2 2 4" xfId="316"/>
    <cellStyle name="20% - Accent2 3 2 2 4 2" xfId="317"/>
    <cellStyle name="20% - Accent2 3 2 2 5" xfId="318"/>
    <cellStyle name="20% - Accent2 3 2 2 6" xfId="8831"/>
    <cellStyle name="20% - Accent2 3 2 3" xfId="319"/>
    <cellStyle name="20% - Accent2 3 2 3 2" xfId="320"/>
    <cellStyle name="20% - Accent2 3 2 3 2 2" xfId="321"/>
    <cellStyle name="20% - Accent2 3 2 3 2 2 2" xfId="322"/>
    <cellStyle name="20% - Accent2 3 2 3 2 3" xfId="323"/>
    <cellStyle name="20% - Accent2 3 2 3 3" xfId="324"/>
    <cellStyle name="20% - Accent2 3 2 3 3 2" xfId="325"/>
    <cellStyle name="20% - Accent2 3 2 3 4" xfId="326"/>
    <cellStyle name="20% - Accent2 3 2 3 5" xfId="8832"/>
    <cellStyle name="20% - Accent2 3 2 4" xfId="327"/>
    <cellStyle name="20% - Accent2 3 2 4 2" xfId="328"/>
    <cellStyle name="20% - Accent2 3 2 4 2 2" xfId="329"/>
    <cellStyle name="20% - Accent2 3 2 4 3" xfId="330"/>
    <cellStyle name="20% - Accent2 3 2 5" xfId="331"/>
    <cellStyle name="20% - Accent2 3 2 5 2" xfId="332"/>
    <cellStyle name="20% - Accent2 3 2 6" xfId="333"/>
    <cellStyle name="20% - Accent2 3 2 7" xfId="8833"/>
    <cellStyle name="20% - Accent2 3 3" xfId="334"/>
    <cellStyle name="20% - Accent2 3 3 2" xfId="335"/>
    <cellStyle name="20% - Accent2 3 3 2 2" xfId="336"/>
    <cellStyle name="20% - Accent2 3 3 2 2 2" xfId="337"/>
    <cellStyle name="20% - Accent2 3 3 2 2 2 2" xfId="338"/>
    <cellStyle name="20% - Accent2 3 3 2 2 3" xfId="339"/>
    <cellStyle name="20% - Accent2 3 3 2 3" xfId="340"/>
    <cellStyle name="20% - Accent2 3 3 2 3 2" xfId="341"/>
    <cellStyle name="20% - Accent2 3 3 2 4" xfId="342"/>
    <cellStyle name="20% - Accent2 3 3 2 5" xfId="8834"/>
    <cellStyle name="20% - Accent2 3 3 3" xfId="343"/>
    <cellStyle name="20% - Accent2 3 3 3 2" xfId="344"/>
    <cellStyle name="20% - Accent2 3 3 3 2 2" xfId="345"/>
    <cellStyle name="20% - Accent2 3 3 3 3" xfId="346"/>
    <cellStyle name="20% - Accent2 3 3 4" xfId="347"/>
    <cellStyle name="20% - Accent2 3 3 4 2" xfId="348"/>
    <cellStyle name="20% - Accent2 3 3 5" xfId="349"/>
    <cellStyle name="20% - Accent2 3 3 6" xfId="8835"/>
    <cellStyle name="20% - Accent2 3 4" xfId="350"/>
    <cellStyle name="20% - Accent2 3 4 2" xfId="351"/>
    <cellStyle name="20% - Accent2 3 4 2 2" xfId="352"/>
    <cellStyle name="20% - Accent2 3 4 2 2 2" xfId="353"/>
    <cellStyle name="20% - Accent2 3 4 2 3" xfId="354"/>
    <cellStyle name="20% - Accent2 3 4 3" xfId="355"/>
    <cellStyle name="20% - Accent2 3 4 3 2" xfId="356"/>
    <cellStyle name="20% - Accent2 3 4 4" xfId="357"/>
    <cellStyle name="20% - Accent2 3 4 5" xfId="8836"/>
    <cellStyle name="20% - Accent2 3 5" xfId="358"/>
    <cellStyle name="20% - Accent2 3 5 2" xfId="359"/>
    <cellStyle name="20% - Accent2 3 5 2 2" xfId="360"/>
    <cellStyle name="20% - Accent2 3 5 3" xfId="361"/>
    <cellStyle name="20% - Accent2 3 6" xfId="362"/>
    <cellStyle name="20% - Accent2 3 6 2" xfId="363"/>
    <cellStyle name="20% - Accent2 3 7" xfId="364"/>
    <cellStyle name="20% - Accent2 3 8" xfId="365"/>
    <cellStyle name="20% - Accent2 3 9" xfId="8837"/>
    <cellStyle name="20% - Accent2 4" xfId="366"/>
    <cellStyle name="20% - Accent2 4 10" xfId="11005"/>
    <cellStyle name="20% - Accent2 4 10 2" xfId="11006"/>
    <cellStyle name="20% - Accent2 4 10 2 2" xfId="11007"/>
    <cellStyle name="20% - Accent2 4 10 2 3" xfId="11008"/>
    <cellStyle name="20% - Accent2 4 10 3" xfId="11009"/>
    <cellStyle name="20% - Accent2 4 10 3 2" xfId="11010"/>
    <cellStyle name="20% - Accent2 4 10 4" xfId="11011"/>
    <cellStyle name="20% - Accent2 4 10 5" xfId="11012"/>
    <cellStyle name="20% - Accent2 4 11" xfId="11013"/>
    <cellStyle name="20% - Accent2 4 11 2" xfId="11014"/>
    <cellStyle name="20% - Accent2 4 11 3" xfId="11015"/>
    <cellStyle name="20% - Accent2 4 12" xfId="11016"/>
    <cellStyle name="20% - Accent2 4 12 2" xfId="11017"/>
    <cellStyle name="20% - Accent2 4 12 3" xfId="11018"/>
    <cellStyle name="20% - Accent2 4 13" xfId="11019"/>
    <cellStyle name="20% - Accent2 4 13 2" xfId="11020"/>
    <cellStyle name="20% - Accent2 4 14" xfId="11021"/>
    <cellStyle name="20% - Accent2 4 15" xfId="11022"/>
    <cellStyle name="20% - Accent2 4 16" xfId="11023"/>
    <cellStyle name="20% - Accent2 4 2" xfId="367"/>
    <cellStyle name="20% - Accent2 4 2 10" xfId="11024"/>
    <cellStyle name="20% - Accent2 4 2 10 2" xfId="11025"/>
    <cellStyle name="20% - Accent2 4 2 10 3" xfId="11026"/>
    <cellStyle name="20% - Accent2 4 2 11" xfId="11027"/>
    <cellStyle name="20% - Accent2 4 2 11 2" xfId="11028"/>
    <cellStyle name="20% - Accent2 4 2 11 3" xfId="11029"/>
    <cellStyle name="20% - Accent2 4 2 12" xfId="11030"/>
    <cellStyle name="20% - Accent2 4 2 12 2" xfId="11031"/>
    <cellStyle name="20% - Accent2 4 2 13" xfId="11032"/>
    <cellStyle name="20% - Accent2 4 2 14" xfId="11033"/>
    <cellStyle name="20% - Accent2 4 2 15" xfId="11034"/>
    <cellStyle name="20% - Accent2 4 2 2" xfId="368"/>
    <cellStyle name="20% - Accent2 4 2 2 10" xfId="11035"/>
    <cellStyle name="20% - Accent2 4 2 2 10 2" xfId="11036"/>
    <cellStyle name="20% - Accent2 4 2 2 10 3" xfId="11037"/>
    <cellStyle name="20% - Accent2 4 2 2 11" xfId="11038"/>
    <cellStyle name="20% - Accent2 4 2 2 11 2" xfId="11039"/>
    <cellStyle name="20% - Accent2 4 2 2 12" xfId="11040"/>
    <cellStyle name="20% - Accent2 4 2 2 13" xfId="11041"/>
    <cellStyle name="20% - Accent2 4 2 2 2" xfId="369"/>
    <cellStyle name="20% - Accent2 4 2 2 2 10" xfId="11042"/>
    <cellStyle name="20% - Accent2 4 2 2 2 10 2" xfId="11043"/>
    <cellStyle name="20% - Accent2 4 2 2 2 11" xfId="11044"/>
    <cellStyle name="20% - Accent2 4 2 2 2 12" xfId="11045"/>
    <cellStyle name="20% - Accent2 4 2 2 2 2" xfId="370"/>
    <cellStyle name="20% - Accent2 4 2 2 2 2 10" xfId="11046"/>
    <cellStyle name="20% - Accent2 4 2 2 2 2 2" xfId="371"/>
    <cellStyle name="20% - Accent2 4 2 2 2 2 2 2" xfId="11047"/>
    <cellStyle name="20% - Accent2 4 2 2 2 2 2 2 2" xfId="11048"/>
    <cellStyle name="20% - Accent2 4 2 2 2 2 2 2 2 2" xfId="11049"/>
    <cellStyle name="20% - Accent2 4 2 2 2 2 2 2 2 3" xfId="11050"/>
    <cellStyle name="20% - Accent2 4 2 2 2 2 2 2 3" xfId="11051"/>
    <cellStyle name="20% - Accent2 4 2 2 2 2 2 2 3 2" xfId="11052"/>
    <cellStyle name="20% - Accent2 4 2 2 2 2 2 2 3 3" xfId="11053"/>
    <cellStyle name="20% - Accent2 4 2 2 2 2 2 2 4" xfId="11054"/>
    <cellStyle name="20% - Accent2 4 2 2 2 2 2 2 4 2" xfId="11055"/>
    <cellStyle name="20% - Accent2 4 2 2 2 2 2 2 5" xfId="11056"/>
    <cellStyle name="20% - Accent2 4 2 2 2 2 2 2 6" xfId="11057"/>
    <cellStyle name="20% - Accent2 4 2 2 2 2 2 3" xfId="11058"/>
    <cellStyle name="20% - Accent2 4 2 2 2 2 2 3 2" xfId="11059"/>
    <cellStyle name="20% - Accent2 4 2 2 2 2 2 3 2 2" xfId="11060"/>
    <cellStyle name="20% - Accent2 4 2 2 2 2 2 3 2 3" xfId="11061"/>
    <cellStyle name="20% - Accent2 4 2 2 2 2 2 3 3" xfId="11062"/>
    <cellStyle name="20% - Accent2 4 2 2 2 2 2 3 3 2" xfId="11063"/>
    <cellStyle name="20% - Accent2 4 2 2 2 2 2 3 3 3" xfId="11064"/>
    <cellStyle name="20% - Accent2 4 2 2 2 2 2 3 4" xfId="11065"/>
    <cellStyle name="20% - Accent2 4 2 2 2 2 2 3 4 2" xfId="11066"/>
    <cellStyle name="20% - Accent2 4 2 2 2 2 2 3 5" xfId="11067"/>
    <cellStyle name="20% - Accent2 4 2 2 2 2 2 3 6" xfId="11068"/>
    <cellStyle name="20% - Accent2 4 2 2 2 2 2 4" xfId="11069"/>
    <cellStyle name="20% - Accent2 4 2 2 2 2 2 4 2" xfId="11070"/>
    <cellStyle name="20% - Accent2 4 2 2 2 2 2 4 2 2" xfId="11071"/>
    <cellStyle name="20% - Accent2 4 2 2 2 2 2 4 2 3" xfId="11072"/>
    <cellStyle name="20% - Accent2 4 2 2 2 2 2 4 3" xfId="11073"/>
    <cellStyle name="20% - Accent2 4 2 2 2 2 2 4 3 2" xfId="11074"/>
    <cellStyle name="20% - Accent2 4 2 2 2 2 2 4 4" xfId="11075"/>
    <cellStyle name="20% - Accent2 4 2 2 2 2 2 4 5" xfId="11076"/>
    <cellStyle name="20% - Accent2 4 2 2 2 2 2 5" xfId="11077"/>
    <cellStyle name="20% - Accent2 4 2 2 2 2 2 5 2" xfId="11078"/>
    <cellStyle name="20% - Accent2 4 2 2 2 2 2 5 3" xfId="11079"/>
    <cellStyle name="20% - Accent2 4 2 2 2 2 2 6" xfId="11080"/>
    <cellStyle name="20% - Accent2 4 2 2 2 2 2 6 2" xfId="11081"/>
    <cellStyle name="20% - Accent2 4 2 2 2 2 2 6 3" xfId="11082"/>
    <cellStyle name="20% - Accent2 4 2 2 2 2 2 7" xfId="11083"/>
    <cellStyle name="20% - Accent2 4 2 2 2 2 2 7 2" xfId="11084"/>
    <cellStyle name="20% - Accent2 4 2 2 2 2 2 8" xfId="11085"/>
    <cellStyle name="20% - Accent2 4 2 2 2 2 2 9" xfId="11086"/>
    <cellStyle name="20% - Accent2 4 2 2 2 2 3" xfId="11087"/>
    <cellStyle name="20% - Accent2 4 2 2 2 2 3 2" xfId="11088"/>
    <cellStyle name="20% - Accent2 4 2 2 2 2 3 2 2" xfId="11089"/>
    <cellStyle name="20% - Accent2 4 2 2 2 2 3 2 3" xfId="11090"/>
    <cellStyle name="20% - Accent2 4 2 2 2 2 3 3" xfId="11091"/>
    <cellStyle name="20% - Accent2 4 2 2 2 2 3 3 2" xfId="11092"/>
    <cellStyle name="20% - Accent2 4 2 2 2 2 3 3 3" xfId="11093"/>
    <cellStyle name="20% - Accent2 4 2 2 2 2 3 4" xfId="11094"/>
    <cellStyle name="20% - Accent2 4 2 2 2 2 3 4 2" xfId="11095"/>
    <cellStyle name="20% - Accent2 4 2 2 2 2 3 5" xfId="11096"/>
    <cellStyle name="20% - Accent2 4 2 2 2 2 3 6" xfId="11097"/>
    <cellStyle name="20% - Accent2 4 2 2 2 2 4" xfId="11098"/>
    <cellStyle name="20% - Accent2 4 2 2 2 2 4 2" xfId="11099"/>
    <cellStyle name="20% - Accent2 4 2 2 2 2 4 2 2" xfId="11100"/>
    <cellStyle name="20% - Accent2 4 2 2 2 2 4 2 3" xfId="11101"/>
    <cellStyle name="20% - Accent2 4 2 2 2 2 4 3" xfId="11102"/>
    <cellStyle name="20% - Accent2 4 2 2 2 2 4 3 2" xfId="11103"/>
    <cellStyle name="20% - Accent2 4 2 2 2 2 4 3 3" xfId="11104"/>
    <cellStyle name="20% - Accent2 4 2 2 2 2 4 4" xfId="11105"/>
    <cellStyle name="20% - Accent2 4 2 2 2 2 4 4 2" xfId="11106"/>
    <cellStyle name="20% - Accent2 4 2 2 2 2 4 5" xfId="11107"/>
    <cellStyle name="20% - Accent2 4 2 2 2 2 4 6" xfId="11108"/>
    <cellStyle name="20% - Accent2 4 2 2 2 2 5" xfId="11109"/>
    <cellStyle name="20% - Accent2 4 2 2 2 2 5 2" xfId="11110"/>
    <cellStyle name="20% - Accent2 4 2 2 2 2 5 2 2" xfId="11111"/>
    <cellStyle name="20% - Accent2 4 2 2 2 2 5 2 3" xfId="11112"/>
    <cellStyle name="20% - Accent2 4 2 2 2 2 5 3" xfId="11113"/>
    <cellStyle name="20% - Accent2 4 2 2 2 2 5 3 2" xfId="11114"/>
    <cellStyle name="20% - Accent2 4 2 2 2 2 5 4" xfId="11115"/>
    <cellStyle name="20% - Accent2 4 2 2 2 2 5 5" xfId="11116"/>
    <cellStyle name="20% - Accent2 4 2 2 2 2 6" xfId="11117"/>
    <cellStyle name="20% - Accent2 4 2 2 2 2 6 2" xfId="11118"/>
    <cellStyle name="20% - Accent2 4 2 2 2 2 6 3" xfId="11119"/>
    <cellStyle name="20% - Accent2 4 2 2 2 2 7" xfId="11120"/>
    <cellStyle name="20% - Accent2 4 2 2 2 2 7 2" xfId="11121"/>
    <cellStyle name="20% - Accent2 4 2 2 2 2 7 3" xfId="11122"/>
    <cellStyle name="20% - Accent2 4 2 2 2 2 8" xfId="11123"/>
    <cellStyle name="20% - Accent2 4 2 2 2 2 8 2" xfId="11124"/>
    <cellStyle name="20% - Accent2 4 2 2 2 2 9" xfId="11125"/>
    <cellStyle name="20% - Accent2 4 2 2 2 3" xfId="372"/>
    <cellStyle name="20% - Accent2 4 2 2 2 3 2" xfId="11126"/>
    <cellStyle name="20% - Accent2 4 2 2 2 3 2 2" xfId="11127"/>
    <cellStyle name="20% - Accent2 4 2 2 2 3 2 2 2" xfId="11128"/>
    <cellStyle name="20% - Accent2 4 2 2 2 3 2 2 3" xfId="11129"/>
    <cellStyle name="20% - Accent2 4 2 2 2 3 2 3" xfId="11130"/>
    <cellStyle name="20% - Accent2 4 2 2 2 3 2 3 2" xfId="11131"/>
    <cellStyle name="20% - Accent2 4 2 2 2 3 2 3 3" xfId="11132"/>
    <cellStyle name="20% - Accent2 4 2 2 2 3 2 4" xfId="11133"/>
    <cellStyle name="20% - Accent2 4 2 2 2 3 2 4 2" xfId="11134"/>
    <cellStyle name="20% - Accent2 4 2 2 2 3 2 5" xfId="11135"/>
    <cellStyle name="20% - Accent2 4 2 2 2 3 2 6" xfId="11136"/>
    <cellStyle name="20% - Accent2 4 2 2 2 3 3" xfId="11137"/>
    <cellStyle name="20% - Accent2 4 2 2 2 3 3 2" xfId="11138"/>
    <cellStyle name="20% - Accent2 4 2 2 2 3 3 2 2" xfId="11139"/>
    <cellStyle name="20% - Accent2 4 2 2 2 3 3 2 3" xfId="11140"/>
    <cellStyle name="20% - Accent2 4 2 2 2 3 3 3" xfId="11141"/>
    <cellStyle name="20% - Accent2 4 2 2 2 3 3 3 2" xfId="11142"/>
    <cellStyle name="20% - Accent2 4 2 2 2 3 3 3 3" xfId="11143"/>
    <cellStyle name="20% - Accent2 4 2 2 2 3 3 4" xfId="11144"/>
    <cellStyle name="20% - Accent2 4 2 2 2 3 3 4 2" xfId="11145"/>
    <cellStyle name="20% - Accent2 4 2 2 2 3 3 5" xfId="11146"/>
    <cellStyle name="20% - Accent2 4 2 2 2 3 3 6" xfId="11147"/>
    <cellStyle name="20% - Accent2 4 2 2 2 3 4" xfId="11148"/>
    <cellStyle name="20% - Accent2 4 2 2 2 3 4 2" xfId="11149"/>
    <cellStyle name="20% - Accent2 4 2 2 2 3 4 2 2" xfId="11150"/>
    <cellStyle name="20% - Accent2 4 2 2 2 3 4 2 3" xfId="11151"/>
    <cellStyle name="20% - Accent2 4 2 2 2 3 4 3" xfId="11152"/>
    <cellStyle name="20% - Accent2 4 2 2 2 3 4 3 2" xfId="11153"/>
    <cellStyle name="20% - Accent2 4 2 2 2 3 4 4" xfId="11154"/>
    <cellStyle name="20% - Accent2 4 2 2 2 3 4 5" xfId="11155"/>
    <cellStyle name="20% - Accent2 4 2 2 2 3 5" xfId="11156"/>
    <cellStyle name="20% - Accent2 4 2 2 2 3 5 2" xfId="11157"/>
    <cellStyle name="20% - Accent2 4 2 2 2 3 5 3" xfId="11158"/>
    <cellStyle name="20% - Accent2 4 2 2 2 3 6" xfId="11159"/>
    <cellStyle name="20% - Accent2 4 2 2 2 3 6 2" xfId="11160"/>
    <cellStyle name="20% - Accent2 4 2 2 2 3 6 3" xfId="11161"/>
    <cellStyle name="20% - Accent2 4 2 2 2 3 7" xfId="11162"/>
    <cellStyle name="20% - Accent2 4 2 2 2 3 7 2" xfId="11163"/>
    <cellStyle name="20% - Accent2 4 2 2 2 3 8" xfId="11164"/>
    <cellStyle name="20% - Accent2 4 2 2 2 3 9" xfId="11165"/>
    <cellStyle name="20% - Accent2 4 2 2 2 4" xfId="11166"/>
    <cellStyle name="20% - Accent2 4 2 2 2 4 2" xfId="11167"/>
    <cellStyle name="20% - Accent2 4 2 2 2 4 2 2" xfId="11168"/>
    <cellStyle name="20% - Accent2 4 2 2 2 4 2 2 2" xfId="11169"/>
    <cellStyle name="20% - Accent2 4 2 2 2 4 2 2 3" xfId="11170"/>
    <cellStyle name="20% - Accent2 4 2 2 2 4 2 3" xfId="11171"/>
    <cellStyle name="20% - Accent2 4 2 2 2 4 2 3 2" xfId="11172"/>
    <cellStyle name="20% - Accent2 4 2 2 2 4 2 3 3" xfId="11173"/>
    <cellStyle name="20% - Accent2 4 2 2 2 4 2 4" xfId="11174"/>
    <cellStyle name="20% - Accent2 4 2 2 2 4 2 4 2" xfId="11175"/>
    <cellStyle name="20% - Accent2 4 2 2 2 4 2 5" xfId="11176"/>
    <cellStyle name="20% - Accent2 4 2 2 2 4 2 6" xfId="11177"/>
    <cellStyle name="20% - Accent2 4 2 2 2 4 3" xfId="11178"/>
    <cellStyle name="20% - Accent2 4 2 2 2 4 3 2" xfId="11179"/>
    <cellStyle name="20% - Accent2 4 2 2 2 4 3 2 2" xfId="11180"/>
    <cellStyle name="20% - Accent2 4 2 2 2 4 3 2 3" xfId="11181"/>
    <cellStyle name="20% - Accent2 4 2 2 2 4 3 3" xfId="11182"/>
    <cellStyle name="20% - Accent2 4 2 2 2 4 3 3 2" xfId="11183"/>
    <cellStyle name="20% - Accent2 4 2 2 2 4 3 3 3" xfId="11184"/>
    <cellStyle name="20% - Accent2 4 2 2 2 4 3 4" xfId="11185"/>
    <cellStyle name="20% - Accent2 4 2 2 2 4 3 4 2" xfId="11186"/>
    <cellStyle name="20% - Accent2 4 2 2 2 4 3 5" xfId="11187"/>
    <cellStyle name="20% - Accent2 4 2 2 2 4 3 6" xfId="11188"/>
    <cellStyle name="20% - Accent2 4 2 2 2 4 4" xfId="11189"/>
    <cellStyle name="20% - Accent2 4 2 2 2 4 4 2" xfId="11190"/>
    <cellStyle name="20% - Accent2 4 2 2 2 4 4 2 2" xfId="11191"/>
    <cellStyle name="20% - Accent2 4 2 2 2 4 4 2 3" xfId="11192"/>
    <cellStyle name="20% - Accent2 4 2 2 2 4 4 3" xfId="11193"/>
    <cellStyle name="20% - Accent2 4 2 2 2 4 4 3 2" xfId="11194"/>
    <cellStyle name="20% - Accent2 4 2 2 2 4 4 4" xfId="11195"/>
    <cellStyle name="20% - Accent2 4 2 2 2 4 4 5" xfId="11196"/>
    <cellStyle name="20% - Accent2 4 2 2 2 4 5" xfId="11197"/>
    <cellStyle name="20% - Accent2 4 2 2 2 4 5 2" xfId="11198"/>
    <cellStyle name="20% - Accent2 4 2 2 2 4 5 3" xfId="11199"/>
    <cellStyle name="20% - Accent2 4 2 2 2 4 6" xfId="11200"/>
    <cellStyle name="20% - Accent2 4 2 2 2 4 6 2" xfId="11201"/>
    <cellStyle name="20% - Accent2 4 2 2 2 4 6 3" xfId="11202"/>
    <cellStyle name="20% - Accent2 4 2 2 2 4 7" xfId="11203"/>
    <cellStyle name="20% - Accent2 4 2 2 2 4 7 2" xfId="11204"/>
    <cellStyle name="20% - Accent2 4 2 2 2 4 8" xfId="11205"/>
    <cellStyle name="20% - Accent2 4 2 2 2 4 9" xfId="11206"/>
    <cellStyle name="20% - Accent2 4 2 2 2 5" xfId="11207"/>
    <cellStyle name="20% - Accent2 4 2 2 2 5 2" xfId="11208"/>
    <cellStyle name="20% - Accent2 4 2 2 2 5 2 2" xfId="11209"/>
    <cellStyle name="20% - Accent2 4 2 2 2 5 2 3" xfId="11210"/>
    <cellStyle name="20% - Accent2 4 2 2 2 5 3" xfId="11211"/>
    <cellStyle name="20% - Accent2 4 2 2 2 5 3 2" xfId="11212"/>
    <cellStyle name="20% - Accent2 4 2 2 2 5 3 3" xfId="11213"/>
    <cellStyle name="20% - Accent2 4 2 2 2 5 4" xfId="11214"/>
    <cellStyle name="20% - Accent2 4 2 2 2 5 4 2" xfId="11215"/>
    <cellStyle name="20% - Accent2 4 2 2 2 5 5" xfId="11216"/>
    <cellStyle name="20% - Accent2 4 2 2 2 5 6" xfId="11217"/>
    <cellStyle name="20% - Accent2 4 2 2 2 6" xfId="11218"/>
    <cellStyle name="20% - Accent2 4 2 2 2 6 2" xfId="11219"/>
    <cellStyle name="20% - Accent2 4 2 2 2 6 2 2" xfId="11220"/>
    <cellStyle name="20% - Accent2 4 2 2 2 6 2 3" xfId="11221"/>
    <cellStyle name="20% - Accent2 4 2 2 2 6 3" xfId="11222"/>
    <cellStyle name="20% - Accent2 4 2 2 2 6 3 2" xfId="11223"/>
    <cellStyle name="20% - Accent2 4 2 2 2 6 3 3" xfId="11224"/>
    <cellStyle name="20% - Accent2 4 2 2 2 6 4" xfId="11225"/>
    <cellStyle name="20% - Accent2 4 2 2 2 6 4 2" xfId="11226"/>
    <cellStyle name="20% - Accent2 4 2 2 2 6 5" xfId="11227"/>
    <cellStyle name="20% - Accent2 4 2 2 2 6 6" xfId="11228"/>
    <cellStyle name="20% - Accent2 4 2 2 2 7" xfId="11229"/>
    <cellStyle name="20% - Accent2 4 2 2 2 7 2" xfId="11230"/>
    <cellStyle name="20% - Accent2 4 2 2 2 7 2 2" xfId="11231"/>
    <cellStyle name="20% - Accent2 4 2 2 2 7 2 3" xfId="11232"/>
    <cellStyle name="20% - Accent2 4 2 2 2 7 3" xfId="11233"/>
    <cellStyle name="20% - Accent2 4 2 2 2 7 3 2" xfId="11234"/>
    <cellStyle name="20% - Accent2 4 2 2 2 7 4" xfId="11235"/>
    <cellStyle name="20% - Accent2 4 2 2 2 7 5" xfId="11236"/>
    <cellStyle name="20% - Accent2 4 2 2 2 8" xfId="11237"/>
    <cellStyle name="20% - Accent2 4 2 2 2 8 2" xfId="11238"/>
    <cellStyle name="20% - Accent2 4 2 2 2 8 3" xfId="11239"/>
    <cellStyle name="20% - Accent2 4 2 2 2 9" xfId="11240"/>
    <cellStyle name="20% - Accent2 4 2 2 2 9 2" xfId="11241"/>
    <cellStyle name="20% - Accent2 4 2 2 2 9 3" xfId="11242"/>
    <cellStyle name="20% - Accent2 4 2 2 3" xfId="373"/>
    <cellStyle name="20% - Accent2 4 2 2 3 10" xfId="11243"/>
    <cellStyle name="20% - Accent2 4 2 2 3 2" xfId="374"/>
    <cellStyle name="20% - Accent2 4 2 2 3 2 2" xfId="11244"/>
    <cellStyle name="20% - Accent2 4 2 2 3 2 2 2" xfId="11245"/>
    <cellStyle name="20% - Accent2 4 2 2 3 2 2 2 2" xfId="11246"/>
    <cellStyle name="20% - Accent2 4 2 2 3 2 2 2 3" xfId="11247"/>
    <cellStyle name="20% - Accent2 4 2 2 3 2 2 3" xfId="11248"/>
    <cellStyle name="20% - Accent2 4 2 2 3 2 2 3 2" xfId="11249"/>
    <cellStyle name="20% - Accent2 4 2 2 3 2 2 3 3" xfId="11250"/>
    <cellStyle name="20% - Accent2 4 2 2 3 2 2 4" xfId="11251"/>
    <cellStyle name="20% - Accent2 4 2 2 3 2 2 4 2" xfId="11252"/>
    <cellStyle name="20% - Accent2 4 2 2 3 2 2 5" xfId="11253"/>
    <cellStyle name="20% - Accent2 4 2 2 3 2 2 6" xfId="11254"/>
    <cellStyle name="20% - Accent2 4 2 2 3 2 3" xfId="11255"/>
    <cellStyle name="20% - Accent2 4 2 2 3 2 3 2" xfId="11256"/>
    <cellStyle name="20% - Accent2 4 2 2 3 2 3 2 2" xfId="11257"/>
    <cellStyle name="20% - Accent2 4 2 2 3 2 3 2 3" xfId="11258"/>
    <cellStyle name="20% - Accent2 4 2 2 3 2 3 3" xfId="11259"/>
    <cellStyle name="20% - Accent2 4 2 2 3 2 3 3 2" xfId="11260"/>
    <cellStyle name="20% - Accent2 4 2 2 3 2 3 3 3" xfId="11261"/>
    <cellStyle name="20% - Accent2 4 2 2 3 2 3 4" xfId="11262"/>
    <cellStyle name="20% - Accent2 4 2 2 3 2 3 4 2" xfId="11263"/>
    <cellStyle name="20% - Accent2 4 2 2 3 2 3 5" xfId="11264"/>
    <cellStyle name="20% - Accent2 4 2 2 3 2 3 6" xfId="11265"/>
    <cellStyle name="20% - Accent2 4 2 2 3 2 4" xfId="11266"/>
    <cellStyle name="20% - Accent2 4 2 2 3 2 4 2" xfId="11267"/>
    <cellStyle name="20% - Accent2 4 2 2 3 2 4 2 2" xfId="11268"/>
    <cellStyle name="20% - Accent2 4 2 2 3 2 4 2 3" xfId="11269"/>
    <cellStyle name="20% - Accent2 4 2 2 3 2 4 3" xfId="11270"/>
    <cellStyle name="20% - Accent2 4 2 2 3 2 4 3 2" xfId="11271"/>
    <cellStyle name="20% - Accent2 4 2 2 3 2 4 4" xfId="11272"/>
    <cellStyle name="20% - Accent2 4 2 2 3 2 4 5" xfId="11273"/>
    <cellStyle name="20% - Accent2 4 2 2 3 2 5" xfId="11274"/>
    <cellStyle name="20% - Accent2 4 2 2 3 2 5 2" xfId="11275"/>
    <cellStyle name="20% - Accent2 4 2 2 3 2 5 3" xfId="11276"/>
    <cellStyle name="20% - Accent2 4 2 2 3 2 6" xfId="11277"/>
    <cellStyle name="20% - Accent2 4 2 2 3 2 6 2" xfId="11278"/>
    <cellStyle name="20% - Accent2 4 2 2 3 2 6 3" xfId="11279"/>
    <cellStyle name="20% - Accent2 4 2 2 3 2 7" xfId="11280"/>
    <cellStyle name="20% - Accent2 4 2 2 3 2 7 2" xfId="11281"/>
    <cellStyle name="20% - Accent2 4 2 2 3 2 8" xfId="11282"/>
    <cellStyle name="20% - Accent2 4 2 2 3 2 9" xfId="11283"/>
    <cellStyle name="20% - Accent2 4 2 2 3 3" xfId="11284"/>
    <cellStyle name="20% - Accent2 4 2 2 3 3 2" xfId="11285"/>
    <cellStyle name="20% - Accent2 4 2 2 3 3 2 2" xfId="11286"/>
    <cellStyle name="20% - Accent2 4 2 2 3 3 2 3" xfId="11287"/>
    <cellStyle name="20% - Accent2 4 2 2 3 3 3" xfId="11288"/>
    <cellStyle name="20% - Accent2 4 2 2 3 3 3 2" xfId="11289"/>
    <cellStyle name="20% - Accent2 4 2 2 3 3 3 3" xfId="11290"/>
    <cellStyle name="20% - Accent2 4 2 2 3 3 4" xfId="11291"/>
    <cellStyle name="20% - Accent2 4 2 2 3 3 4 2" xfId="11292"/>
    <cellStyle name="20% - Accent2 4 2 2 3 3 5" xfId="11293"/>
    <cellStyle name="20% - Accent2 4 2 2 3 3 6" xfId="11294"/>
    <cellStyle name="20% - Accent2 4 2 2 3 4" xfId="11295"/>
    <cellStyle name="20% - Accent2 4 2 2 3 4 2" xfId="11296"/>
    <cellStyle name="20% - Accent2 4 2 2 3 4 2 2" xfId="11297"/>
    <cellStyle name="20% - Accent2 4 2 2 3 4 2 3" xfId="11298"/>
    <cellStyle name="20% - Accent2 4 2 2 3 4 3" xfId="11299"/>
    <cellStyle name="20% - Accent2 4 2 2 3 4 3 2" xfId="11300"/>
    <cellStyle name="20% - Accent2 4 2 2 3 4 3 3" xfId="11301"/>
    <cellStyle name="20% - Accent2 4 2 2 3 4 4" xfId="11302"/>
    <cellStyle name="20% - Accent2 4 2 2 3 4 4 2" xfId="11303"/>
    <cellStyle name="20% - Accent2 4 2 2 3 4 5" xfId="11304"/>
    <cellStyle name="20% - Accent2 4 2 2 3 4 6" xfId="11305"/>
    <cellStyle name="20% - Accent2 4 2 2 3 5" xfId="11306"/>
    <cellStyle name="20% - Accent2 4 2 2 3 5 2" xfId="11307"/>
    <cellStyle name="20% - Accent2 4 2 2 3 5 2 2" xfId="11308"/>
    <cellStyle name="20% - Accent2 4 2 2 3 5 2 3" xfId="11309"/>
    <cellStyle name="20% - Accent2 4 2 2 3 5 3" xfId="11310"/>
    <cellStyle name="20% - Accent2 4 2 2 3 5 3 2" xfId="11311"/>
    <cellStyle name="20% - Accent2 4 2 2 3 5 4" xfId="11312"/>
    <cellStyle name="20% - Accent2 4 2 2 3 5 5" xfId="11313"/>
    <cellStyle name="20% - Accent2 4 2 2 3 6" xfId="11314"/>
    <cellStyle name="20% - Accent2 4 2 2 3 6 2" xfId="11315"/>
    <cellStyle name="20% - Accent2 4 2 2 3 6 3" xfId="11316"/>
    <cellStyle name="20% - Accent2 4 2 2 3 7" xfId="11317"/>
    <cellStyle name="20% - Accent2 4 2 2 3 7 2" xfId="11318"/>
    <cellStyle name="20% - Accent2 4 2 2 3 7 3" xfId="11319"/>
    <cellStyle name="20% - Accent2 4 2 2 3 8" xfId="11320"/>
    <cellStyle name="20% - Accent2 4 2 2 3 8 2" xfId="11321"/>
    <cellStyle name="20% - Accent2 4 2 2 3 9" xfId="11322"/>
    <cellStyle name="20% - Accent2 4 2 2 4" xfId="375"/>
    <cellStyle name="20% - Accent2 4 2 2 4 2" xfId="11323"/>
    <cellStyle name="20% - Accent2 4 2 2 4 2 2" xfId="11324"/>
    <cellStyle name="20% - Accent2 4 2 2 4 2 2 2" xfId="11325"/>
    <cellStyle name="20% - Accent2 4 2 2 4 2 2 3" xfId="11326"/>
    <cellStyle name="20% - Accent2 4 2 2 4 2 3" xfId="11327"/>
    <cellStyle name="20% - Accent2 4 2 2 4 2 3 2" xfId="11328"/>
    <cellStyle name="20% - Accent2 4 2 2 4 2 3 3" xfId="11329"/>
    <cellStyle name="20% - Accent2 4 2 2 4 2 4" xfId="11330"/>
    <cellStyle name="20% - Accent2 4 2 2 4 2 4 2" xfId="11331"/>
    <cellStyle name="20% - Accent2 4 2 2 4 2 5" xfId="11332"/>
    <cellStyle name="20% - Accent2 4 2 2 4 2 6" xfId="11333"/>
    <cellStyle name="20% - Accent2 4 2 2 4 3" xfId="11334"/>
    <cellStyle name="20% - Accent2 4 2 2 4 3 2" xfId="11335"/>
    <cellStyle name="20% - Accent2 4 2 2 4 3 2 2" xfId="11336"/>
    <cellStyle name="20% - Accent2 4 2 2 4 3 2 3" xfId="11337"/>
    <cellStyle name="20% - Accent2 4 2 2 4 3 3" xfId="11338"/>
    <cellStyle name="20% - Accent2 4 2 2 4 3 3 2" xfId="11339"/>
    <cellStyle name="20% - Accent2 4 2 2 4 3 3 3" xfId="11340"/>
    <cellStyle name="20% - Accent2 4 2 2 4 3 4" xfId="11341"/>
    <cellStyle name="20% - Accent2 4 2 2 4 3 4 2" xfId="11342"/>
    <cellStyle name="20% - Accent2 4 2 2 4 3 5" xfId="11343"/>
    <cellStyle name="20% - Accent2 4 2 2 4 3 6" xfId="11344"/>
    <cellStyle name="20% - Accent2 4 2 2 4 4" xfId="11345"/>
    <cellStyle name="20% - Accent2 4 2 2 4 4 2" xfId="11346"/>
    <cellStyle name="20% - Accent2 4 2 2 4 4 2 2" xfId="11347"/>
    <cellStyle name="20% - Accent2 4 2 2 4 4 2 3" xfId="11348"/>
    <cellStyle name="20% - Accent2 4 2 2 4 4 3" xfId="11349"/>
    <cellStyle name="20% - Accent2 4 2 2 4 4 3 2" xfId="11350"/>
    <cellStyle name="20% - Accent2 4 2 2 4 4 4" xfId="11351"/>
    <cellStyle name="20% - Accent2 4 2 2 4 4 5" xfId="11352"/>
    <cellStyle name="20% - Accent2 4 2 2 4 5" xfId="11353"/>
    <cellStyle name="20% - Accent2 4 2 2 4 5 2" xfId="11354"/>
    <cellStyle name="20% - Accent2 4 2 2 4 5 3" xfId="11355"/>
    <cellStyle name="20% - Accent2 4 2 2 4 6" xfId="11356"/>
    <cellStyle name="20% - Accent2 4 2 2 4 6 2" xfId="11357"/>
    <cellStyle name="20% - Accent2 4 2 2 4 6 3" xfId="11358"/>
    <cellStyle name="20% - Accent2 4 2 2 4 7" xfId="11359"/>
    <cellStyle name="20% - Accent2 4 2 2 4 7 2" xfId="11360"/>
    <cellStyle name="20% - Accent2 4 2 2 4 8" xfId="11361"/>
    <cellStyle name="20% - Accent2 4 2 2 4 9" xfId="11362"/>
    <cellStyle name="20% - Accent2 4 2 2 5" xfId="11363"/>
    <cellStyle name="20% - Accent2 4 2 2 5 2" xfId="11364"/>
    <cellStyle name="20% - Accent2 4 2 2 5 2 2" xfId="11365"/>
    <cellStyle name="20% - Accent2 4 2 2 5 2 2 2" xfId="11366"/>
    <cellStyle name="20% - Accent2 4 2 2 5 2 2 3" xfId="11367"/>
    <cellStyle name="20% - Accent2 4 2 2 5 2 3" xfId="11368"/>
    <cellStyle name="20% - Accent2 4 2 2 5 2 3 2" xfId="11369"/>
    <cellStyle name="20% - Accent2 4 2 2 5 2 3 3" xfId="11370"/>
    <cellStyle name="20% - Accent2 4 2 2 5 2 4" xfId="11371"/>
    <cellStyle name="20% - Accent2 4 2 2 5 2 4 2" xfId="11372"/>
    <cellStyle name="20% - Accent2 4 2 2 5 2 5" xfId="11373"/>
    <cellStyle name="20% - Accent2 4 2 2 5 2 6" xfId="11374"/>
    <cellStyle name="20% - Accent2 4 2 2 5 3" xfId="11375"/>
    <cellStyle name="20% - Accent2 4 2 2 5 3 2" xfId="11376"/>
    <cellStyle name="20% - Accent2 4 2 2 5 3 2 2" xfId="11377"/>
    <cellStyle name="20% - Accent2 4 2 2 5 3 2 3" xfId="11378"/>
    <cellStyle name="20% - Accent2 4 2 2 5 3 3" xfId="11379"/>
    <cellStyle name="20% - Accent2 4 2 2 5 3 3 2" xfId="11380"/>
    <cellStyle name="20% - Accent2 4 2 2 5 3 3 3" xfId="11381"/>
    <cellStyle name="20% - Accent2 4 2 2 5 3 4" xfId="11382"/>
    <cellStyle name="20% - Accent2 4 2 2 5 3 4 2" xfId="11383"/>
    <cellStyle name="20% - Accent2 4 2 2 5 3 5" xfId="11384"/>
    <cellStyle name="20% - Accent2 4 2 2 5 3 6" xfId="11385"/>
    <cellStyle name="20% - Accent2 4 2 2 5 4" xfId="11386"/>
    <cellStyle name="20% - Accent2 4 2 2 5 4 2" xfId="11387"/>
    <cellStyle name="20% - Accent2 4 2 2 5 4 2 2" xfId="11388"/>
    <cellStyle name="20% - Accent2 4 2 2 5 4 2 3" xfId="11389"/>
    <cellStyle name="20% - Accent2 4 2 2 5 4 3" xfId="11390"/>
    <cellStyle name="20% - Accent2 4 2 2 5 4 3 2" xfId="11391"/>
    <cellStyle name="20% - Accent2 4 2 2 5 4 4" xfId="11392"/>
    <cellStyle name="20% - Accent2 4 2 2 5 4 5" xfId="11393"/>
    <cellStyle name="20% - Accent2 4 2 2 5 5" xfId="11394"/>
    <cellStyle name="20% - Accent2 4 2 2 5 5 2" xfId="11395"/>
    <cellStyle name="20% - Accent2 4 2 2 5 5 3" xfId="11396"/>
    <cellStyle name="20% - Accent2 4 2 2 5 6" xfId="11397"/>
    <cellStyle name="20% - Accent2 4 2 2 5 6 2" xfId="11398"/>
    <cellStyle name="20% - Accent2 4 2 2 5 6 3" xfId="11399"/>
    <cellStyle name="20% - Accent2 4 2 2 5 7" xfId="11400"/>
    <cellStyle name="20% - Accent2 4 2 2 5 7 2" xfId="11401"/>
    <cellStyle name="20% - Accent2 4 2 2 5 8" xfId="11402"/>
    <cellStyle name="20% - Accent2 4 2 2 5 9" xfId="11403"/>
    <cellStyle name="20% - Accent2 4 2 2 6" xfId="11404"/>
    <cellStyle name="20% - Accent2 4 2 2 6 2" xfId="11405"/>
    <cellStyle name="20% - Accent2 4 2 2 6 2 2" xfId="11406"/>
    <cellStyle name="20% - Accent2 4 2 2 6 2 3" xfId="11407"/>
    <cellStyle name="20% - Accent2 4 2 2 6 3" xfId="11408"/>
    <cellStyle name="20% - Accent2 4 2 2 6 3 2" xfId="11409"/>
    <cellStyle name="20% - Accent2 4 2 2 6 3 3" xfId="11410"/>
    <cellStyle name="20% - Accent2 4 2 2 6 4" xfId="11411"/>
    <cellStyle name="20% - Accent2 4 2 2 6 4 2" xfId="11412"/>
    <cellStyle name="20% - Accent2 4 2 2 6 5" xfId="11413"/>
    <cellStyle name="20% - Accent2 4 2 2 6 6" xfId="11414"/>
    <cellStyle name="20% - Accent2 4 2 2 7" xfId="11415"/>
    <cellStyle name="20% - Accent2 4 2 2 7 2" xfId="11416"/>
    <cellStyle name="20% - Accent2 4 2 2 7 2 2" xfId="11417"/>
    <cellStyle name="20% - Accent2 4 2 2 7 2 3" xfId="11418"/>
    <cellStyle name="20% - Accent2 4 2 2 7 3" xfId="11419"/>
    <cellStyle name="20% - Accent2 4 2 2 7 3 2" xfId="11420"/>
    <cellStyle name="20% - Accent2 4 2 2 7 3 3" xfId="11421"/>
    <cellStyle name="20% - Accent2 4 2 2 7 4" xfId="11422"/>
    <cellStyle name="20% - Accent2 4 2 2 7 4 2" xfId="11423"/>
    <cellStyle name="20% - Accent2 4 2 2 7 5" xfId="11424"/>
    <cellStyle name="20% - Accent2 4 2 2 7 6" xfId="11425"/>
    <cellStyle name="20% - Accent2 4 2 2 8" xfId="11426"/>
    <cellStyle name="20% - Accent2 4 2 2 8 2" xfId="11427"/>
    <cellStyle name="20% - Accent2 4 2 2 8 2 2" xfId="11428"/>
    <cellStyle name="20% - Accent2 4 2 2 8 2 3" xfId="11429"/>
    <cellStyle name="20% - Accent2 4 2 2 8 3" xfId="11430"/>
    <cellStyle name="20% - Accent2 4 2 2 8 3 2" xfId="11431"/>
    <cellStyle name="20% - Accent2 4 2 2 8 4" xfId="11432"/>
    <cellStyle name="20% - Accent2 4 2 2 8 5" xfId="11433"/>
    <cellStyle name="20% - Accent2 4 2 2 9" xfId="11434"/>
    <cellStyle name="20% - Accent2 4 2 2 9 2" xfId="11435"/>
    <cellStyle name="20% - Accent2 4 2 2 9 3" xfId="11436"/>
    <cellStyle name="20% - Accent2 4 2 3" xfId="376"/>
    <cellStyle name="20% - Accent2 4 2 3 10" xfId="11437"/>
    <cellStyle name="20% - Accent2 4 2 3 10 2" xfId="11438"/>
    <cellStyle name="20% - Accent2 4 2 3 11" xfId="11439"/>
    <cellStyle name="20% - Accent2 4 2 3 12" xfId="11440"/>
    <cellStyle name="20% - Accent2 4 2 3 2" xfId="377"/>
    <cellStyle name="20% - Accent2 4 2 3 2 10" xfId="11441"/>
    <cellStyle name="20% - Accent2 4 2 3 2 2" xfId="378"/>
    <cellStyle name="20% - Accent2 4 2 3 2 2 2" xfId="11442"/>
    <cellStyle name="20% - Accent2 4 2 3 2 2 2 2" xfId="11443"/>
    <cellStyle name="20% - Accent2 4 2 3 2 2 2 2 2" xfId="11444"/>
    <cellStyle name="20% - Accent2 4 2 3 2 2 2 2 3" xfId="11445"/>
    <cellStyle name="20% - Accent2 4 2 3 2 2 2 3" xfId="11446"/>
    <cellStyle name="20% - Accent2 4 2 3 2 2 2 3 2" xfId="11447"/>
    <cellStyle name="20% - Accent2 4 2 3 2 2 2 3 3" xfId="11448"/>
    <cellStyle name="20% - Accent2 4 2 3 2 2 2 4" xfId="11449"/>
    <cellStyle name="20% - Accent2 4 2 3 2 2 2 4 2" xfId="11450"/>
    <cellStyle name="20% - Accent2 4 2 3 2 2 2 5" xfId="11451"/>
    <cellStyle name="20% - Accent2 4 2 3 2 2 2 6" xfId="11452"/>
    <cellStyle name="20% - Accent2 4 2 3 2 2 3" xfId="11453"/>
    <cellStyle name="20% - Accent2 4 2 3 2 2 3 2" xfId="11454"/>
    <cellStyle name="20% - Accent2 4 2 3 2 2 3 2 2" xfId="11455"/>
    <cellStyle name="20% - Accent2 4 2 3 2 2 3 2 3" xfId="11456"/>
    <cellStyle name="20% - Accent2 4 2 3 2 2 3 3" xfId="11457"/>
    <cellStyle name="20% - Accent2 4 2 3 2 2 3 3 2" xfId="11458"/>
    <cellStyle name="20% - Accent2 4 2 3 2 2 3 3 3" xfId="11459"/>
    <cellStyle name="20% - Accent2 4 2 3 2 2 3 4" xfId="11460"/>
    <cellStyle name="20% - Accent2 4 2 3 2 2 3 4 2" xfId="11461"/>
    <cellStyle name="20% - Accent2 4 2 3 2 2 3 5" xfId="11462"/>
    <cellStyle name="20% - Accent2 4 2 3 2 2 3 6" xfId="11463"/>
    <cellStyle name="20% - Accent2 4 2 3 2 2 4" xfId="11464"/>
    <cellStyle name="20% - Accent2 4 2 3 2 2 4 2" xfId="11465"/>
    <cellStyle name="20% - Accent2 4 2 3 2 2 4 2 2" xfId="11466"/>
    <cellStyle name="20% - Accent2 4 2 3 2 2 4 2 3" xfId="11467"/>
    <cellStyle name="20% - Accent2 4 2 3 2 2 4 3" xfId="11468"/>
    <cellStyle name="20% - Accent2 4 2 3 2 2 4 3 2" xfId="11469"/>
    <cellStyle name="20% - Accent2 4 2 3 2 2 4 4" xfId="11470"/>
    <cellStyle name="20% - Accent2 4 2 3 2 2 4 5" xfId="11471"/>
    <cellStyle name="20% - Accent2 4 2 3 2 2 5" xfId="11472"/>
    <cellStyle name="20% - Accent2 4 2 3 2 2 5 2" xfId="11473"/>
    <cellStyle name="20% - Accent2 4 2 3 2 2 5 3" xfId="11474"/>
    <cellStyle name="20% - Accent2 4 2 3 2 2 6" xfId="11475"/>
    <cellStyle name="20% - Accent2 4 2 3 2 2 6 2" xfId="11476"/>
    <cellStyle name="20% - Accent2 4 2 3 2 2 6 3" xfId="11477"/>
    <cellStyle name="20% - Accent2 4 2 3 2 2 7" xfId="11478"/>
    <cellStyle name="20% - Accent2 4 2 3 2 2 7 2" xfId="11479"/>
    <cellStyle name="20% - Accent2 4 2 3 2 2 8" xfId="11480"/>
    <cellStyle name="20% - Accent2 4 2 3 2 2 9" xfId="11481"/>
    <cellStyle name="20% - Accent2 4 2 3 2 3" xfId="11482"/>
    <cellStyle name="20% - Accent2 4 2 3 2 3 2" xfId="11483"/>
    <cellStyle name="20% - Accent2 4 2 3 2 3 2 2" xfId="11484"/>
    <cellStyle name="20% - Accent2 4 2 3 2 3 2 3" xfId="11485"/>
    <cellStyle name="20% - Accent2 4 2 3 2 3 3" xfId="11486"/>
    <cellStyle name="20% - Accent2 4 2 3 2 3 3 2" xfId="11487"/>
    <cellStyle name="20% - Accent2 4 2 3 2 3 3 3" xfId="11488"/>
    <cellStyle name="20% - Accent2 4 2 3 2 3 4" xfId="11489"/>
    <cellStyle name="20% - Accent2 4 2 3 2 3 4 2" xfId="11490"/>
    <cellStyle name="20% - Accent2 4 2 3 2 3 5" xfId="11491"/>
    <cellStyle name="20% - Accent2 4 2 3 2 3 6" xfId="11492"/>
    <cellStyle name="20% - Accent2 4 2 3 2 4" xfId="11493"/>
    <cellStyle name="20% - Accent2 4 2 3 2 4 2" xfId="11494"/>
    <cellStyle name="20% - Accent2 4 2 3 2 4 2 2" xfId="11495"/>
    <cellStyle name="20% - Accent2 4 2 3 2 4 2 3" xfId="11496"/>
    <cellStyle name="20% - Accent2 4 2 3 2 4 3" xfId="11497"/>
    <cellStyle name="20% - Accent2 4 2 3 2 4 3 2" xfId="11498"/>
    <cellStyle name="20% - Accent2 4 2 3 2 4 3 3" xfId="11499"/>
    <cellStyle name="20% - Accent2 4 2 3 2 4 4" xfId="11500"/>
    <cellStyle name="20% - Accent2 4 2 3 2 4 4 2" xfId="11501"/>
    <cellStyle name="20% - Accent2 4 2 3 2 4 5" xfId="11502"/>
    <cellStyle name="20% - Accent2 4 2 3 2 4 6" xfId="11503"/>
    <cellStyle name="20% - Accent2 4 2 3 2 5" xfId="11504"/>
    <cellStyle name="20% - Accent2 4 2 3 2 5 2" xfId="11505"/>
    <cellStyle name="20% - Accent2 4 2 3 2 5 2 2" xfId="11506"/>
    <cellStyle name="20% - Accent2 4 2 3 2 5 2 3" xfId="11507"/>
    <cellStyle name="20% - Accent2 4 2 3 2 5 3" xfId="11508"/>
    <cellStyle name="20% - Accent2 4 2 3 2 5 3 2" xfId="11509"/>
    <cellStyle name="20% - Accent2 4 2 3 2 5 4" xfId="11510"/>
    <cellStyle name="20% - Accent2 4 2 3 2 5 5" xfId="11511"/>
    <cellStyle name="20% - Accent2 4 2 3 2 6" xfId="11512"/>
    <cellStyle name="20% - Accent2 4 2 3 2 6 2" xfId="11513"/>
    <cellStyle name="20% - Accent2 4 2 3 2 6 3" xfId="11514"/>
    <cellStyle name="20% - Accent2 4 2 3 2 7" xfId="11515"/>
    <cellStyle name="20% - Accent2 4 2 3 2 7 2" xfId="11516"/>
    <cellStyle name="20% - Accent2 4 2 3 2 7 3" xfId="11517"/>
    <cellStyle name="20% - Accent2 4 2 3 2 8" xfId="11518"/>
    <cellStyle name="20% - Accent2 4 2 3 2 8 2" xfId="11519"/>
    <cellStyle name="20% - Accent2 4 2 3 2 9" xfId="11520"/>
    <cellStyle name="20% - Accent2 4 2 3 3" xfId="379"/>
    <cellStyle name="20% - Accent2 4 2 3 3 2" xfId="11521"/>
    <cellStyle name="20% - Accent2 4 2 3 3 2 2" xfId="11522"/>
    <cellStyle name="20% - Accent2 4 2 3 3 2 2 2" xfId="11523"/>
    <cellStyle name="20% - Accent2 4 2 3 3 2 2 3" xfId="11524"/>
    <cellStyle name="20% - Accent2 4 2 3 3 2 3" xfId="11525"/>
    <cellStyle name="20% - Accent2 4 2 3 3 2 3 2" xfId="11526"/>
    <cellStyle name="20% - Accent2 4 2 3 3 2 3 3" xfId="11527"/>
    <cellStyle name="20% - Accent2 4 2 3 3 2 4" xfId="11528"/>
    <cellStyle name="20% - Accent2 4 2 3 3 2 4 2" xfId="11529"/>
    <cellStyle name="20% - Accent2 4 2 3 3 2 5" xfId="11530"/>
    <cellStyle name="20% - Accent2 4 2 3 3 2 6" xfId="11531"/>
    <cellStyle name="20% - Accent2 4 2 3 3 3" xfId="11532"/>
    <cellStyle name="20% - Accent2 4 2 3 3 3 2" xfId="11533"/>
    <cellStyle name="20% - Accent2 4 2 3 3 3 2 2" xfId="11534"/>
    <cellStyle name="20% - Accent2 4 2 3 3 3 2 3" xfId="11535"/>
    <cellStyle name="20% - Accent2 4 2 3 3 3 3" xfId="11536"/>
    <cellStyle name="20% - Accent2 4 2 3 3 3 3 2" xfId="11537"/>
    <cellStyle name="20% - Accent2 4 2 3 3 3 3 3" xfId="11538"/>
    <cellStyle name="20% - Accent2 4 2 3 3 3 4" xfId="11539"/>
    <cellStyle name="20% - Accent2 4 2 3 3 3 4 2" xfId="11540"/>
    <cellStyle name="20% - Accent2 4 2 3 3 3 5" xfId="11541"/>
    <cellStyle name="20% - Accent2 4 2 3 3 3 6" xfId="11542"/>
    <cellStyle name="20% - Accent2 4 2 3 3 4" xfId="11543"/>
    <cellStyle name="20% - Accent2 4 2 3 3 4 2" xfId="11544"/>
    <cellStyle name="20% - Accent2 4 2 3 3 4 2 2" xfId="11545"/>
    <cellStyle name="20% - Accent2 4 2 3 3 4 2 3" xfId="11546"/>
    <cellStyle name="20% - Accent2 4 2 3 3 4 3" xfId="11547"/>
    <cellStyle name="20% - Accent2 4 2 3 3 4 3 2" xfId="11548"/>
    <cellStyle name="20% - Accent2 4 2 3 3 4 4" xfId="11549"/>
    <cellStyle name="20% - Accent2 4 2 3 3 4 5" xfId="11550"/>
    <cellStyle name="20% - Accent2 4 2 3 3 5" xfId="11551"/>
    <cellStyle name="20% - Accent2 4 2 3 3 5 2" xfId="11552"/>
    <cellStyle name="20% - Accent2 4 2 3 3 5 3" xfId="11553"/>
    <cellStyle name="20% - Accent2 4 2 3 3 6" xfId="11554"/>
    <cellStyle name="20% - Accent2 4 2 3 3 6 2" xfId="11555"/>
    <cellStyle name="20% - Accent2 4 2 3 3 6 3" xfId="11556"/>
    <cellStyle name="20% - Accent2 4 2 3 3 7" xfId="11557"/>
    <cellStyle name="20% - Accent2 4 2 3 3 7 2" xfId="11558"/>
    <cellStyle name="20% - Accent2 4 2 3 3 8" xfId="11559"/>
    <cellStyle name="20% - Accent2 4 2 3 3 9" xfId="11560"/>
    <cellStyle name="20% - Accent2 4 2 3 4" xfId="11561"/>
    <cellStyle name="20% - Accent2 4 2 3 4 2" xfId="11562"/>
    <cellStyle name="20% - Accent2 4 2 3 4 2 2" xfId="11563"/>
    <cellStyle name="20% - Accent2 4 2 3 4 2 2 2" xfId="11564"/>
    <cellStyle name="20% - Accent2 4 2 3 4 2 2 3" xfId="11565"/>
    <cellStyle name="20% - Accent2 4 2 3 4 2 3" xfId="11566"/>
    <cellStyle name="20% - Accent2 4 2 3 4 2 3 2" xfId="11567"/>
    <cellStyle name="20% - Accent2 4 2 3 4 2 3 3" xfId="11568"/>
    <cellStyle name="20% - Accent2 4 2 3 4 2 4" xfId="11569"/>
    <cellStyle name="20% - Accent2 4 2 3 4 2 4 2" xfId="11570"/>
    <cellStyle name="20% - Accent2 4 2 3 4 2 5" xfId="11571"/>
    <cellStyle name="20% - Accent2 4 2 3 4 2 6" xfId="11572"/>
    <cellStyle name="20% - Accent2 4 2 3 4 3" xfId="11573"/>
    <cellStyle name="20% - Accent2 4 2 3 4 3 2" xfId="11574"/>
    <cellStyle name="20% - Accent2 4 2 3 4 3 2 2" xfId="11575"/>
    <cellStyle name="20% - Accent2 4 2 3 4 3 2 3" xfId="11576"/>
    <cellStyle name="20% - Accent2 4 2 3 4 3 3" xfId="11577"/>
    <cellStyle name="20% - Accent2 4 2 3 4 3 3 2" xfId="11578"/>
    <cellStyle name="20% - Accent2 4 2 3 4 3 3 3" xfId="11579"/>
    <cellStyle name="20% - Accent2 4 2 3 4 3 4" xfId="11580"/>
    <cellStyle name="20% - Accent2 4 2 3 4 3 4 2" xfId="11581"/>
    <cellStyle name="20% - Accent2 4 2 3 4 3 5" xfId="11582"/>
    <cellStyle name="20% - Accent2 4 2 3 4 3 6" xfId="11583"/>
    <cellStyle name="20% - Accent2 4 2 3 4 4" xfId="11584"/>
    <cellStyle name="20% - Accent2 4 2 3 4 4 2" xfId="11585"/>
    <cellStyle name="20% - Accent2 4 2 3 4 4 2 2" xfId="11586"/>
    <cellStyle name="20% - Accent2 4 2 3 4 4 2 3" xfId="11587"/>
    <cellStyle name="20% - Accent2 4 2 3 4 4 3" xfId="11588"/>
    <cellStyle name="20% - Accent2 4 2 3 4 4 3 2" xfId="11589"/>
    <cellStyle name="20% - Accent2 4 2 3 4 4 4" xfId="11590"/>
    <cellStyle name="20% - Accent2 4 2 3 4 4 5" xfId="11591"/>
    <cellStyle name="20% - Accent2 4 2 3 4 5" xfId="11592"/>
    <cellStyle name="20% - Accent2 4 2 3 4 5 2" xfId="11593"/>
    <cellStyle name="20% - Accent2 4 2 3 4 5 3" xfId="11594"/>
    <cellStyle name="20% - Accent2 4 2 3 4 6" xfId="11595"/>
    <cellStyle name="20% - Accent2 4 2 3 4 6 2" xfId="11596"/>
    <cellStyle name="20% - Accent2 4 2 3 4 6 3" xfId="11597"/>
    <cellStyle name="20% - Accent2 4 2 3 4 7" xfId="11598"/>
    <cellStyle name="20% - Accent2 4 2 3 4 7 2" xfId="11599"/>
    <cellStyle name="20% - Accent2 4 2 3 4 8" xfId="11600"/>
    <cellStyle name="20% - Accent2 4 2 3 4 9" xfId="11601"/>
    <cellStyle name="20% - Accent2 4 2 3 5" xfId="11602"/>
    <cellStyle name="20% - Accent2 4 2 3 5 2" xfId="11603"/>
    <cellStyle name="20% - Accent2 4 2 3 5 2 2" xfId="11604"/>
    <cellStyle name="20% - Accent2 4 2 3 5 2 3" xfId="11605"/>
    <cellStyle name="20% - Accent2 4 2 3 5 3" xfId="11606"/>
    <cellStyle name="20% - Accent2 4 2 3 5 3 2" xfId="11607"/>
    <cellStyle name="20% - Accent2 4 2 3 5 3 3" xfId="11608"/>
    <cellStyle name="20% - Accent2 4 2 3 5 4" xfId="11609"/>
    <cellStyle name="20% - Accent2 4 2 3 5 4 2" xfId="11610"/>
    <cellStyle name="20% - Accent2 4 2 3 5 5" xfId="11611"/>
    <cellStyle name="20% - Accent2 4 2 3 5 6" xfId="11612"/>
    <cellStyle name="20% - Accent2 4 2 3 6" xfId="11613"/>
    <cellStyle name="20% - Accent2 4 2 3 6 2" xfId="11614"/>
    <cellStyle name="20% - Accent2 4 2 3 6 2 2" xfId="11615"/>
    <cellStyle name="20% - Accent2 4 2 3 6 2 3" xfId="11616"/>
    <cellStyle name="20% - Accent2 4 2 3 6 3" xfId="11617"/>
    <cellStyle name="20% - Accent2 4 2 3 6 3 2" xfId="11618"/>
    <cellStyle name="20% - Accent2 4 2 3 6 3 3" xfId="11619"/>
    <cellStyle name="20% - Accent2 4 2 3 6 4" xfId="11620"/>
    <cellStyle name="20% - Accent2 4 2 3 6 4 2" xfId="11621"/>
    <cellStyle name="20% - Accent2 4 2 3 6 5" xfId="11622"/>
    <cellStyle name="20% - Accent2 4 2 3 6 6" xfId="11623"/>
    <cellStyle name="20% - Accent2 4 2 3 7" xfId="11624"/>
    <cellStyle name="20% - Accent2 4 2 3 7 2" xfId="11625"/>
    <cellStyle name="20% - Accent2 4 2 3 7 2 2" xfId="11626"/>
    <cellStyle name="20% - Accent2 4 2 3 7 2 3" xfId="11627"/>
    <cellStyle name="20% - Accent2 4 2 3 7 3" xfId="11628"/>
    <cellStyle name="20% - Accent2 4 2 3 7 3 2" xfId="11629"/>
    <cellStyle name="20% - Accent2 4 2 3 7 4" xfId="11630"/>
    <cellStyle name="20% - Accent2 4 2 3 7 5" xfId="11631"/>
    <cellStyle name="20% - Accent2 4 2 3 8" xfId="11632"/>
    <cellStyle name="20% - Accent2 4 2 3 8 2" xfId="11633"/>
    <cellStyle name="20% - Accent2 4 2 3 8 3" xfId="11634"/>
    <cellStyle name="20% - Accent2 4 2 3 9" xfId="11635"/>
    <cellStyle name="20% - Accent2 4 2 3 9 2" xfId="11636"/>
    <cellStyle name="20% - Accent2 4 2 3 9 3" xfId="11637"/>
    <cellStyle name="20% - Accent2 4 2 4" xfId="380"/>
    <cellStyle name="20% - Accent2 4 2 4 10" xfId="11638"/>
    <cellStyle name="20% - Accent2 4 2 4 2" xfId="381"/>
    <cellStyle name="20% - Accent2 4 2 4 2 2" xfId="11639"/>
    <cellStyle name="20% - Accent2 4 2 4 2 2 2" xfId="11640"/>
    <cellStyle name="20% - Accent2 4 2 4 2 2 2 2" xfId="11641"/>
    <cellStyle name="20% - Accent2 4 2 4 2 2 2 3" xfId="11642"/>
    <cellStyle name="20% - Accent2 4 2 4 2 2 3" xfId="11643"/>
    <cellStyle name="20% - Accent2 4 2 4 2 2 3 2" xfId="11644"/>
    <cellStyle name="20% - Accent2 4 2 4 2 2 3 3" xfId="11645"/>
    <cellStyle name="20% - Accent2 4 2 4 2 2 4" xfId="11646"/>
    <cellStyle name="20% - Accent2 4 2 4 2 2 4 2" xfId="11647"/>
    <cellStyle name="20% - Accent2 4 2 4 2 2 5" xfId="11648"/>
    <cellStyle name="20% - Accent2 4 2 4 2 2 6" xfId="11649"/>
    <cellStyle name="20% - Accent2 4 2 4 2 3" xfId="11650"/>
    <cellStyle name="20% - Accent2 4 2 4 2 3 2" xfId="11651"/>
    <cellStyle name="20% - Accent2 4 2 4 2 3 2 2" xfId="11652"/>
    <cellStyle name="20% - Accent2 4 2 4 2 3 2 3" xfId="11653"/>
    <cellStyle name="20% - Accent2 4 2 4 2 3 3" xfId="11654"/>
    <cellStyle name="20% - Accent2 4 2 4 2 3 3 2" xfId="11655"/>
    <cellStyle name="20% - Accent2 4 2 4 2 3 3 3" xfId="11656"/>
    <cellStyle name="20% - Accent2 4 2 4 2 3 4" xfId="11657"/>
    <cellStyle name="20% - Accent2 4 2 4 2 3 4 2" xfId="11658"/>
    <cellStyle name="20% - Accent2 4 2 4 2 3 5" xfId="11659"/>
    <cellStyle name="20% - Accent2 4 2 4 2 3 6" xfId="11660"/>
    <cellStyle name="20% - Accent2 4 2 4 2 4" xfId="11661"/>
    <cellStyle name="20% - Accent2 4 2 4 2 4 2" xfId="11662"/>
    <cellStyle name="20% - Accent2 4 2 4 2 4 2 2" xfId="11663"/>
    <cellStyle name="20% - Accent2 4 2 4 2 4 2 3" xfId="11664"/>
    <cellStyle name="20% - Accent2 4 2 4 2 4 3" xfId="11665"/>
    <cellStyle name="20% - Accent2 4 2 4 2 4 3 2" xfId="11666"/>
    <cellStyle name="20% - Accent2 4 2 4 2 4 4" xfId="11667"/>
    <cellStyle name="20% - Accent2 4 2 4 2 4 5" xfId="11668"/>
    <cellStyle name="20% - Accent2 4 2 4 2 5" xfId="11669"/>
    <cellStyle name="20% - Accent2 4 2 4 2 5 2" xfId="11670"/>
    <cellStyle name="20% - Accent2 4 2 4 2 5 3" xfId="11671"/>
    <cellStyle name="20% - Accent2 4 2 4 2 6" xfId="11672"/>
    <cellStyle name="20% - Accent2 4 2 4 2 6 2" xfId="11673"/>
    <cellStyle name="20% - Accent2 4 2 4 2 6 3" xfId="11674"/>
    <cellStyle name="20% - Accent2 4 2 4 2 7" xfId="11675"/>
    <cellStyle name="20% - Accent2 4 2 4 2 7 2" xfId="11676"/>
    <cellStyle name="20% - Accent2 4 2 4 2 8" xfId="11677"/>
    <cellStyle name="20% - Accent2 4 2 4 2 9" xfId="11678"/>
    <cellStyle name="20% - Accent2 4 2 4 3" xfId="11679"/>
    <cellStyle name="20% - Accent2 4 2 4 3 2" xfId="11680"/>
    <cellStyle name="20% - Accent2 4 2 4 3 2 2" xfId="11681"/>
    <cellStyle name="20% - Accent2 4 2 4 3 2 3" xfId="11682"/>
    <cellStyle name="20% - Accent2 4 2 4 3 3" xfId="11683"/>
    <cellStyle name="20% - Accent2 4 2 4 3 3 2" xfId="11684"/>
    <cellStyle name="20% - Accent2 4 2 4 3 3 3" xfId="11685"/>
    <cellStyle name="20% - Accent2 4 2 4 3 4" xfId="11686"/>
    <cellStyle name="20% - Accent2 4 2 4 3 4 2" xfId="11687"/>
    <cellStyle name="20% - Accent2 4 2 4 3 5" xfId="11688"/>
    <cellStyle name="20% - Accent2 4 2 4 3 6" xfId="11689"/>
    <cellStyle name="20% - Accent2 4 2 4 4" xfId="11690"/>
    <cellStyle name="20% - Accent2 4 2 4 4 2" xfId="11691"/>
    <cellStyle name="20% - Accent2 4 2 4 4 2 2" xfId="11692"/>
    <cellStyle name="20% - Accent2 4 2 4 4 2 3" xfId="11693"/>
    <cellStyle name="20% - Accent2 4 2 4 4 3" xfId="11694"/>
    <cellStyle name="20% - Accent2 4 2 4 4 3 2" xfId="11695"/>
    <cellStyle name="20% - Accent2 4 2 4 4 3 3" xfId="11696"/>
    <cellStyle name="20% - Accent2 4 2 4 4 4" xfId="11697"/>
    <cellStyle name="20% - Accent2 4 2 4 4 4 2" xfId="11698"/>
    <cellStyle name="20% - Accent2 4 2 4 4 5" xfId="11699"/>
    <cellStyle name="20% - Accent2 4 2 4 4 6" xfId="11700"/>
    <cellStyle name="20% - Accent2 4 2 4 5" xfId="11701"/>
    <cellStyle name="20% - Accent2 4 2 4 5 2" xfId="11702"/>
    <cellStyle name="20% - Accent2 4 2 4 5 2 2" xfId="11703"/>
    <cellStyle name="20% - Accent2 4 2 4 5 2 3" xfId="11704"/>
    <cellStyle name="20% - Accent2 4 2 4 5 3" xfId="11705"/>
    <cellStyle name="20% - Accent2 4 2 4 5 3 2" xfId="11706"/>
    <cellStyle name="20% - Accent2 4 2 4 5 4" xfId="11707"/>
    <cellStyle name="20% - Accent2 4 2 4 5 5" xfId="11708"/>
    <cellStyle name="20% - Accent2 4 2 4 6" xfId="11709"/>
    <cellStyle name="20% - Accent2 4 2 4 6 2" xfId="11710"/>
    <cellStyle name="20% - Accent2 4 2 4 6 3" xfId="11711"/>
    <cellStyle name="20% - Accent2 4 2 4 7" xfId="11712"/>
    <cellStyle name="20% - Accent2 4 2 4 7 2" xfId="11713"/>
    <cellStyle name="20% - Accent2 4 2 4 7 3" xfId="11714"/>
    <cellStyle name="20% - Accent2 4 2 4 8" xfId="11715"/>
    <cellStyle name="20% - Accent2 4 2 4 8 2" xfId="11716"/>
    <cellStyle name="20% - Accent2 4 2 4 9" xfId="11717"/>
    <cellStyle name="20% - Accent2 4 2 5" xfId="382"/>
    <cellStyle name="20% - Accent2 4 2 5 2" xfId="11718"/>
    <cellStyle name="20% - Accent2 4 2 5 2 2" xfId="11719"/>
    <cellStyle name="20% - Accent2 4 2 5 2 2 2" xfId="11720"/>
    <cellStyle name="20% - Accent2 4 2 5 2 2 3" xfId="11721"/>
    <cellStyle name="20% - Accent2 4 2 5 2 3" xfId="11722"/>
    <cellStyle name="20% - Accent2 4 2 5 2 3 2" xfId="11723"/>
    <cellStyle name="20% - Accent2 4 2 5 2 3 3" xfId="11724"/>
    <cellStyle name="20% - Accent2 4 2 5 2 4" xfId="11725"/>
    <cellStyle name="20% - Accent2 4 2 5 2 4 2" xfId="11726"/>
    <cellStyle name="20% - Accent2 4 2 5 2 5" xfId="11727"/>
    <cellStyle name="20% - Accent2 4 2 5 2 6" xfId="11728"/>
    <cellStyle name="20% - Accent2 4 2 5 3" xfId="11729"/>
    <cellStyle name="20% - Accent2 4 2 5 3 2" xfId="11730"/>
    <cellStyle name="20% - Accent2 4 2 5 3 2 2" xfId="11731"/>
    <cellStyle name="20% - Accent2 4 2 5 3 2 3" xfId="11732"/>
    <cellStyle name="20% - Accent2 4 2 5 3 3" xfId="11733"/>
    <cellStyle name="20% - Accent2 4 2 5 3 3 2" xfId="11734"/>
    <cellStyle name="20% - Accent2 4 2 5 3 3 3" xfId="11735"/>
    <cellStyle name="20% - Accent2 4 2 5 3 4" xfId="11736"/>
    <cellStyle name="20% - Accent2 4 2 5 3 4 2" xfId="11737"/>
    <cellStyle name="20% - Accent2 4 2 5 3 5" xfId="11738"/>
    <cellStyle name="20% - Accent2 4 2 5 3 6" xfId="11739"/>
    <cellStyle name="20% - Accent2 4 2 5 4" xfId="11740"/>
    <cellStyle name="20% - Accent2 4 2 5 4 2" xfId="11741"/>
    <cellStyle name="20% - Accent2 4 2 5 4 2 2" xfId="11742"/>
    <cellStyle name="20% - Accent2 4 2 5 4 2 3" xfId="11743"/>
    <cellStyle name="20% - Accent2 4 2 5 4 3" xfId="11744"/>
    <cellStyle name="20% - Accent2 4 2 5 4 3 2" xfId="11745"/>
    <cellStyle name="20% - Accent2 4 2 5 4 4" xfId="11746"/>
    <cellStyle name="20% - Accent2 4 2 5 4 5" xfId="11747"/>
    <cellStyle name="20% - Accent2 4 2 5 5" xfId="11748"/>
    <cellStyle name="20% - Accent2 4 2 5 5 2" xfId="11749"/>
    <cellStyle name="20% - Accent2 4 2 5 5 3" xfId="11750"/>
    <cellStyle name="20% - Accent2 4 2 5 6" xfId="11751"/>
    <cellStyle name="20% - Accent2 4 2 5 6 2" xfId="11752"/>
    <cellStyle name="20% - Accent2 4 2 5 6 3" xfId="11753"/>
    <cellStyle name="20% - Accent2 4 2 5 7" xfId="11754"/>
    <cellStyle name="20% - Accent2 4 2 5 7 2" xfId="11755"/>
    <cellStyle name="20% - Accent2 4 2 5 8" xfId="11756"/>
    <cellStyle name="20% - Accent2 4 2 5 9" xfId="11757"/>
    <cellStyle name="20% - Accent2 4 2 6" xfId="11758"/>
    <cellStyle name="20% - Accent2 4 2 6 2" xfId="11759"/>
    <cellStyle name="20% - Accent2 4 2 6 2 2" xfId="11760"/>
    <cellStyle name="20% - Accent2 4 2 6 2 2 2" xfId="11761"/>
    <cellStyle name="20% - Accent2 4 2 6 2 2 3" xfId="11762"/>
    <cellStyle name="20% - Accent2 4 2 6 2 3" xfId="11763"/>
    <cellStyle name="20% - Accent2 4 2 6 2 3 2" xfId="11764"/>
    <cellStyle name="20% - Accent2 4 2 6 2 3 3" xfId="11765"/>
    <cellStyle name="20% - Accent2 4 2 6 2 4" xfId="11766"/>
    <cellStyle name="20% - Accent2 4 2 6 2 4 2" xfId="11767"/>
    <cellStyle name="20% - Accent2 4 2 6 2 5" xfId="11768"/>
    <cellStyle name="20% - Accent2 4 2 6 2 6" xfId="11769"/>
    <cellStyle name="20% - Accent2 4 2 6 3" xfId="11770"/>
    <cellStyle name="20% - Accent2 4 2 6 3 2" xfId="11771"/>
    <cellStyle name="20% - Accent2 4 2 6 3 2 2" xfId="11772"/>
    <cellStyle name="20% - Accent2 4 2 6 3 2 3" xfId="11773"/>
    <cellStyle name="20% - Accent2 4 2 6 3 3" xfId="11774"/>
    <cellStyle name="20% - Accent2 4 2 6 3 3 2" xfId="11775"/>
    <cellStyle name="20% - Accent2 4 2 6 3 3 3" xfId="11776"/>
    <cellStyle name="20% - Accent2 4 2 6 3 4" xfId="11777"/>
    <cellStyle name="20% - Accent2 4 2 6 3 4 2" xfId="11778"/>
    <cellStyle name="20% - Accent2 4 2 6 3 5" xfId="11779"/>
    <cellStyle name="20% - Accent2 4 2 6 3 6" xfId="11780"/>
    <cellStyle name="20% - Accent2 4 2 6 4" xfId="11781"/>
    <cellStyle name="20% - Accent2 4 2 6 4 2" xfId="11782"/>
    <cellStyle name="20% - Accent2 4 2 6 4 2 2" xfId="11783"/>
    <cellStyle name="20% - Accent2 4 2 6 4 2 3" xfId="11784"/>
    <cellStyle name="20% - Accent2 4 2 6 4 3" xfId="11785"/>
    <cellStyle name="20% - Accent2 4 2 6 4 3 2" xfId="11786"/>
    <cellStyle name="20% - Accent2 4 2 6 4 4" xfId="11787"/>
    <cellStyle name="20% - Accent2 4 2 6 4 5" xfId="11788"/>
    <cellStyle name="20% - Accent2 4 2 6 5" xfId="11789"/>
    <cellStyle name="20% - Accent2 4 2 6 5 2" xfId="11790"/>
    <cellStyle name="20% - Accent2 4 2 6 5 3" xfId="11791"/>
    <cellStyle name="20% - Accent2 4 2 6 6" xfId="11792"/>
    <cellStyle name="20% - Accent2 4 2 6 6 2" xfId="11793"/>
    <cellStyle name="20% - Accent2 4 2 6 6 3" xfId="11794"/>
    <cellStyle name="20% - Accent2 4 2 6 7" xfId="11795"/>
    <cellStyle name="20% - Accent2 4 2 6 7 2" xfId="11796"/>
    <cellStyle name="20% - Accent2 4 2 6 8" xfId="11797"/>
    <cellStyle name="20% - Accent2 4 2 6 9" xfId="11798"/>
    <cellStyle name="20% - Accent2 4 2 7" xfId="11799"/>
    <cellStyle name="20% - Accent2 4 2 7 2" xfId="11800"/>
    <cellStyle name="20% - Accent2 4 2 7 2 2" xfId="11801"/>
    <cellStyle name="20% - Accent2 4 2 7 2 3" xfId="11802"/>
    <cellStyle name="20% - Accent2 4 2 7 3" xfId="11803"/>
    <cellStyle name="20% - Accent2 4 2 7 3 2" xfId="11804"/>
    <cellStyle name="20% - Accent2 4 2 7 3 3" xfId="11805"/>
    <cellStyle name="20% - Accent2 4 2 7 4" xfId="11806"/>
    <cellStyle name="20% - Accent2 4 2 7 4 2" xfId="11807"/>
    <cellStyle name="20% - Accent2 4 2 7 5" xfId="11808"/>
    <cellStyle name="20% - Accent2 4 2 7 6" xfId="11809"/>
    <cellStyle name="20% - Accent2 4 2 8" xfId="11810"/>
    <cellStyle name="20% - Accent2 4 2 8 2" xfId="11811"/>
    <cellStyle name="20% - Accent2 4 2 8 2 2" xfId="11812"/>
    <cellStyle name="20% - Accent2 4 2 8 2 3" xfId="11813"/>
    <cellStyle name="20% - Accent2 4 2 8 3" xfId="11814"/>
    <cellStyle name="20% - Accent2 4 2 8 3 2" xfId="11815"/>
    <cellStyle name="20% - Accent2 4 2 8 3 3" xfId="11816"/>
    <cellStyle name="20% - Accent2 4 2 8 4" xfId="11817"/>
    <cellStyle name="20% - Accent2 4 2 8 4 2" xfId="11818"/>
    <cellStyle name="20% - Accent2 4 2 8 5" xfId="11819"/>
    <cellStyle name="20% - Accent2 4 2 8 6" xfId="11820"/>
    <cellStyle name="20% - Accent2 4 2 9" xfId="11821"/>
    <cellStyle name="20% - Accent2 4 2 9 2" xfId="11822"/>
    <cellStyle name="20% - Accent2 4 2 9 2 2" xfId="11823"/>
    <cellStyle name="20% - Accent2 4 2 9 2 3" xfId="11824"/>
    <cellStyle name="20% - Accent2 4 2 9 3" xfId="11825"/>
    <cellStyle name="20% - Accent2 4 2 9 3 2" xfId="11826"/>
    <cellStyle name="20% - Accent2 4 2 9 4" xfId="11827"/>
    <cellStyle name="20% - Accent2 4 2 9 5" xfId="11828"/>
    <cellStyle name="20% - Accent2 4 3" xfId="383"/>
    <cellStyle name="20% - Accent2 4 3 10" xfId="11829"/>
    <cellStyle name="20% - Accent2 4 3 10 2" xfId="11830"/>
    <cellStyle name="20% - Accent2 4 3 10 3" xfId="11831"/>
    <cellStyle name="20% - Accent2 4 3 11" xfId="11832"/>
    <cellStyle name="20% - Accent2 4 3 11 2" xfId="11833"/>
    <cellStyle name="20% - Accent2 4 3 12" xfId="11834"/>
    <cellStyle name="20% - Accent2 4 3 13" xfId="11835"/>
    <cellStyle name="20% - Accent2 4 3 14" xfId="11836"/>
    <cellStyle name="20% - Accent2 4 3 2" xfId="384"/>
    <cellStyle name="20% - Accent2 4 3 2 10" xfId="11837"/>
    <cellStyle name="20% - Accent2 4 3 2 10 2" xfId="11838"/>
    <cellStyle name="20% - Accent2 4 3 2 11" xfId="11839"/>
    <cellStyle name="20% - Accent2 4 3 2 12" xfId="11840"/>
    <cellStyle name="20% - Accent2 4 3 2 2" xfId="385"/>
    <cellStyle name="20% - Accent2 4 3 2 2 10" xfId="11841"/>
    <cellStyle name="20% - Accent2 4 3 2 2 2" xfId="386"/>
    <cellStyle name="20% - Accent2 4 3 2 2 2 2" xfId="11842"/>
    <cellStyle name="20% - Accent2 4 3 2 2 2 2 2" xfId="11843"/>
    <cellStyle name="20% - Accent2 4 3 2 2 2 2 2 2" xfId="11844"/>
    <cellStyle name="20% - Accent2 4 3 2 2 2 2 2 3" xfId="11845"/>
    <cellStyle name="20% - Accent2 4 3 2 2 2 2 3" xfId="11846"/>
    <cellStyle name="20% - Accent2 4 3 2 2 2 2 3 2" xfId="11847"/>
    <cellStyle name="20% - Accent2 4 3 2 2 2 2 3 3" xfId="11848"/>
    <cellStyle name="20% - Accent2 4 3 2 2 2 2 4" xfId="11849"/>
    <cellStyle name="20% - Accent2 4 3 2 2 2 2 4 2" xfId="11850"/>
    <cellStyle name="20% - Accent2 4 3 2 2 2 2 5" xfId="11851"/>
    <cellStyle name="20% - Accent2 4 3 2 2 2 2 6" xfId="11852"/>
    <cellStyle name="20% - Accent2 4 3 2 2 2 3" xfId="11853"/>
    <cellStyle name="20% - Accent2 4 3 2 2 2 3 2" xfId="11854"/>
    <cellStyle name="20% - Accent2 4 3 2 2 2 3 2 2" xfId="11855"/>
    <cellStyle name="20% - Accent2 4 3 2 2 2 3 2 3" xfId="11856"/>
    <cellStyle name="20% - Accent2 4 3 2 2 2 3 3" xfId="11857"/>
    <cellStyle name="20% - Accent2 4 3 2 2 2 3 3 2" xfId="11858"/>
    <cellStyle name="20% - Accent2 4 3 2 2 2 3 3 3" xfId="11859"/>
    <cellStyle name="20% - Accent2 4 3 2 2 2 3 4" xfId="11860"/>
    <cellStyle name="20% - Accent2 4 3 2 2 2 3 4 2" xfId="11861"/>
    <cellStyle name="20% - Accent2 4 3 2 2 2 3 5" xfId="11862"/>
    <cellStyle name="20% - Accent2 4 3 2 2 2 3 6" xfId="11863"/>
    <cellStyle name="20% - Accent2 4 3 2 2 2 4" xfId="11864"/>
    <cellStyle name="20% - Accent2 4 3 2 2 2 4 2" xfId="11865"/>
    <cellStyle name="20% - Accent2 4 3 2 2 2 4 2 2" xfId="11866"/>
    <cellStyle name="20% - Accent2 4 3 2 2 2 4 2 3" xfId="11867"/>
    <cellStyle name="20% - Accent2 4 3 2 2 2 4 3" xfId="11868"/>
    <cellStyle name="20% - Accent2 4 3 2 2 2 4 3 2" xfId="11869"/>
    <cellStyle name="20% - Accent2 4 3 2 2 2 4 4" xfId="11870"/>
    <cellStyle name="20% - Accent2 4 3 2 2 2 4 5" xfId="11871"/>
    <cellStyle name="20% - Accent2 4 3 2 2 2 5" xfId="11872"/>
    <cellStyle name="20% - Accent2 4 3 2 2 2 5 2" xfId="11873"/>
    <cellStyle name="20% - Accent2 4 3 2 2 2 5 3" xfId="11874"/>
    <cellStyle name="20% - Accent2 4 3 2 2 2 6" xfId="11875"/>
    <cellStyle name="20% - Accent2 4 3 2 2 2 6 2" xfId="11876"/>
    <cellStyle name="20% - Accent2 4 3 2 2 2 6 3" xfId="11877"/>
    <cellStyle name="20% - Accent2 4 3 2 2 2 7" xfId="11878"/>
    <cellStyle name="20% - Accent2 4 3 2 2 2 7 2" xfId="11879"/>
    <cellStyle name="20% - Accent2 4 3 2 2 2 8" xfId="11880"/>
    <cellStyle name="20% - Accent2 4 3 2 2 2 9" xfId="11881"/>
    <cellStyle name="20% - Accent2 4 3 2 2 3" xfId="11882"/>
    <cellStyle name="20% - Accent2 4 3 2 2 3 2" xfId="11883"/>
    <cellStyle name="20% - Accent2 4 3 2 2 3 2 2" xfId="11884"/>
    <cellStyle name="20% - Accent2 4 3 2 2 3 2 3" xfId="11885"/>
    <cellStyle name="20% - Accent2 4 3 2 2 3 3" xfId="11886"/>
    <cellStyle name="20% - Accent2 4 3 2 2 3 3 2" xfId="11887"/>
    <cellStyle name="20% - Accent2 4 3 2 2 3 3 3" xfId="11888"/>
    <cellStyle name="20% - Accent2 4 3 2 2 3 4" xfId="11889"/>
    <cellStyle name="20% - Accent2 4 3 2 2 3 4 2" xfId="11890"/>
    <cellStyle name="20% - Accent2 4 3 2 2 3 5" xfId="11891"/>
    <cellStyle name="20% - Accent2 4 3 2 2 3 6" xfId="11892"/>
    <cellStyle name="20% - Accent2 4 3 2 2 4" xfId="11893"/>
    <cellStyle name="20% - Accent2 4 3 2 2 4 2" xfId="11894"/>
    <cellStyle name="20% - Accent2 4 3 2 2 4 2 2" xfId="11895"/>
    <cellStyle name="20% - Accent2 4 3 2 2 4 2 3" xfId="11896"/>
    <cellStyle name="20% - Accent2 4 3 2 2 4 3" xfId="11897"/>
    <cellStyle name="20% - Accent2 4 3 2 2 4 3 2" xfId="11898"/>
    <cellStyle name="20% - Accent2 4 3 2 2 4 3 3" xfId="11899"/>
    <cellStyle name="20% - Accent2 4 3 2 2 4 4" xfId="11900"/>
    <cellStyle name="20% - Accent2 4 3 2 2 4 4 2" xfId="11901"/>
    <cellStyle name="20% - Accent2 4 3 2 2 4 5" xfId="11902"/>
    <cellStyle name="20% - Accent2 4 3 2 2 4 6" xfId="11903"/>
    <cellStyle name="20% - Accent2 4 3 2 2 5" xfId="11904"/>
    <cellStyle name="20% - Accent2 4 3 2 2 5 2" xfId="11905"/>
    <cellStyle name="20% - Accent2 4 3 2 2 5 2 2" xfId="11906"/>
    <cellStyle name="20% - Accent2 4 3 2 2 5 2 3" xfId="11907"/>
    <cellStyle name="20% - Accent2 4 3 2 2 5 3" xfId="11908"/>
    <cellStyle name="20% - Accent2 4 3 2 2 5 3 2" xfId="11909"/>
    <cellStyle name="20% - Accent2 4 3 2 2 5 4" xfId="11910"/>
    <cellStyle name="20% - Accent2 4 3 2 2 5 5" xfId="11911"/>
    <cellStyle name="20% - Accent2 4 3 2 2 6" xfId="11912"/>
    <cellStyle name="20% - Accent2 4 3 2 2 6 2" xfId="11913"/>
    <cellStyle name="20% - Accent2 4 3 2 2 6 3" xfId="11914"/>
    <cellStyle name="20% - Accent2 4 3 2 2 7" xfId="11915"/>
    <cellStyle name="20% - Accent2 4 3 2 2 7 2" xfId="11916"/>
    <cellStyle name="20% - Accent2 4 3 2 2 7 3" xfId="11917"/>
    <cellStyle name="20% - Accent2 4 3 2 2 8" xfId="11918"/>
    <cellStyle name="20% - Accent2 4 3 2 2 8 2" xfId="11919"/>
    <cellStyle name="20% - Accent2 4 3 2 2 9" xfId="11920"/>
    <cellStyle name="20% - Accent2 4 3 2 3" xfId="387"/>
    <cellStyle name="20% - Accent2 4 3 2 3 2" xfId="11921"/>
    <cellStyle name="20% - Accent2 4 3 2 3 2 2" xfId="11922"/>
    <cellStyle name="20% - Accent2 4 3 2 3 2 2 2" xfId="11923"/>
    <cellStyle name="20% - Accent2 4 3 2 3 2 2 3" xfId="11924"/>
    <cellStyle name="20% - Accent2 4 3 2 3 2 3" xfId="11925"/>
    <cellStyle name="20% - Accent2 4 3 2 3 2 3 2" xfId="11926"/>
    <cellStyle name="20% - Accent2 4 3 2 3 2 3 3" xfId="11927"/>
    <cellStyle name="20% - Accent2 4 3 2 3 2 4" xfId="11928"/>
    <cellStyle name="20% - Accent2 4 3 2 3 2 4 2" xfId="11929"/>
    <cellStyle name="20% - Accent2 4 3 2 3 2 5" xfId="11930"/>
    <cellStyle name="20% - Accent2 4 3 2 3 2 6" xfId="11931"/>
    <cellStyle name="20% - Accent2 4 3 2 3 3" xfId="11932"/>
    <cellStyle name="20% - Accent2 4 3 2 3 3 2" xfId="11933"/>
    <cellStyle name="20% - Accent2 4 3 2 3 3 2 2" xfId="11934"/>
    <cellStyle name="20% - Accent2 4 3 2 3 3 2 3" xfId="11935"/>
    <cellStyle name="20% - Accent2 4 3 2 3 3 3" xfId="11936"/>
    <cellStyle name="20% - Accent2 4 3 2 3 3 3 2" xfId="11937"/>
    <cellStyle name="20% - Accent2 4 3 2 3 3 3 3" xfId="11938"/>
    <cellStyle name="20% - Accent2 4 3 2 3 3 4" xfId="11939"/>
    <cellStyle name="20% - Accent2 4 3 2 3 3 4 2" xfId="11940"/>
    <cellStyle name="20% - Accent2 4 3 2 3 3 5" xfId="11941"/>
    <cellStyle name="20% - Accent2 4 3 2 3 3 6" xfId="11942"/>
    <cellStyle name="20% - Accent2 4 3 2 3 4" xfId="11943"/>
    <cellStyle name="20% - Accent2 4 3 2 3 4 2" xfId="11944"/>
    <cellStyle name="20% - Accent2 4 3 2 3 4 2 2" xfId="11945"/>
    <cellStyle name="20% - Accent2 4 3 2 3 4 2 3" xfId="11946"/>
    <cellStyle name="20% - Accent2 4 3 2 3 4 3" xfId="11947"/>
    <cellStyle name="20% - Accent2 4 3 2 3 4 3 2" xfId="11948"/>
    <cellStyle name="20% - Accent2 4 3 2 3 4 4" xfId="11949"/>
    <cellStyle name="20% - Accent2 4 3 2 3 4 5" xfId="11950"/>
    <cellStyle name="20% - Accent2 4 3 2 3 5" xfId="11951"/>
    <cellStyle name="20% - Accent2 4 3 2 3 5 2" xfId="11952"/>
    <cellStyle name="20% - Accent2 4 3 2 3 5 3" xfId="11953"/>
    <cellStyle name="20% - Accent2 4 3 2 3 6" xfId="11954"/>
    <cellStyle name="20% - Accent2 4 3 2 3 6 2" xfId="11955"/>
    <cellStyle name="20% - Accent2 4 3 2 3 6 3" xfId="11956"/>
    <cellStyle name="20% - Accent2 4 3 2 3 7" xfId="11957"/>
    <cellStyle name="20% - Accent2 4 3 2 3 7 2" xfId="11958"/>
    <cellStyle name="20% - Accent2 4 3 2 3 8" xfId="11959"/>
    <cellStyle name="20% - Accent2 4 3 2 3 9" xfId="11960"/>
    <cellStyle name="20% - Accent2 4 3 2 4" xfId="11961"/>
    <cellStyle name="20% - Accent2 4 3 2 4 2" xfId="11962"/>
    <cellStyle name="20% - Accent2 4 3 2 4 2 2" xfId="11963"/>
    <cellStyle name="20% - Accent2 4 3 2 4 2 2 2" xfId="11964"/>
    <cellStyle name="20% - Accent2 4 3 2 4 2 2 3" xfId="11965"/>
    <cellStyle name="20% - Accent2 4 3 2 4 2 3" xfId="11966"/>
    <cellStyle name="20% - Accent2 4 3 2 4 2 3 2" xfId="11967"/>
    <cellStyle name="20% - Accent2 4 3 2 4 2 3 3" xfId="11968"/>
    <cellStyle name="20% - Accent2 4 3 2 4 2 4" xfId="11969"/>
    <cellStyle name="20% - Accent2 4 3 2 4 2 4 2" xfId="11970"/>
    <cellStyle name="20% - Accent2 4 3 2 4 2 5" xfId="11971"/>
    <cellStyle name="20% - Accent2 4 3 2 4 2 6" xfId="11972"/>
    <cellStyle name="20% - Accent2 4 3 2 4 3" xfId="11973"/>
    <cellStyle name="20% - Accent2 4 3 2 4 3 2" xfId="11974"/>
    <cellStyle name="20% - Accent2 4 3 2 4 3 2 2" xfId="11975"/>
    <cellStyle name="20% - Accent2 4 3 2 4 3 2 3" xfId="11976"/>
    <cellStyle name="20% - Accent2 4 3 2 4 3 3" xfId="11977"/>
    <cellStyle name="20% - Accent2 4 3 2 4 3 3 2" xfId="11978"/>
    <cellStyle name="20% - Accent2 4 3 2 4 3 3 3" xfId="11979"/>
    <cellStyle name="20% - Accent2 4 3 2 4 3 4" xfId="11980"/>
    <cellStyle name="20% - Accent2 4 3 2 4 3 4 2" xfId="11981"/>
    <cellStyle name="20% - Accent2 4 3 2 4 3 5" xfId="11982"/>
    <cellStyle name="20% - Accent2 4 3 2 4 3 6" xfId="11983"/>
    <cellStyle name="20% - Accent2 4 3 2 4 4" xfId="11984"/>
    <cellStyle name="20% - Accent2 4 3 2 4 4 2" xfId="11985"/>
    <cellStyle name="20% - Accent2 4 3 2 4 4 2 2" xfId="11986"/>
    <cellStyle name="20% - Accent2 4 3 2 4 4 2 3" xfId="11987"/>
    <cellStyle name="20% - Accent2 4 3 2 4 4 3" xfId="11988"/>
    <cellStyle name="20% - Accent2 4 3 2 4 4 3 2" xfId="11989"/>
    <cellStyle name="20% - Accent2 4 3 2 4 4 4" xfId="11990"/>
    <cellStyle name="20% - Accent2 4 3 2 4 4 5" xfId="11991"/>
    <cellStyle name="20% - Accent2 4 3 2 4 5" xfId="11992"/>
    <cellStyle name="20% - Accent2 4 3 2 4 5 2" xfId="11993"/>
    <cellStyle name="20% - Accent2 4 3 2 4 5 3" xfId="11994"/>
    <cellStyle name="20% - Accent2 4 3 2 4 6" xfId="11995"/>
    <cellStyle name="20% - Accent2 4 3 2 4 6 2" xfId="11996"/>
    <cellStyle name="20% - Accent2 4 3 2 4 6 3" xfId="11997"/>
    <cellStyle name="20% - Accent2 4 3 2 4 7" xfId="11998"/>
    <cellStyle name="20% - Accent2 4 3 2 4 7 2" xfId="11999"/>
    <cellStyle name="20% - Accent2 4 3 2 4 8" xfId="12000"/>
    <cellStyle name="20% - Accent2 4 3 2 4 9" xfId="12001"/>
    <cellStyle name="20% - Accent2 4 3 2 5" xfId="12002"/>
    <cellStyle name="20% - Accent2 4 3 2 5 2" xfId="12003"/>
    <cellStyle name="20% - Accent2 4 3 2 5 2 2" xfId="12004"/>
    <cellStyle name="20% - Accent2 4 3 2 5 2 3" xfId="12005"/>
    <cellStyle name="20% - Accent2 4 3 2 5 3" xfId="12006"/>
    <cellStyle name="20% - Accent2 4 3 2 5 3 2" xfId="12007"/>
    <cellStyle name="20% - Accent2 4 3 2 5 3 3" xfId="12008"/>
    <cellStyle name="20% - Accent2 4 3 2 5 4" xfId="12009"/>
    <cellStyle name="20% - Accent2 4 3 2 5 4 2" xfId="12010"/>
    <cellStyle name="20% - Accent2 4 3 2 5 5" xfId="12011"/>
    <cellStyle name="20% - Accent2 4 3 2 5 6" xfId="12012"/>
    <cellStyle name="20% - Accent2 4 3 2 6" xfId="12013"/>
    <cellStyle name="20% - Accent2 4 3 2 6 2" xfId="12014"/>
    <cellStyle name="20% - Accent2 4 3 2 6 2 2" xfId="12015"/>
    <cellStyle name="20% - Accent2 4 3 2 6 2 3" xfId="12016"/>
    <cellStyle name="20% - Accent2 4 3 2 6 3" xfId="12017"/>
    <cellStyle name="20% - Accent2 4 3 2 6 3 2" xfId="12018"/>
    <cellStyle name="20% - Accent2 4 3 2 6 3 3" xfId="12019"/>
    <cellStyle name="20% - Accent2 4 3 2 6 4" xfId="12020"/>
    <cellStyle name="20% - Accent2 4 3 2 6 4 2" xfId="12021"/>
    <cellStyle name="20% - Accent2 4 3 2 6 5" xfId="12022"/>
    <cellStyle name="20% - Accent2 4 3 2 6 6" xfId="12023"/>
    <cellStyle name="20% - Accent2 4 3 2 7" xfId="12024"/>
    <cellStyle name="20% - Accent2 4 3 2 7 2" xfId="12025"/>
    <cellStyle name="20% - Accent2 4 3 2 7 2 2" xfId="12026"/>
    <cellStyle name="20% - Accent2 4 3 2 7 2 3" xfId="12027"/>
    <cellStyle name="20% - Accent2 4 3 2 7 3" xfId="12028"/>
    <cellStyle name="20% - Accent2 4 3 2 7 3 2" xfId="12029"/>
    <cellStyle name="20% - Accent2 4 3 2 7 4" xfId="12030"/>
    <cellStyle name="20% - Accent2 4 3 2 7 5" xfId="12031"/>
    <cellStyle name="20% - Accent2 4 3 2 8" xfId="12032"/>
    <cellStyle name="20% - Accent2 4 3 2 8 2" xfId="12033"/>
    <cellStyle name="20% - Accent2 4 3 2 8 3" xfId="12034"/>
    <cellStyle name="20% - Accent2 4 3 2 9" xfId="12035"/>
    <cellStyle name="20% - Accent2 4 3 2 9 2" xfId="12036"/>
    <cellStyle name="20% - Accent2 4 3 2 9 3" xfId="12037"/>
    <cellStyle name="20% - Accent2 4 3 3" xfId="388"/>
    <cellStyle name="20% - Accent2 4 3 3 10" xfId="12038"/>
    <cellStyle name="20% - Accent2 4 3 3 2" xfId="389"/>
    <cellStyle name="20% - Accent2 4 3 3 2 2" xfId="12039"/>
    <cellStyle name="20% - Accent2 4 3 3 2 2 2" xfId="12040"/>
    <cellStyle name="20% - Accent2 4 3 3 2 2 2 2" xfId="12041"/>
    <cellStyle name="20% - Accent2 4 3 3 2 2 2 3" xfId="12042"/>
    <cellStyle name="20% - Accent2 4 3 3 2 2 3" xfId="12043"/>
    <cellStyle name="20% - Accent2 4 3 3 2 2 3 2" xfId="12044"/>
    <cellStyle name="20% - Accent2 4 3 3 2 2 3 3" xfId="12045"/>
    <cellStyle name="20% - Accent2 4 3 3 2 2 4" xfId="12046"/>
    <cellStyle name="20% - Accent2 4 3 3 2 2 4 2" xfId="12047"/>
    <cellStyle name="20% - Accent2 4 3 3 2 2 5" xfId="12048"/>
    <cellStyle name="20% - Accent2 4 3 3 2 2 6" xfId="12049"/>
    <cellStyle name="20% - Accent2 4 3 3 2 3" xfId="12050"/>
    <cellStyle name="20% - Accent2 4 3 3 2 3 2" xfId="12051"/>
    <cellStyle name="20% - Accent2 4 3 3 2 3 2 2" xfId="12052"/>
    <cellStyle name="20% - Accent2 4 3 3 2 3 2 3" xfId="12053"/>
    <cellStyle name="20% - Accent2 4 3 3 2 3 3" xfId="12054"/>
    <cellStyle name="20% - Accent2 4 3 3 2 3 3 2" xfId="12055"/>
    <cellStyle name="20% - Accent2 4 3 3 2 3 3 3" xfId="12056"/>
    <cellStyle name="20% - Accent2 4 3 3 2 3 4" xfId="12057"/>
    <cellStyle name="20% - Accent2 4 3 3 2 3 4 2" xfId="12058"/>
    <cellStyle name="20% - Accent2 4 3 3 2 3 5" xfId="12059"/>
    <cellStyle name="20% - Accent2 4 3 3 2 3 6" xfId="12060"/>
    <cellStyle name="20% - Accent2 4 3 3 2 4" xfId="12061"/>
    <cellStyle name="20% - Accent2 4 3 3 2 4 2" xfId="12062"/>
    <cellStyle name="20% - Accent2 4 3 3 2 4 2 2" xfId="12063"/>
    <cellStyle name="20% - Accent2 4 3 3 2 4 2 3" xfId="12064"/>
    <cellStyle name="20% - Accent2 4 3 3 2 4 3" xfId="12065"/>
    <cellStyle name="20% - Accent2 4 3 3 2 4 3 2" xfId="12066"/>
    <cellStyle name="20% - Accent2 4 3 3 2 4 4" xfId="12067"/>
    <cellStyle name="20% - Accent2 4 3 3 2 4 5" xfId="12068"/>
    <cellStyle name="20% - Accent2 4 3 3 2 5" xfId="12069"/>
    <cellStyle name="20% - Accent2 4 3 3 2 5 2" xfId="12070"/>
    <cellStyle name="20% - Accent2 4 3 3 2 5 3" xfId="12071"/>
    <cellStyle name="20% - Accent2 4 3 3 2 6" xfId="12072"/>
    <cellStyle name="20% - Accent2 4 3 3 2 6 2" xfId="12073"/>
    <cellStyle name="20% - Accent2 4 3 3 2 6 3" xfId="12074"/>
    <cellStyle name="20% - Accent2 4 3 3 2 7" xfId="12075"/>
    <cellStyle name="20% - Accent2 4 3 3 2 7 2" xfId="12076"/>
    <cellStyle name="20% - Accent2 4 3 3 2 8" xfId="12077"/>
    <cellStyle name="20% - Accent2 4 3 3 2 9" xfId="12078"/>
    <cellStyle name="20% - Accent2 4 3 3 3" xfId="12079"/>
    <cellStyle name="20% - Accent2 4 3 3 3 2" xfId="12080"/>
    <cellStyle name="20% - Accent2 4 3 3 3 2 2" xfId="12081"/>
    <cellStyle name="20% - Accent2 4 3 3 3 2 3" xfId="12082"/>
    <cellStyle name="20% - Accent2 4 3 3 3 3" xfId="12083"/>
    <cellStyle name="20% - Accent2 4 3 3 3 3 2" xfId="12084"/>
    <cellStyle name="20% - Accent2 4 3 3 3 3 3" xfId="12085"/>
    <cellStyle name="20% - Accent2 4 3 3 3 4" xfId="12086"/>
    <cellStyle name="20% - Accent2 4 3 3 3 4 2" xfId="12087"/>
    <cellStyle name="20% - Accent2 4 3 3 3 5" xfId="12088"/>
    <cellStyle name="20% - Accent2 4 3 3 3 6" xfId="12089"/>
    <cellStyle name="20% - Accent2 4 3 3 4" xfId="12090"/>
    <cellStyle name="20% - Accent2 4 3 3 4 2" xfId="12091"/>
    <cellStyle name="20% - Accent2 4 3 3 4 2 2" xfId="12092"/>
    <cellStyle name="20% - Accent2 4 3 3 4 2 3" xfId="12093"/>
    <cellStyle name="20% - Accent2 4 3 3 4 3" xfId="12094"/>
    <cellStyle name="20% - Accent2 4 3 3 4 3 2" xfId="12095"/>
    <cellStyle name="20% - Accent2 4 3 3 4 3 3" xfId="12096"/>
    <cellStyle name="20% - Accent2 4 3 3 4 4" xfId="12097"/>
    <cellStyle name="20% - Accent2 4 3 3 4 4 2" xfId="12098"/>
    <cellStyle name="20% - Accent2 4 3 3 4 5" xfId="12099"/>
    <cellStyle name="20% - Accent2 4 3 3 4 6" xfId="12100"/>
    <cellStyle name="20% - Accent2 4 3 3 5" xfId="12101"/>
    <cellStyle name="20% - Accent2 4 3 3 5 2" xfId="12102"/>
    <cellStyle name="20% - Accent2 4 3 3 5 2 2" xfId="12103"/>
    <cellStyle name="20% - Accent2 4 3 3 5 2 3" xfId="12104"/>
    <cellStyle name="20% - Accent2 4 3 3 5 3" xfId="12105"/>
    <cellStyle name="20% - Accent2 4 3 3 5 3 2" xfId="12106"/>
    <cellStyle name="20% - Accent2 4 3 3 5 4" xfId="12107"/>
    <cellStyle name="20% - Accent2 4 3 3 5 5" xfId="12108"/>
    <cellStyle name="20% - Accent2 4 3 3 6" xfId="12109"/>
    <cellStyle name="20% - Accent2 4 3 3 6 2" xfId="12110"/>
    <cellStyle name="20% - Accent2 4 3 3 6 3" xfId="12111"/>
    <cellStyle name="20% - Accent2 4 3 3 7" xfId="12112"/>
    <cellStyle name="20% - Accent2 4 3 3 7 2" xfId="12113"/>
    <cellStyle name="20% - Accent2 4 3 3 7 3" xfId="12114"/>
    <cellStyle name="20% - Accent2 4 3 3 8" xfId="12115"/>
    <cellStyle name="20% - Accent2 4 3 3 8 2" xfId="12116"/>
    <cellStyle name="20% - Accent2 4 3 3 9" xfId="12117"/>
    <cellStyle name="20% - Accent2 4 3 4" xfId="390"/>
    <cellStyle name="20% - Accent2 4 3 4 2" xfId="12118"/>
    <cellStyle name="20% - Accent2 4 3 4 2 2" xfId="12119"/>
    <cellStyle name="20% - Accent2 4 3 4 2 2 2" xfId="12120"/>
    <cellStyle name="20% - Accent2 4 3 4 2 2 3" xfId="12121"/>
    <cellStyle name="20% - Accent2 4 3 4 2 3" xfId="12122"/>
    <cellStyle name="20% - Accent2 4 3 4 2 3 2" xfId="12123"/>
    <cellStyle name="20% - Accent2 4 3 4 2 3 3" xfId="12124"/>
    <cellStyle name="20% - Accent2 4 3 4 2 4" xfId="12125"/>
    <cellStyle name="20% - Accent2 4 3 4 2 4 2" xfId="12126"/>
    <cellStyle name="20% - Accent2 4 3 4 2 5" xfId="12127"/>
    <cellStyle name="20% - Accent2 4 3 4 2 6" xfId="12128"/>
    <cellStyle name="20% - Accent2 4 3 4 3" xfId="12129"/>
    <cellStyle name="20% - Accent2 4 3 4 3 2" xfId="12130"/>
    <cellStyle name="20% - Accent2 4 3 4 3 2 2" xfId="12131"/>
    <cellStyle name="20% - Accent2 4 3 4 3 2 3" xfId="12132"/>
    <cellStyle name="20% - Accent2 4 3 4 3 3" xfId="12133"/>
    <cellStyle name="20% - Accent2 4 3 4 3 3 2" xfId="12134"/>
    <cellStyle name="20% - Accent2 4 3 4 3 3 3" xfId="12135"/>
    <cellStyle name="20% - Accent2 4 3 4 3 4" xfId="12136"/>
    <cellStyle name="20% - Accent2 4 3 4 3 4 2" xfId="12137"/>
    <cellStyle name="20% - Accent2 4 3 4 3 5" xfId="12138"/>
    <cellStyle name="20% - Accent2 4 3 4 3 6" xfId="12139"/>
    <cellStyle name="20% - Accent2 4 3 4 4" xfId="12140"/>
    <cellStyle name="20% - Accent2 4 3 4 4 2" xfId="12141"/>
    <cellStyle name="20% - Accent2 4 3 4 4 2 2" xfId="12142"/>
    <cellStyle name="20% - Accent2 4 3 4 4 2 3" xfId="12143"/>
    <cellStyle name="20% - Accent2 4 3 4 4 3" xfId="12144"/>
    <cellStyle name="20% - Accent2 4 3 4 4 3 2" xfId="12145"/>
    <cellStyle name="20% - Accent2 4 3 4 4 4" xfId="12146"/>
    <cellStyle name="20% - Accent2 4 3 4 4 5" xfId="12147"/>
    <cellStyle name="20% - Accent2 4 3 4 5" xfId="12148"/>
    <cellStyle name="20% - Accent2 4 3 4 5 2" xfId="12149"/>
    <cellStyle name="20% - Accent2 4 3 4 5 3" xfId="12150"/>
    <cellStyle name="20% - Accent2 4 3 4 6" xfId="12151"/>
    <cellStyle name="20% - Accent2 4 3 4 6 2" xfId="12152"/>
    <cellStyle name="20% - Accent2 4 3 4 6 3" xfId="12153"/>
    <cellStyle name="20% - Accent2 4 3 4 7" xfId="12154"/>
    <cellStyle name="20% - Accent2 4 3 4 7 2" xfId="12155"/>
    <cellStyle name="20% - Accent2 4 3 4 8" xfId="12156"/>
    <cellStyle name="20% - Accent2 4 3 4 9" xfId="12157"/>
    <cellStyle name="20% - Accent2 4 3 5" xfId="12158"/>
    <cellStyle name="20% - Accent2 4 3 5 2" xfId="12159"/>
    <cellStyle name="20% - Accent2 4 3 5 2 2" xfId="12160"/>
    <cellStyle name="20% - Accent2 4 3 5 2 2 2" xfId="12161"/>
    <cellStyle name="20% - Accent2 4 3 5 2 2 3" xfId="12162"/>
    <cellStyle name="20% - Accent2 4 3 5 2 3" xfId="12163"/>
    <cellStyle name="20% - Accent2 4 3 5 2 3 2" xfId="12164"/>
    <cellStyle name="20% - Accent2 4 3 5 2 3 3" xfId="12165"/>
    <cellStyle name="20% - Accent2 4 3 5 2 4" xfId="12166"/>
    <cellStyle name="20% - Accent2 4 3 5 2 4 2" xfId="12167"/>
    <cellStyle name="20% - Accent2 4 3 5 2 5" xfId="12168"/>
    <cellStyle name="20% - Accent2 4 3 5 2 6" xfId="12169"/>
    <cellStyle name="20% - Accent2 4 3 5 3" xfId="12170"/>
    <cellStyle name="20% - Accent2 4 3 5 3 2" xfId="12171"/>
    <cellStyle name="20% - Accent2 4 3 5 3 2 2" xfId="12172"/>
    <cellStyle name="20% - Accent2 4 3 5 3 2 3" xfId="12173"/>
    <cellStyle name="20% - Accent2 4 3 5 3 3" xfId="12174"/>
    <cellStyle name="20% - Accent2 4 3 5 3 3 2" xfId="12175"/>
    <cellStyle name="20% - Accent2 4 3 5 3 3 3" xfId="12176"/>
    <cellStyle name="20% - Accent2 4 3 5 3 4" xfId="12177"/>
    <cellStyle name="20% - Accent2 4 3 5 3 4 2" xfId="12178"/>
    <cellStyle name="20% - Accent2 4 3 5 3 5" xfId="12179"/>
    <cellStyle name="20% - Accent2 4 3 5 3 6" xfId="12180"/>
    <cellStyle name="20% - Accent2 4 3 5 4" xfId="12181"/>
    <cellStyle name="20% - Accent2 4 3 5 4 2" xfId="12182"/>
    <cellStyle name="20% - Accent2 4 3 5 4 2 2" xfId="12183"/>
    <cellStyle name="20% - Accent2 4 3 5 4 2 3" xfId="12184"/>
    <cellStyle name="20% - Accent2 4 3 5 4 3" xfId="12185"/>
    <cellStyle name="20% - Accent2 4 3 5 4 3 2" xfId="12186"/>
    <cellStyle name="20% - Accent2 4 3 5 4 4" xfId="12187"/>
    <cellStyle name="20% - Accent2 4 3 5 4 5" xfId="12188"/>
    <cellStyle name="20% - Accent2 4 3 5 5" xfId="12189"/>
    <cellStyle name="20% - Accent2 4 3 5 5 2" xfId="12190"/>
    <cellStyle name="20% - Accent2 4 3 5 5 3" xfId="12191"/>
    <cellStyle name="20% - Accent2 4 3 5 6" xfId="12192"/>
    <cellStyle name="20% - Accent2 4 3 5 6 2" xfId="12193"/>
    <cellStyle name="20% - Accent2 4 3 5 6 3" xfId="12194"/>
    <cellStyle name="20% - Accent2 4 3 5 7" xfId="12195"/>
    <cellStyle name="20% - Accent2 4 3 5 7 2" xfId="12196"/>
    <cellStyle name="20% - Accent2 4 3 5 8" xfId="12197"/>
    <cellStyle name="20% - Accent2 4 3 5 9" xfId="12198"/>
    <cellStyle name="20% - Accent2 4 3 6" xfId="12199"/>
    <cellStyle name="20% - Accent2 4 3 6 2" xfId="12200"/>
    <cellStyle name="20% - Accent2 4 3 6 2 2" xfId="12201"/>
    <cellStyle name="20% - Accent2 4 3 6 2 3" xfId="12202"/>
    <cellStyle name="20% - Accent2 4 3 6 3" xfId="12203"/>
    <cellStyle name="20% - Accent2 4 3 6 3 2" xfId="12204"/>
    <cellStyle name="20% - Accent2 4 3 6 3 3" xfId="12205"/>
    <cellStyle name="20% - Accent2 4 3 6 4" xfId="12206"/>
    <cellStyle name="20% - Accent2 4 3 6 4 2" xfId="12207"/>
    <cellStyle name="20% - Accent2 4 3 6 5" xfId="12208"/>
    <cellStyle name="20% - Accent2 4 3 6 6" xfId="12209"/>
    <cellStyle name="20% - Accent2 4 3 7" xfId="12210"/>
    <cellStyle name="20% - Accent2 4 3 7 2" xfId="12211"/>
    <cellStyle name="20% - Accent2 4 3 7 2 2" xfId="12212"/>
    <cellStyle name="20% - Accent2 4 3 7 2 3" xfId="12213"/>
    <cellStyle name="20% - Accent2 4 3 7 3" xfId="12214"/>
    <cellStyle name="20% - Accent2 4 3 7 3 2" xfId="12215"/>
    <cellStyle name="20% - Accent2 4 3 7 3 3" xfId="12216"/>
    <cellStyle name="20% - Accent2 4 3 7 4" xfId="12217"/>
    <cellStyle name="20% - Accent2 4 3 7 4 2" xfId="12218"/>
    <cellStyle name="20% - Accent2 4 3 7 5" xfId="12219"/>
    <cellStyle name="20% - Accent2 4 3 7 6" xfId="12220"/>
    <cellStyle name="20% - Accent2 4 3 8" xfId="12221"/>
    <cellStyle name="20% - Accent2 4 3 8 2" xfId="12222"/>
    <cellStyle name="20% - Accent2 4 3 8 2 2" xfId="12223"/>
    <cellStyle name="20% - Accent2 4 3 8 2 3" xfId="12224"/>
    <cellStyle name="20% - Accent2 4 3 8 3" xfId="12225"/>
    <cellStyle name="20% - Accent2 4 3 8 3 2" xfId="12226"/>
    <cellStyle name="20% - Accent2 4 3 8 4" xfId="12227"/>
    <cellStyle name="20% - Accent2 4 3 8 5" xfId="12228"/>
    <cellStyle name="20% - Accent2 4 3 9" xfId="12229"/>
    <cellStyle name="20% - Accent2 4 3 9 2" xfId="12230"/>
    <cellStyle name="20% - Accent2 4 3 9 3" xfId="12231"/>
    <cellStyle name="20% - Accent2 4 4" xfId="391"/>
    <cellStyle name="20% - Accent2 4 4 10" xfId="12232"/>
    <cellStyle name="20% - Accent2 4 4 10 2" xfId="12233"/>
    <cellStyle name="20% - Accent2 4 4 11" xfId="12234"/>
    <cellStyle name="20% - Accent2 4 4 12" xfId="12235"/>
    <cellStyle name="20% - Accent2 4 4 2" xfId="392"/>
    <cellStyle name="20% - Accent2 4 4 2 10" xfId="12236"/>
    <cellStyle name="20% - Accent2 4 4 2 2" xfId="393"/>
    <cellStyle name="20% - Accent2 4 4 2 2 2" xfId="12237"/>
    <cellStyle name="20% - Accent2 4 4 2 2 2 2" xfId="12238"/>
    <cellStyle name="20% - Accent2 4 4 2 2 2 2 2" xfId="12239"/>
    <cellStyle name="20% - Accent2 4 4 2 2 2 2 3" xfId="12240"/>
    <cellStyle name="20% - Accent2 4 4 2 2 2 3" xfId="12241"/>
    <cellStyle name="20% - Accent2 4 4 2 2 2 3 2" xfId="12242"/>
    <cellStyle name="20% - Accent2 4 4 2 2 2 3 3" xfId="12243"/>
    <cellStyle name="20% - Accent2 4 4 2 2 2 4" xfId="12244"/>
    <cellStyle name="20% - Accent2 4 4 2 2 2 4 2" xfId="12245"/>
    <cellStyle name="20% - Accent2 4 4 2 2 2 5" xfId="12246"/>
    <cellStyle name="20% - Accent2 4 4 2 2 2 6" xfId="12247"/>
    <cellStyle name="20% - Accent2 4 4 2 2 3" xfId="12248"/>
    <cellStyle name="20% - Accent2 4 4 2 2 3 2" xfId="12249"/>
    <cellStyle name="20% - Accent2 4 4 2 2 3 2 2" xfId="12250"/>
    <cellStyle name="20% - Accent2 4 4 2 2 3 2 3" xfId="12251"/>
    <cellStyle name="20% - Accent2 4 4 2 2 3 3" xfId="12252"/>
    <cellStyle name="20% - Accent2 4 4 2 2 3 3 2" xfId="12253"/>
    <cellStyle name="20% - Accent2 4 4 2 2 3 3 3" xfId="12254"/>
    <cellStyle name="20% - Accent2 4 4 2 2 3 4" xfId="12255"/>
    <cellStyle name="20% - Accent2 4 4 2 2 3 4 2" xfId="12256"/>
    <cellStyle name="20% - Accent2 4 4 2 2 3 5" xfId="12257"/>
    <cellStyle name="20% - Accent2 4 4 2 2 3 6" xfId="12258"/>
    <cellStyle name="20% - Accent2 4 4 2 2 4" xfId="12259"/>
    <cellStyle name="20% - Accent2 4 4 2 2 4 2" xfId="12260"/>
    <cellStyle name="20% - Accent2 4 4 2 2 4 2 2" xfId="12261"/>
    <cellStyle name="20% - Accent2 4 4 2 2 4 2 3" xfId="12262"/>
    <cellStyle name="20% - Accent2 4 4 2 2 4 3" xfId="12263"/>
    <cellStyle name="20% - Accent2 4 4 2 2 4 3 2" xfId="12264"/>
    <cellStyle name="20% - Accent2 4 4 2 2 4 4" xfId="12265"/>
    <cellStyle name="20% - Accent2 4 4 2 2 4 5" xfId="12266"/>
    <cellStyle name="20% - Accent2 4 4 2 2 5" xfId="12267"/>
    <cellStyle name="20% - Accent2 4 4 2 2 5 2" xfId="12268"/>
    <cellStyle name="20% - Accent2 4 4 2 2 5 3" xfId="12269"/>
    <cellStyle name="20% - Accent2 4 4 2 2 6" xfId="12270"/>
    <cellStyle name="20% - Accent2 4 4 2 2 6 2" xfId="12271"/>
    <cellStyle name="20% - Accent2 4 4 2 2 6 3" xfId="12272"/>
    <cellStyle name="20% - Accent2 4 4 2 2 7" xfId="12273"/>
    <cellStyle name="20% - Accent2 4 4 2 2 7 2" xfId="12274"/>
    <cellStyle name="20% - Accent2 4 4 2 2 8" xfId="12275"/>
    <cellStyle name="20% - Accent2 4 4 2 2 9" xfId="12276"/>
    <cellStyle name="20% - Accent2 4 4 2 3" xfId="12277"/>
    <cellStyle name="20% - Accent2 4 4 2 3 2" xfId="12278"/>
    <cellStyle name="20% - Accent2 4 4 2 3 2 2" xfId="12279"/>
    <cellStyle name="20% - Accent2 4 4 2 3 2 3" xfId="12280"/>
    <cellStyle name="20% - Accent2 4 4 2 3 3" xfId="12281"/>
    <cellStyle name="20% - Accent2 4 4 2 3 3 2" xfId="12282"/>
    <cellStyle name="20% - Accent2 4 4 2 3 3 3" xfId="12283"/>
    <cellStyle name="20% - Accent2 4 4 2 3 4" xfId="12284"/>
    <cellStyle name="20% - Accent2 4 4 2 3 4 2" xfId="12285"/>
    <cellStyle name="20% - Accent2 4 4 2 3 5" xfId="12286"/>
    <cellStyle name="20% - Accent2 4 4 2 3 6" xfId="12287"/>
    <cellStyle name="20% - Accent2 4 4 2 4" xfId="12288"/>
    <cellStyle name="20% - Accent2 4 4 2 4 2" xfId="12289"/>
    <cellStyle name="20% - Accent2 4 4 2 4 2 2" xfId="12290"/>
    <cellStyle name="20% - Accent2 4 4 2 4 2 3" xfId="12291"/>
    <cellStyle name="20% - Accent2 4 4 2 4 3" xfId="12292"/>
    <cellStyle name="20% - Accent2 4 4 2 4 3 2" xfId="12293"/>
    <cellStyle name="20% - Accent2 4 4 2 4 3 3" xfId="12294"/>
    <cellStyle name="20% - Accent2 4 4 2 4 4" xfId="12295"/>
    <cellStyle name="20% - Accent2 4 4 2 4 4 2" xfId="12296"/>
    <cellStyle name="20% - Accent2 4 4 2 4 5" xfId="12297"/>
    <cellStyle name="20% - Accent2 4 4 2 4 6" xfId="12298"/>
    <cellStyle name="20% - Accent2 4 4 2 5" xfId="12299"/>
    <cellStyle name="20% - Accent2 4 4 2 5 2" xfId="12300"/>
    <cellStyle name="20% - Accent2 4 4 2 5 2 2" xfId="12301"/>
    <cellStyle name="20% - Accent2 4 4 2 5 2 3" xfId="12302"/>
    <cellStyle name="20% - Accent2 4 4 2 5 3" xfId="12303"/>
    <cellStyle name="20% - Accent2 4 4 2 5 3 2" xfId="12304"/>
    <cellStyle name="20% - Accent2 4 4 2 5 4" xfId="12305"/>
    <cellStyle name="20% - Accent2 4 4 2 5 5" xfId="12306"/>
    <cellStyle name="20% - Accent2 4 4 2 6" xfId="12307"/>
    <cellStyle name="20% - Accent2 4 4 2 6 2" xfId="12308"/>
    <cellStyle name="20% - Accent2 4 4 2 6 3" xfId="12309"/>
    <cellStyle name="20% - Accent2 4 4 2 7" xfId="12310"/>
    <cellStyle name="20% - Accent2 4 4 2 7 2" xfId="12311"/>
    <cellStyle name="20% - Accent2 4 4 2 7 3" xfId="12312"/>
    <cellStyle name="20% - Accent2 4 4 2 8" xfId="12313"/>
    <cellStyle name="20% - Accent2 4 4 2 8 2" xfId="12314"/>
    <cellStyle name="20% - Accent2 4 4 2 9" xfId="12315"/>
    <cellStyle name="20% - Accent2 4 4 3" xfId="394"/>
    <cellStyle name="20% - Accent2 4 4 3 2" xfId="12316"/>
    <cellStyle name="20% - Accent2 4 4 3 2 2" xfId="12317"/>
    <cellStyle name="20% - Accent2 4 4 3 2 2 2" xfId="12318"/>
    <cellStyle name="20% - Accent2 4 4 3 2 2 3" xfId="12319"/>
    <cellStyle name="20% - Accent2 4 4 3 2 3" xfId="12320"/>
    <cellStyle name="20% - Accent2 4 4 3 2 3 2" xfId="12321"/>
    <cellStyle name="20% - Accent2 4 4 3 2 3 3" xfId="12322"/>
    <cellStyle name="20% - Accent2 4 4 3 2 4" xfId="12323"/>
    <cellStyle name="20% - Accent2 4 4 3 2 4 2" xfId="12324"/>
    <cellStyle name="20% - Accent2 4 4 3 2 5" xfId="12325"/>
    <cellStyle name="20% - Accent2 4 4 3 2 6" xfId="12326"/>
    <cellStyle name="20% - Accent2 4 4 3 3" xfId="12327"/>
    <cellStyle name="20% - Accent2 4 4 3 3 2" xfId="12328"/>
    <cellStyle name="20% - Accent2 4 4 3 3 2 2" xfId="12329"/>
    <cellStyle name="20% - Accent2 4 4 3 3 2 3" xfId="12330"/>
    <cellStyle name="20% - Accent2 4 4 3 3 3" xfId="12331"/>
    <cellStyle name="20% - Accent2 4 4 3 3 3 2" xfId="12332"/>
    <cellStyle name="20% - Accent2 4 4 3 3 3 3" xfId="12333"/>
    <cellStyle name="20% - Accent2 4 4 3 3 4" xfId="12334"/>
    <cellStyle name="20% - Accent2 4 4 3 3 4 2" xfId="12335"/>
    <cellStyle name="20% - Accent2 4 4 3 3 5" xfId="12336"/>
    <cellStyle name="20% - Accent2 4 4 3 3 6" xfId="12337"/>
    <cellStyle name="20% - Accent2 4 4 3 4" xfId="12338"/>
    <cellStyle name="20% - Accent2 4 4 3 4 2" xfId="12339"/>
    <cellStyle name="20% - Accent2 4 4 3 4 2 2" xfId="12340"/>
    <cellStyle name="20% - Accent2 4 4 3 4 2 3" xfId="12341"/>
    <cellStyle name="20% - Accent2 4 4 3 4 3" xfId="12342"/>
    <cellStyle name="20% - Accent2 4 4 3 4 3 2" xfId="12343"/>
    <cellStyle name="20% - Accent2 4 4 3 4 4" xfId="12344"/>
    <cellStyle name="20% - Accent2 4 4 3 4 5" xfId="12345"/>
    <cellStyle name="20% - Accent2 4 4 3 5" xfId="12346"/>
    <cellStyle name="20% - Accent2 4 4 3 5 2" xfId="12347"/>
    <cellStyle name="20% - Accent2 4 4 3 5 3" xfId="12348"/>
    <cellStyle name="20% - Accent2 4 4 3 6" xfId="12349"/>
    <cellStyle name="20% - Accent2 4 4 3 6 2" xfId="12350"/>
    <cellStyle name="20% - Accent2 4 4 3 6 3" xfId="12351"/>
    <cellStyle name="20% - Accent2 4 4 3 7" xfId="12352"/>
    <cellStyle name="20% - Accent2 4 4 3 7 2" xfId="12353"/>
    <cellStyle name="20% - Accent2 4 4 3 8" xfId="12354"/>
    <cellStyle name="20% - Accent2 4 4 3 9" xfId="12355"/>
    <cellStyle name="20% - Accent2 4 4 4" xfId="12356"/>
    <cellStyle name="20% - Accent2 4 4 4 2" xfId="12357"/>
    <cellStyle name="20% - Accent2 4 4 4 2 2" xfId="12358"/>
    <cellStyle name="20% - Accent2 4 4 4 2 2 2" xfId="12359"/>
    <cellStyle name="20% - Accent2 4 4 4 2 2 3" xfId="12360"/>
    <cellStyle name="20% - Accent2 4 4 4 2 3" xfId="12361"/>
    <cellStyle name="20% - Accent2 4 4 4 2 3 2" xfId="12362"/>
    <cellStyle name="20% - Accent2 4 4 4 2 3 3" xfId="12363"/>
    <cellStyle name="20% - Accent2 4 4 4 2 4" xfId="12364"/>
    <cellStyle name="20% - Accent2 4 4 4 2 4 2" xfId="12365"/>
    <cellStyle name="20% - Accent2 4 4 4 2 5" xfId="12366"/>
    <cellStyle name="20% - Accent2 4 4 4 2 6" xfId="12367"/>
    <cellStyle name="20% - Accent2 4 4 4 3" xfId="12368"/>
    <cellStyle name="20% - Accent2 4 4 4 3 2" xfId="12369"/>
    <cellStyle name="20% - Accent2 4 4 4 3 2 2" xfId="12370"/>
    <cellStyle name="20% - Accent2 4 4 4 3 2 3" xfId="12371"/>
    <cellStyle name="20% - Accent2 4 4 4 3 3" xfId="12372"/>
    <cellStyle name="20% - Accent2 4 4 4 3 3 2" xfId="12373"/>
    <cellStyle name="20% - Accent2 4 4 4 3 3 3" xfId="12374"/>
    <cellStyle name="20% - Accent2 4 4 4 3 4" xfId="12375"/>
    <cellStyle name="20% - Accent2 4 4 4 3 4 2" xfId="12376"/>
    <cellStyle name="20% - Accent2 4 4 4 3 5" xfId="12377"/>
    <cellStyle name="20% - Accent2 4 4 4 3 6" xfId="12378"/>
    <cellStyle name="20% - Accent2 4 4 4 4" xfId="12379"/>
    <cellStyle name="20% - Accent2 4 4 4 4 2" xfId="12380"/>
    <cellStyle name="20% - Accent2 4 4 4 4 2 2" xfId="12381"/>
    <cellStyle name="20% - Accent2 4 4 4 4 2 3" xfId="12382"/>
    <cellStyle name="20% - Accent2 4 4 4 4 3" xfId="12383"/>
    <cellStyle name="20% - Accent2 4 4 4 4 3 2" xfId="12384"/>
    <cellStyle name="20% - Accent2 4 4 4 4 4" xfId="12385"/>
    <cellStyle name="20% - Accent2 4 4 4 4 5" xfId="12386"/>
    <cellStyle name="20% - Accent2 4 4 4 5" xfId="12387"/>
    <cellStyle name="20% - Accent2 4 4 4 5 2" xfId="12388"/>
    <cellStyle name="20% - Accent2 4 4 4 5 3" xfId="12389"/>
    <cellStyle name="20% - Accent2 4 4 4 6" xfId="12390"/>
    <cellStyle name="20% - Accent2 4 4 4 6 2" xfId="12391"/>
    <cellStyle name="20% - Accent2 4 4 4 6 3" xfId="12392"/>
    <cellStyle name="20% - Accent2 4 4 4 7" xfId="12393"/>
    <cellStyle name="20% - Accent2 4 4 4 7 2" xfId="12394"/>
    <cellStyle name="20% - Accent2 4 4 4 8" xfId="12395"/>
    <cellStyle name="20% - Accent2 4 4 4 9" xfId="12396"/>
    <cellStyle name="20% - Accent2 4 4 5" xfId="12397"/>
    <cellStyle name="20% - Accent2 4 4 5 2" xfId="12398"/>
    <cellStyle name="20% - Accent2 4 4 5 2 2" xfId="12399"/>
    <cellStyle name="20% - Accent2 4 4 5 2 3" xfId="12400"/>
    <cellStyle name="20% - Accent2 4 4 5 3" xfId="12401"/>
    <cellStyle name="20% - Accent2 4 4 5 3 2" xfId="12402"/>
    <cellStyle name="20% - Accent2 4 4 5 3 3" xfId="12403"/>
    <cellStyle name="20% - Accent2 4 4 5 4" xfId="12404"/>
    <cellStyle name="20% - Accent2 4 4 5 4 2" xfId="12405"/>
    <cellStyle name="20% - Accent2 4 4 5 5" xfId="12406"/>
    <cellStyle name="20% - Accent2 4 4 5 6" xfId="12407"/>
    <cellStyle name="20% - Accent2 4 4 6" xfId="12408"/>
    <cellStyle name="20% - Accent2 4 4 6 2" xfId="12409"/>
    <cellStyle name="20% - Accent2 4 4 6 2 2" xfId="12410"/>
    <cellStyle name="20% - Accent2 4 4 6 2 3" xfId="12411"/>
    <cellStyle name="20% - Accent2 4 4 6 3" xfId="12412"/>
    <cellStyle name="20% - Accent2 4 4 6 3 2" xfId="12413"/>
    <cellStyle name="20% - Accent2 4 4 6 3 3" xfId="12414"/>
    <cellStyle name="20% - Accent2 4 4 6 4" xfId="12415"/>
    <cellStyle name="20% - Accent2 4 4 6 4 2" xfId="12416"/>
    <cellStyle name="20% - Accent2 4 4 6 5" xfId="12417"/>
    <cellStyle name="20% - Accent2 4 4 6 6" xfId="12418"/>
    <cellStyle name="20% - Accent2 4 4 7" xfId="12419"/>
    <cellStyle name="20% - Accent2 4 4 7 2" xfId="12420"/>
    <cellStyle name="20% - Accent2 4 4 7 2 2" xfId="12421"/>
    <cellStyle name="20% - Accent2 4 4 7 2 3" xfId="12422"/>
    <cellStyle name="20% - Accent2 4 4 7 3" xfId="12423"/>
    <cellStyle name="20% - Accent2 4 4 7 3 2" xfId="12424"/>
    <cellStyle name="20% - Accent2 4 4 7 4" xfId="12425"/>
    <cellStyle name="20% - Accent2 4 4 7 5" xfId="12426"/>
    <cellStyle name="20% - Accent2 4 4 8" xfId="12427"/>
    <cellStyle name="20% - Accent2 4 4 8 2" xfId="12428"/>
    <cellStyle name="20% - Accent2 4 4 8 3" xfId="12429"/>
    <cellStyle name="20% - Accent2 4 4 9" xfId="12430"/>
    <cellStyle name="20% - Accent2 4 4 9 2" xfId="12431"/>
    <cellStyle name="20% - Accent2 4 4 9 3" xfId="12432"/>
    <cellStyle name="20% - Accent2 4 5" xfId="395"/>
    <cellStyle name="20% - Accent2 4 5 10" xfId="12433"/>
    <cellStyle name="20% - Accent2 4 5 2" xfId="396"/>
    <cellStyle name="20% - Accent2 4 5 2 2" xfId="12434"/>
    <cellStyle name="20% - Accent2 4 5 2 2 2" xfId="12435"/>
    <cellStyle name="20% - Accent2 4 5 2 2 2 2" xfId="12436"/>
    <cellStyle name="20% - Accent2 4 5 2 2 2 3" xfId="12437"/>
    <cellStyle name="20% - Accent2 4 5 2 2 3" xfId="12438"/>
    <cellStyle name="20% - Accent2 4 5 2 2 3 2" xfId="12439"/>
    <cellStyle name="20% - Accent2 4 5 2 2 3 3" xfId="12440"/>
    <cellStyle name="20% - Accent2 4 5 2 2 4" xfId="12441"/>
    <cellStyle name="20% - Accent2 4 5 2 2 4 2" xfId="12442"/>
    <cellStyle name="20% - Accent2 4 5 2 2 5" xfId="12443"/>
    <cellStyle name="20% - Accent2 4 5 2 2 6" xfId="12444"/>
    <cellStyle name="20% - Accent2 4 5 2 3" xfId="12445"/>
    <cellStyle name="20% - Accent2 4 5 2 3 2" xfId="12446"/>
    <cellStyle name="20% - Accent2 4 5 2 3 2 2" xfId="12447"/>
    <cellStyle name="20% - Accent2 4 5 2 3 2 3" xfId="12448"/>
    <cellStyle name="20% - Accent2 4 5 2 3 3" xfId="12449"/>
    <cellStyle name="20% - Accent2 4 5 2 3 3 2" xfId="12450"/>
    <cellStyle name="20% - Accent2 4 5 2 3 3 3" xfId="12451"/>
    <cellStyle name="20% - Accent2 4 5 2 3 4" xfId="12452"/>
    <cellStyle name="20% - Accent2 4 5 2 3 4 2" xfId="12453"/>
    <cellStyle name="20% - Accent2 4 5 2 3 5" xfId="12454"/>
    <cellStyle name="20% - Accent2 4 5 2 3 6" xfId="12455"/>
    <cellStyle name="20% - Accent2 4 5 2 4" xfId="12456"/>
    <cellStyle name="20% - Accent2 4 5 2 4 2" xfId="12457"/>
    <cellStyle name="20% - Accent2 4 5 2 4 2 2" xfId="12458"/>
    <cellStyle name="20% - Accent2 4 5 2 4 2 3" xfId="12459"/>
    <cellStyle name="20% - Accent2 4 5 2 4 3" xfId="12460"/>
    <cellStyle name="20% - Accent2 4 5 2 4 3 2" xfId="12461"/>
    <cellStyle name="20% - Accent2 4 5 2 4 4" xfId="12462"/>
    <cellStyle name="20% - Accent2 4 5 2 4 5" xfId="12463"/>
    <cellStyle name="20% - Accent2 4 5 2 5" xfId="12464"/>
    <cellStyle name="20% - Accent2 4 5 2 5 2" xfId="12465"/>
    <cellStyle name="20% - Accent2 4 5 2 5 3" xfId="12466"/>
    <cellStyle name="20% - Accent2 4 5 2 6" xfId="12467"/>
    <cellStyle name="20% - Accent2 4 5 2 6 2" xfId="12468"/>
    <cellStyle name="20% - Accent2 4 5 2 6 3" xfId="12469"/>
    <cellStyle name="20% - Accent2 4 5 2 7" xfId="12470"/>
    <cellStyle name="20% - Accent2 4 5 2 7 2" xfId="12471"/>
    <cellStyle name="20% - Accent2 4 5 2 8" xfId="12472"/>
    <cellStyle name="20% - Accent2 4 5 2 9" xfId="12473"/>
    <cellStyle name="20% - Accent2 4 5 3" xfId="12474"/>
    <cellStyle name="20% - Accent2 4 5 3 2" xfId="12475"/>
    <cellStyle name="20% - Accent2 4 5 3 2 2" xfId="12476"/>
    <cellStyle name="20% - Accent2 4 5 3 2 3" xfId="12477"/>
    <cellStyle name="20% - Accent2 4 5 3 3" xfId="12478"/>
    <cellStyle name="20% - Accent2 4 5 3 3 2" xfId="12479"/>
    <cellStyle name="20% - Accent2 4 5 3 3 3" xfId="12480"/>
    <cellStyle name="20% - Accent2 4 5 3 4" xfId="12481"/>
    <cellStyle name="20% - Accent2 4 5 3 4 2" xfId="12482"/>
    <cellStyle name="20% - Accent2 4 5 3 5" xfId="12483"/>
    <cellStyle name="20% - Accent2 4 5 3 6" xfId="12484"/>
    <cellStyle name="20% - Accent2 4 5 4" xfId="12485"/>
    <cellStyle name="20% - Accent2 4 5 4 2" xfId="12486"/>
    <cellStyle name="20% - Accent2 4 5 4 2 2" xfId="12487"/>
    <cellStyle name="20% - Accent2 4 5 4 2 3" xfId="12488"/>
    <cellStyle name="20% - Accent2 4 5 4 3" xfId="12489"/>
    <cellStyle name="20% - Accent2 4 5 4 3 2" xfId="12490"/>
    <cellStyle name="20% - Accent2 4 5 4 3 3" xfId="12491"/>
    <cellStyle name="20% - Accent2 4 5 4 4" xfId="12492"/>
    <cellStyle name="20% - Accent2 4 5 4 4 2" xfId="12493"/>
    <cellStyle name="20% - Accent2 4 5 4 5" xfId="12494"/>
    <cellStyle name="20% - Accent2 4 5 4 6" xfId="12495"/>
    <cellStyle name="20% - Accent2 4 5 5" xfId="12496"/>
    <cellStyle name="20% - Accent2 4 5 5 2" xfId="12497"/>
    <cellStyle name="20% - Accent2 4 5 5 2 2" xfId="12498"/>
    <cellStyle name="20% - Accent2 4 5 5 2 3" xfId="12499"/>
    <cellStyle name="20% - Accent2 4 5 5 3" xfId="12500"/>
    <cellStyle name="20% - Accent2 4 5 5 3 2" xfId="12501"/>
    <cellStyle name="20% - Accent2 4 5 5 4" xfId="12502"/>
    <cellStyle name="20% - Accent2 4 5 5 5" xfId="12503"/>
    <cellStyle name="20% - Accent2 4 5 6" xfId="12504"/>
    <cellStyle name="20% - Accent2 4 5 6 2" xfId="12505"/>
    <cellStyle name="20% - Accent2 4 5 6 3" xfId="12506"/>
    <cellStyle name="20% - Accent2 4 5 7" xfId="12507"/>
    <cellStyle name="20% - Accent2 4 5 7 2" xfId="12508"/>
    <cellStyle name="20% - Accent2 4 5 7 3" xfId="12509"/>
    <cellStyle name="20% - Accent2 4 5 8" xfId="12510"/>
    <cellStyle name="20% - Accent2 4 5 8 2" xfId="12511"/>
    <cellStyle name="20% - Accent2 4 5 9" xfId="12512"/>
    <cellStyle name="20% - Accent2 4 6" xfId="397"/>
    <cellStyle name="20% - Accent2 4 6 2" xfId="12513"/>
    <cellStyle name="20% - Accent2 4 6 2 2" xfId="12514"/>
    <cellStyle name="20% - Accent2 4 6 2 2 2" xfId="12515"/>
    <cellStyle name="20% - Accent2 4 6 2 2 3" xfId="12516"/>
    <cellStyle name="20% - Accent2 4 6 2 3" xfId="12517"/>
    <cellStyle name="20% - Accent2 4 6 2 3 2" xfId="12518"/>
    <cellStyle name="20% - Accent2 4 6 2 3 3" xfId="12519"/>
    <cellStyle name="20% - Accent2 4 6 2 4" xfId="12520"/>
    <cellStyle name="20% - Accent2 4 6 2 4 2" xfId="12521"/>
    <cellStyle name="20% - Accent2 4 6 2 5" xfId="12522"/>
    <cellStyle name="20% - Accent2 4 6 2 6" xfId="12523"/>
    <cellStyle name="20% - Accent2 4 6 3" xfId="12524"/>
    <cellStyle name="20% - Accent2 4 6 3 2" xfId="12525"/>
    <cellStyle name="20% - Accent2 4 6 3 2 2" xfId="12526"/>
    <cellStyle name="20% - Accent2 4 6 3 2 3" xfId="12527"/>
    <cellStyle name="20% - Accent2 4 6 3 3" xfId="12528"/>
    <cellStyle name="20% - Accent2 4 6 3 3 2" xfId="12529"/>
    <cellStyle name="20% - Accent2 4 6 3 3 3" xfId="12530"/>
    <cellStyle name="20% - Accent2 4 6 3 4" xfId="12531"/>
    <cellStyle name="20% - Accent2 4 6 3 4 2" xfId="12532"/>
    <cellStyle name="20% - Accent2 4 6 3 5" xfId="12533"/>
    <cellStyle name="20% - Accent2 4 6 3 6" xfId="12534"/>
    <cellStyle name="20% - Accent2 4 6 4" xfId="12535"/>
    <cellStyle name="20% - Accent2 4 6 4 2" xfId="12536"/>
    <cellStyle name="20% - Accent2 4 6 4 2 2" xfId="12537"/>
    <cellStyle name="20% - Accent2 4 6 4 2 3" xfId="12538"/>
    <cellStyle name="20% - Accent2 4 6 4 3" xfId="12539"/>
    <cellStyle name="20% - Accent2 4 6 4 3 2" xfId="12540"/>
    <cellStyle name="20% - Accent2 4 6 4 4" xfId="12541"/>
    <cellStyle name="20% - Accent2 4 6 4 5" xfId="12542"/>
    <cellStyle name="20% - Accent2 4 6 5" xfId="12543"/>
    <cellStyle name="20% - Accent2 4 6 5 2" xfId="12544"/>
    <cellStyle name="20% - Accent2 4 6 5 3" xfId="12545"/>
    <cellStyle name="20% - Accent2 4 6 6" xfId="12546"/>
    <cellStyle name="20% - Accent2 4 6 6 2" xfId="12547"/>
    <cellStyle name="20% - Accent2 4 6 6 3" xfId="12548"/>
    <cellStyle name="20% - Accent2 4 6 7" xfId="12549"/>
    <cellStyle name="20% - Accent2 4 6 7 2" xfId="12550"/>
    <cellStyle name="20% - Accent2 4 6 8" xfId="12551"/>
    <cellStyle name="20% - Accent2 4 6 9" xfId="12552"/>
    <cellStyle name="20% - Accent2 4 7" xfId="8838"/>
    <cellStyle name="20% - Accent2 4 7 2" xfId="12553"/>
    <cellStyle name="20% - Accent2 4 7 2 2" xfId="12554"/>
    <cellStyle name="20% - Accent2 4 7 2 2 2" xfId="12555"/>
    <cellStyle name="20% - Accent2 4 7 2 2 3" xfId="12556"/>
    <cellStyle name="20% - Accent2 4 7 2 3" xfId="12557"/>
    <cellStyle name="20% - Accent2 4 7 2 3 2" xfId="12558"/>
    <cellStyle name="20% - Accent2 4 7 2 3 3" xfId="12559"/>
    <cellStyle name="20% - Accent2 4 7 2 4" xfId="12560"/>
    <cellStyle name="20% - Accent2 4 7 2 4 2" xfId="12561"/>
    <cellStyle name="20% - Accent2 4 7 2 5" xfId="12562"/>
    <cellStyle name="20% - Accent2 4 7 2 6" xfId="12563"/>
    <cellStyle name="20% - Accent2 4 7 3" xfId="12564"/>
    <cellStyle name="20% - Accent2 4 7 3 2" xfId="12565"/>
    <cellStyle name="20% - Accent2 4 7 3 2 2" xfId="12566"/>
    <cellStyle name="20% - Accent2 4 7 3 2 3" xfId="12567"/>
    <cellStyle name="20% - Accent2 4 7 3 3" xfId="12568"/>
    <cellStyle name="20% - Accent2 4 7 3 3 2" xfId="12569"/>
    <cellStyle name="20% - Accent2 4 7 3 3 3" xfId="12570"/>
    <cellStyle name="20% - Accent2 4 7 3 4" xfId="12571"/>
    <cellStyle name="20% - Accent2 4 7 3 4 2" xfId="12572"/>
    <cellStyle name="20% - Accent2 4 7 3 5" xfId="12573"/>
    <cellStyle name="20% - Accent2 4 7 3 6" xfId="12574"/>
    <cellStyle name="20% - Accent2 4 7 4" xfId="12575"/>
    <cellStyle name="20% - Accent2 4 7 4 2" xfId="12576"/>
    <cellStyle name="20% - Accent2 4 7 4 2 2" xfId="12577"/>
    <cellStyle name="20% - Accent2 4 7 4 2 3" xfId="12578"/>
    <cellStyle name="20% - Accent2 4 7 4 3" xfId="12579"/>
    <cellStyle name="20% - Accent2 4 7 4 3 2" xfId="12580"/>
    <cellStyle name="20% - Accent2 4 7 4 4" xfId="12581"/>
    <cellStyle name="20% - Accent2 4 7 4 5" xfId="12582"/>
    <cellStyle name="20% - Accent2 4 7 5" xfId="12583"/>
    <cellStyle name="20% - Accent2 4 7 5 2" xfId="12584"/>
    <cellStyle name="20% - Accent2 4 7 5 3" xfId="12585"/>
    <cellStyle name="20% - Accent2 4 7 6" xfId="12586"/>
    <cellStyle name="20% - Accent2 4 7 6 2" xfId="12587"/>
    <cellStyle name="20% - Accent2 4 7 6 3" xfId="12588"/>
    <cellStyle name="20% - Accent2 4 7 7" xfId="12589"/>
    <cellStyle name="20% - Accent2 4 7 7 2" xfId="12590"/>
    <cellStyle name="20% - Accent2 4 7 8" xfId="12591"/>
    <cellStyle name="20% - Accent2 4 7 9" xfId="12592"/>
    <cellStyle name="20% - Accent2 4 8" xfId="12593"/>
    <cellStyle name="20% - Accent2 4 8 2" xfId="12594"/>
    <cellStyle name="20% - Accent2 4 8 2 2" xfId="12595"/>
    <cellStyle name="20% - Accent2 4 8 2 3" xfId="12596"/>
    <cellStyle name="20% - Accent2 4 8 3" xfId="12597"/>
    <cellStyle name="20% - Accent2 4 8 3 2" xfId="12598"/>
    <cellStyle name="20% - Accent2 4 8 3 3" xfId="12599"/>
    <cellStyle name="20% - Accent2 4 8 4" xfId="12600"/>
    <cellStyle name="20% - Accent2 4 8 4 2" xfId="12601"/>
    <cellStyle name="20% - Accent2 4 8 5" xfId="12602"/>
    <cellStyle name="20% - Accent2 4 8 6" xfId="12603"/>
    <cellStyle name="20% - Accent2 4 9" xfId="12604"/>
    <cellStyle name="20% - Accent2 4 9 2" xfId="12605"/>
    <cellStyle name="20% - Accent2 4 9 2 2" xfId="12606"/>
    <cellStyle name="20% - Accent2 4 9 2 3" xfId="12607"/>
    <cellStyle name="20% - Accent2 4 9 3" xfId="12608"/>
    <cellStyle name="20% - Accent2 4 9 3 2" xfId="12609"/>
    <cellStyle name="20% - Accent2 4 9 3 3" xfId="12610"/>
    <cellStyle name="20% - Accent2 4 9 4" xfId="12611"/>
    <cellStyle name="20% - Accent2 4 9 4 2" xfId="12612"/>
    <cellStyle name="20% - Accent2 4 9 5" xfId="12613"/>
    <cellStyle name="20% - Accent2 4 9 6" xfId="12614"/>
    <cellStyle name="20% - Accent2 5" xfId="398"/>
    <cellStyle name="20% - Accent2 5 2" xfId="399"/>
    <cellStyle name="20% - Accent2 5 2 2" xfId="400"/>
    <cellStyle name="20% - Accent2 5 2 2 2" xfId="401"/>
    <cellStyle name="20% - Accent2 5 2 2 2 2" xfId="402"/>
    <cellStyle name="20% - Accent2 5 2 2 3" xfId="403"/>
    <cellStyle name="20% - Accent2 5 2 3" xfId="404"/>
    <cellStyle name="20% - Accent2 5 2 3 2" xfId="405"/>
    <cellStyle name="20% - Accent2 5 2 4" xfId="406"/>
    <cellStyle name="20% - Accent2 5 2 5" xfId="58038"/>
    <cellStyle name="20% - Accent2 5 3" xfId="407"/>
    <cellStyle name="20% - Accent2 5 3 2" xfId="408"/>
    <cellStyle name="20% - Accent2 5 3 2 2" xfId="409"/>
    <cellStyle name="20% - Accent2 5 3 3" xfId="410"/>
    <cellStyle name="20% - Accent2 5 4" xfId="411"/>
    <cellStyle name="20% - Accent2 5 4 2" xfId="412"/>
    <cellStyle name="20% - Accent2 5 5" xfId="413"/>
    <cellStyle name="20% - Accent2 5 6" xfId="8839"/>
    <cellStyle name="20% - Accent2 6" xfId="414"/>
    <cellStyle name="20% - Accent2 6 2" xfId="415"/>
    <cellStyle name="20% - Accent2 6 2 2" xfId="416"/>
    <cellStyle name="20% - Accent2 6 2 2 2" xfId="417"/>
    <cellStyle name="20% - Accent2 6 2 3" xfId="418"/>
    <cellStyle name="20% - Accent2 6 2 4" xfId="58039"/>
    <cellStyle name="20% - Accent2 6 2 5" xfId="58040"/>
    <cellStyle name="20% - Accent2 6 3" xfId="419"/>
    <cellStyle name="20% - Accent2 6 3 2" xfId="420"/>
    <cellStyle name="20% - Accent2 6 4" xfId="421"/>
    <cellStyle name="20% - Accent2 6 5" xfId="58041"/>
    <cellStyle name="20% - Accent2 7" xfId="422"/>
    <cellStyle name="20% - Accent2 7 2" xfId="423"/>
    <cellStyle name="20% - Accent2 7 2 2" xfId="424"/>
    <cellStyle name="20% - Accent2 7 2 2 2" xfId="425"/>
    <cellStyle name="20% - Accent2 7 2 3" xfId="426"/>
    <cellStyle name="20% - Accent2 7 3" xfId="427"/>
    <cellStyle name="20% - Accent2 7 3 2" xfId="428"/>
    <cellStyle name="20% - Accent2 7 4" xfId="429"/>
    <cellStyle name="20% - Accent2 7 5" xfId="58042"/>
    <cellStyle name="20% - Accent2 8" xfId="430"/>
    <cellStyle name="20% - Accent2 8 2" xfId="431"/>
    <cellStyle name="20% - Accent2 8 2 2" xfId="432"/>
    <cellStyle name="20% - Accent2 8 2 2 2" xfId="433"/>
    <cellStyle name="20% - Accent2 8 2 3" xfId="434"/>
    <cellStyle name="20% - Accent2 8 3" xfId="435"/>
    <cellStyle name="20% - Accent2 8 3 2" xfId="436"/>
    <cellStyle name="20% - Accent2 8 4" xfId="437"/>
    <cellStyle name="20% - Accent2 8 5" xfId="58043"/>
    <cellStyle name="20% - Accent2 9" xfId="438"/>
    <cellStyle name="20% - Accent2 9 2" xfId="439"/>
    <cellStyle name="20% - Accent2 9 2 2" xfId="440"/>
    <cellStyle name="20% - Accent2 9 3" xfId="441"/>
    <cellStyle name="20% - Accent2 9 4" xfId="58044"/>
    <cellStyle name="20% - Accent3 10" xfId="442"/>
    <cellStyle name="20% - Accent3 10 2" xfId="443"/>
    <cellStyle name="20% - Accent3 10 2 2" xfId="444"/>
    <cellStyle name="20% - Accent3 10 3" xfId="445"/>
    <cellStyle name="20% - Accent3 10 4" xfId="58045"/>
    <cellStyle name="20% - Accent3 11" xfId="446"/>
    <cellStyle name="20% - Accent3 11 2" xfId="447"/>
    <cellStyle name="20% - Accent3 11 2 2" xfId="448"/>
    <cellStyle name="20% - Accent3 11 3" xfId="449"/>
    <cellStyle name="20% - Accent3 11 4" xfId="58046"/>
    <cellStyle name="20% - Accent3 12" xfId="450"/>
    <cellStyle name="20% - Accent3 12 2" xfId="451"/>
    <cellStyle name="20% - Accent3 12 3" xfId="58047"/>
    <cellStyle name="20% - Accent3 13" xfId="452"/>
    <cellStyle name="20% - Accent3 13 2" xfId="58048"/>
    <cellStyle name="20% - Accent3 14" xfId="8840"/>
    <cellStyle name="20% - Accent3 15" xfId="12615"/>
    <cellStyle name="20% - Accent3 16" xfId="12616"/>
    <cellStyle name="20% - Accent3 17" xfId="12617"/>
    <cellStyle name="20% - Accent3 17 2" xfId="58049"/>
    <cellStyle name="20% - Accent3 18" xfId="58050"/>
    <cellStyle name="20% - Accent3 19" xfId="58051"/>
    <cellStyle name="20% - Accent3 2" xfId="453"/>
    <cellStyle name="20% - Accent3 2 2" xfId="454"/>
    <cellStyle name="20% - Accent3 2 2 2" xfId="455"/>
    <cellStyle name="20% - Accent3 2 2 2 2" xfId="456"/>
    <cellStyle name="20% - Accent3 2 2 2 2 2" xfId="457"/>
    <cellStyle name="20% - Accent3 2 2 2 2 2 2" xfId="458"/>
    <cellStyle name="20% - Accent3 2 2 2 2 2 2 2" xfId="459"/>
    <cellStyle name="20% - Accent3 2 2 2 2 2 3" xfId="460"/>
    <cellStyle name="20% - Accent3 2 2 2 2 3" xfId="461"/>
    <cellStyle name="20% - Accent3 2 2 2 2 3 2" xfId="462"/>
    <cellStyle name="20% - Accent3 2 2 2 2 4" xfId="463"/>
    <cellStyle name="20% - Accent3 2 2 2 2 5" xfId="58052"/>
    <cellStyle name="20% - Accent3 2 2 2 3" xfId="464"/>
    <cellStyle name="20% - Accent3 2 2 2 3 2" xfId="465"/>
    <cellStyle name="20% - Accent3 2 2 2 3 2 2" xfId="466"/>
    <cellStyle name="20% - Accent3 2 2 2 3 3" xfId="467"/>
    <cellStyle name="20% - Accent3 2 2 2 4" xfId="468"/>
    <cellStyle name="20% - Accent3 2 2 2 4 2" xfId="469"/>
    <cellStyle name="20% - Accent3 2 2 2 5" xfId="470"/>
    <cellStyle name="20% - Accent3 2 2 2 6" xfId="58053"/>
    <cellStyle name="20% - Accent3 2 2 3" xfId="471"/>
    <cellStyle name="20% - Accent3 2 2 3 2" xfId="472"/>
    <cellStyle name="20% - Accent3 2 2 3 2 2" xfId="473"/>
    <cellStyle name="20% - Accent3 2 2 3 2 2 2" xfId="474"/>
    <cellStyle name="20% - Accent3 2 2 3 2 3" xfId="475"/>
    <cellStyle name="20% - Accent3 2 2 3 3" xfId="476"/>
    <cellStyle name="20% - Accent3 2 2 3 3 2" xfId="477"/>
    <cellStyle name="20% - Accent3 2 2 3 4" xfId="478"/>
    <cellStyle name="20% - Accent3 2 2 3 5" xfId="58054"/>
    <cellStyle name="20% - Accent3 2 2 4" xfId="479"/>
    <cellStyle name="20% - Accent3 2 2 4 2" xfId="480"/>
    <cellStyle name="20% - Accent3 2 2 4 2 2" xfId="481"/>
    <cellStyle name="20% - Accent3 2 2 4 3" xfId="482"/>
    <cellStyle name="20% - Accent3 2 2 5" xfId="483"/>
    <cellStyle name="20% - Accent3 2 2 5 2" xfId="484"/>
    <cellStyle name="20% - Accent3 2 2 6" xfId="485"/>
    <cellStyle name="20% - Accent3 2 2 7" xfId="58055"/>
    <cellStyle name="20% - Accent3 2 3" xfId="486"/>
    <cellStyle name="20% - Accent3 2 3 2" xfId="487"/>
    <cellStyle name="20% - Accent3 2 3 2 2" xfId="488"/>
    <cellStyle name="20% - Accent3 2 3 2 2 2" xfId="489"/>
    <cellStyle name="20% - Accent3 2 3 2 2 2 2" xfId="490"/>
    <cellStyle name="20% - Accent3 2 3 2 2 3" xfId="491"/>
    <cellStyle name="20% - Accent3 2 3 2 3" xfId="492"/>
    <cellStyle name="20% - Accent3 2 3 2 3 2" xfId="493"/>
    <cellStyle name="20% - Accent3 2 3 2 4" xfId="494"/>
    <cellStyle name="20% - Accent3 2 3 3" xfId="495"/>
    <cellStyle name="20% - Accent3 2 3 3 2" xfId="496"/>
    <cellStyle name="20% - Accent3 2 3 3 2 2" xfId="497"/>
    <cellStyle name="20% - Accent3 2 3 3 3" xfId="498"/>
    <cellStyle name="20% - Accent3 2 3 4" xfId="499"/>
    <cellStyle name="20% - Accent3 2 3 4 2" xfId="500"/>
    <cellStyle name="20% - Accent3 2 3 5" xfId="501"/>
    <cellStyle name="20% - Accent3 2 3 6" xfId="58056"/>
    <cellStyle name="20% - Accent3 2 4" xfId="502"/>
    <cellStyle name="20% - Accent3 2 4 2" xfId="503"/>
    <cellStyle name="20% - Accent3 2 4 2 2" xfId="504"/>
    <cellStyle name="20% - Accent3 2 4 2 2 2" xfId="505"/>
    <cellStyle name="20% - Accent3 2 4 2 3" xfId="506"/>
    <cellStyle name="20% - Accent3 2 4 3" xfId="507"/>
    <cellStyle name="20% - Accent3 2 4 3 2" xfId="508"/>
    <cellStyle name="20% - Accent3 2 4 4" xfId="509"/>
    <cellStyle name="20% - Accent3 2 4 5" xfId="58057"/>
    <cellStyle name="20% - Accent3 2 5" xfId="510"/>
    <cellStyle name="20% - Accent3 2 5 2" xfId="511"/>
    <cellStyle name="20% - Accent3 2 5 2 2" xfId="512"/>
    <cellStyle name="20% - Accent3 2 5 3" xfId="513"/>
    <cellStyle name="20% - Accent3 2 5 4" xfId="58058"/>
    <cellStyle name="20% - Accent3 2 6" xfId="514"/>
    <cellStyle name="20% - Accent3 2 6 2" xfId="515"/>
    <cellStyle name="20% - Accent3 2 6 3" xfId="58059"/>
    <cellStyle name="20% - Accent3 2 7" xfId="516"/>
    <cellStyle name="20% - Accent3 2 8" xfId="517"/>
    <cellStyle name="20% - Accent3 2 9" xfId="58060"/>
    <cellStyle name="20% - Accent3 20" xfId="58061"/>
    <cellStyle name="20% - Accent3 21" xfId="58062"/>
    <cellStyle name="20% - Accent3 3" xfId="518"/>
    <cellStyle name="20% - Accent3 3 2" xfId="519"/>
    <cellStyle name="20% - Accent3 3 2 2" xfId="520"/>
    <cellStyle name="20% - Accent3 3 2 2 2" xfId="521"/>
    <cellStyle name="20% - Accent3 3 2 2 2 2" xfId="522"/>
    <cellStyle name="20% - Accent3 3 2 2 2 2 2" xfId="523"/>
    <cellStyle name="20% - Accent3 3 2 2 2 2 2 2" xfId="524"/>
    <cellStyle name="20% - Accent3 3 2 2 2 2 3" xfId="525"/>
    <cellStyle name="20% - Accent3 3 2 2 2 3" xfId="526"/>
    <cellStyle name="20% - Accent3 3 2 2 2 3 2" xfId="527"/>
    <cellStyle name="20% - Accent3 3 2 2 2 4" xfId="528"/>
    <cellStyle name="20% - Accent3 3 2 2 2 5" xfId="8841"/>
    <cellStyle name="20% - Accent3 3 2 2 3" xfId="529"/>
    <cellStyle name="20% - Accent3 3 2 2 3 2" xfId="530"/>
    <cellStyle name="20% - Accent3 3 2 2 3 2 2" xfId="531"/>
    <cellStyle name="20% - Accent3 3 2 2 3 3" xfId="532"/>
    <cellStyle name="20% - Accent3 3 2 2 4" xfId="533"/>
    <cellStyle name="20% - Accent3 3 2 2 4 2" xfId="534"/>
    <cellStyle name="20% - Accent3 3 2 2 5" xfId="535"/>
    <cellStyle name="20% - Accent3 3 2 2 6" xfId="8842"/>
    <cellStyle name="20% - Accent3 3 2 3" xfId="536"/>
    <cellStyle name="20% - Accent3 3 2 3 2" xfId="537"/>
    <cellStyle name="20% - Accent3 3 2 3 2 2" xfId="538"/>
    <cellStyle name="20% - Accent3 3 2 3 2 2 2" xfId="539"/>
    <cellStyle name="20% - Accent3 3 2 3 2 3" xfId="540"/>
    <cellStyle name="20% - Accent3 3 2 3 3" xfId="541"/>
    <cellStyle name="20% - Accent3 3 2 3 3 2" xfId="542"/>
    <cellStyle name="20% - Accent3 3 2 3 4" xfId="543"/>
    <cellStyle name="20% - Accent3 3 2 3 5" xfId="8843"/>
    <cellStyle name="20% - Accent3 3 2 4" xfId="544"/>
    <cellStyle name="20% - Accent3 3 2 4 2" xfId="545"/>
    <cellStyle name="20% - Accent3 3 2 4 2 2" xfId="546"/>
    <cellStyle name="20% - Accent3 3 2 4 3" xfId="547"/>
    <cellStyle name="20% - Accent3 3 2 5" xfId="548"/>
    <cellStyle name="20% - Accent3 3 2 5 2" xfId="549"/>
    <cellStyle name="20% - Accent3 3 2 6" xfId="550"/>
    <cellStyle name="20% - Accent3 3 2 7" xfId="8844"/>
    <cellStyle name="20% - Accent3 3 3" xfId="551"/>
    <cellStyle name="20% - Accent3 3 3 2" xfId="552"/>
    <cellStyle name="20% - Accent3 3 3 2 2" xfId="553"/>
    <cellStyle name="20% - Accent3 3 3 2 2 2" xfId="554"/>
    <cellStyle name="20% - Accent3 3 3 2 2 2 2" xfId="555"/>
    <cellStyle name="20% - Accent3 3 3 2 2 3" xfId="556"/>
    <cellStyle name="20% - Accent3 3 3 2 3" xfId="557"/>
    <cellStyle name="20% - Accent3 3 3 2 3 2" xfId="558"/>
    <cellStyle name="20% - Accent3 3 3 2 4" xfId="559"/>
    <cellStyle name="20% - Accent3 3 3 2 5" xfId="8845"/>
    <cellStyle name="20% - Accent3 3 3 3" xfId="560"/>
    <cellStyle name="20% - Accent3 3 3 3 2" xfId="561"/>
    <cellStyle name="20% - Accent3 3 3 3 2 2" xfId="562"/>
    <cellStyle name="20% - Accent3 3 3 3 3" xfId="563"/>
    <cellStyle name="20% - Accent3 3 3 4" xfId="564"/>
    <cellStyle name="20% - Accent3 3 3 4 2" xfId="565"/>
    <cellStyle name="20% - Accent3 3 3 5" xfId="566"/>
    <cellStyle name="20% - Accent3 3 3 6" xfId="8846"/>
    <cellStyle name="20% - Accent3 3 4" xfId="567"/>
    <cellStyle name="20% - Accent3 3 4 2" xfId="568"/>
    <cellStyle name="20% - Accent3 3 4 2 2" xfId="569"/>
    <cellStyle name="20% - Accent3 3 4 2 2 2" xfId="570"/>
    <cellStyle name="20% - Accent3 3 4 2 3" xfId="571"/>
    <cellStyle name="20% - Accent3 3 4 3" xfId="572"/>
    <cellStyle name="20% - Accent3 3 4 3 2" xfId="573"/>
    <cellStyle name="20% - Accent3 3 4 4" xfId="574"/>
    <cellStyle name="20% - Accent3 3 4 5" xfId="8847"/>
    <cellStyle name="20% - Accent3 3 5" xfId="575"/>
    <cellStyle name="20% - Accent3 3 5 2" xfId="576"/>
    <cellStyle name="20% - Accent3 3 5 2 2" xfId="577"/>
    <cellStyle name="20% - Accent3 3 5 3" xfId="578"/>
    <cellStyle name="20% - Accent3 3 6" xfId="579"/>
    <cellStyle name="20% - Accent3 3 6 2" xfId="580"/>
    <cellStyle name="20% - Accent3 3 7" xfId="581"/>
    <cellStyle name="20% - Accent3 3 8" xfId="582"/>
    <cellStyle name="20% - Accent3 3 9" xfId="8848"/>
    <cellStyle name="20% - Accent3 4" xfId="583"/>
    <cellStyle name="20% - Accent3 4 10" xfId="12618"/>
    <cellStyle name="20% - Accent3 4 10 2" xfId="12619"/>
    <cellStyle name="20% - Accent3 4 10 2 2" xfId="12620"/>
    <cellStyle name="20% - Accent3 4 10 2 3" xfId="12621"/>
    <cellStyle name="20% - Accent3 4 10 3" xfId="12622"/>
    <cellStyle name="20% - Accent3 4 10 3 2" xfId="12623"/>
    <cellStyle name="20% - Accent3 4 10 4" xfId="12624"/>
    <cellStyle name="20% - Accent3 4 10 5" xfId="12625"/>
    <cellStyle name="20% - Accent3 4 11" xfId="12626"/>
    <cellStyle name="20% - Accent3 4 11 2" xfId="12627"/>
    <cellStyle name="20% - Accent3 4 11 3" xfId="12628"/>
    <cellStyle name="20% - Accent3 4 12" xfId="12629"/>
    <cellStyle name="20% - Accent3 4 12 2" xfId="12630"/>
    <cellStyle name="20% - Accent3 4 12 3" xfId="12631"/>
    <cellStyle name="20% - Accent3 4 13" xfId="12632"/>
    <cellStyle name="20% - Accent3 4 13 2" xfId="12633"/>
    <cellStyle name="20% - Accent3 4 14" xfId="12634"/>
    <cellStyle name="20% - Accent3 4 15" xfId="12635"/>
    <cellStyle name="20% - Accent3 4 16" xfId="12636"/>
    <cellStyle name="20% - Accent3 4 2" xfId="584"/>
    <cellStyle name="20% - Accent3 4 2 10" xfId="12637"/>
    <cellStyle name="20% - Accent3 4 2 10 2" xfId="12638"/>
    <cellStyle name="20% - Accent3 4 2 10 3" xfId="12639"/>
    <cellStyle name="20% - Accent3 4 2 11" xfId="12640"/>
    <cellStyle name="20% - Accent3 4 2 11 2" xfId="12641"/>
    <cellStyle name="20% - Accent3 4 2 11 3" xfId="12642"/>
    <cellStyle name="20% - Accent3 4 2 12" xfId="12643"/>
    <cellStyle name="20% - Accent3 4 2 12 2" xfId="12644"/>
    <cellStyle name="20% - Accent3 4 2 13" xfId="12645"/>
    <cellStyle name="20% - Accent3 4 2 14" xfId="12646"/>
    <cellStyle name="20% - Accent3 4 2 15" xfId="12647"/>
    <cellStyle name="20% - Accent3 4 2 2" xfId="585"/>
    <cellStyle name="20% - Accent3 4 2 2 10" xfId="12648"/>
    <cellStyle name="20% - Accent3 4 2 2 10 2" xfId="12649"/>
    <cellStyle name="20% - Accent3 4 2 2 10 3" xfId="12650"/>
    <cellStyle name="20% - Accent3 4 2 2 11" xfId="12651"/>
    <cellStyle name="20% - Accent3 4 2 2 11 2" xfId="12652"/>
    <cellStyle name="20% - Accent3 4 2 2 12" xfId="12653"/>
    <cellStyle name="20% - Accent3 4 2 2 13" xfId="12654"/>
    <cellStyle name="20% - Accent3 4 2 2 2" xfId="586"/>
    <cellStyle name="20% - Accent3 4 2 2 2 10" xfId="12655"/>
    <cellStyle name="20% - Accent3 4 2 2 2 10 2" xfId="12656"/>
    <cellStyle name="20% - Accent3 4 2 2 2 11" xfId="12657"/>
    <cellStyle name="20% - Accent3 4 2 2 2 12" xfId="12658"/>
    <cellStyle name="20% - Accent3 4 2 2 2 2" xfId="587"/>
    <cellStyle name="20% - Accent3 4 2 2 2 2 10" xfId="12659"/>
    <cellStyle name="20% - Accent3 4 2 2 2 2 2" xfId="588"/>
    <cellStyle name="20% - Accent3 4 2 2 2 2 2 2" xfId="12660"/>
    <cellStyle name="20% - Accent3 4 2 2 2 2 2 2 2" xfId="12661"/>
    <cellStyle name="20% - Accent3 4 2 2 2 2 2 2 2 2" xfId="12662"/>
    <cellStyle name="20% - Accent3 4 2 2 2 2 2 2 2 3" xfId="12663"/>
    <cellStyle name="20% - Accent3 4 2 2 2 2 2 2 3" xfId="12664"/>
    <cellStyle name="20% - Accent3 4 2 2 2 2 2 2 3 2" xfId="12665"/>
    <cellStyle name="20% - Accent3 4 2 2 2 2 2 2 3 3" xfId="12666"/>
    <cellStyle name="20% - Accent3 4 2 2 2 2 2 2 4" xfId="12667"/>
    <cellStyle name="20% - Accent3 4 2 2 2 2 2 2 4 2" xfId="12668"/>
    <cellStyle name="20% - Accent3 4 2 2 2 2 2 2 5" xfId="12669"/>
    <cellStyle name="20% - Accent3 4 2 2 2 2 2 2 6" xfId="12670"/>
    <cellStyle name="20% - Accent3 4 2 2 2 2 2 3" xfId="12671"/>
    <cellStyle name="20% - Accent3 4 2 2 2 2 2 3 2" xfId="12672"/>
    <cellStyle name="20% - Accent3 4 2 2 2 2 2 3 2 2" xfId="12673"/>
    <cellStyle name="20% - Accent3 4 2 2 2 2 2 3 2 3" xfId="12674"/>
    <cellStyle name="20% - Accent3 4 2 2 2 2 2 3 3" xfId="12675"/>
    <cellStyle name="20% - Accent3 4 2 2 2 2 2 3 3 2" xfId="12676"/>
    <cellStyle name="20% - Accent3 4 2 2 2 2 2 3 3 3" xfId="12677"/>
    <cellStyle name="20% - Accent3 4 2 2 2 2 2 3 4" xfId="12678"/>
    <cellStyle name="20% - Accent3 4 2 2 2 2 2 3 4 2" xfId="12679"/>
    <cellStyle name="20% - Accent3 4 2 2 2 2 2 3 5" xfId="12680"/>
    <cellStyle name="20% - Accent3 4 2 2 2 2 2 3 6" xfId="12681"/>
    <cellStyle name="20% - Accent3 4 2 2 2 2 2 4" xfId="12682"/>
    <cellStyle name="20% - Accent3 4 2 2 2 2 2 4 2" xfId="12683"/>
    <cellStyle name="20% - Accent3 4 2 2 2 2 2 4 2 2" xfId="12684"/>
    <cellStyle name="20% - Accent3 4 2 2 2 2 2 4 2 3" xfId="12685"/>
    <cellStyle name="20% - Accent3 4 2 2 2 2 2 4 3" xfId="12686"/>
    <cellStyle name="20% - Accent3 4 2 2 2 2 2 4 3 2" xfId="12687"/>
    <cellStyle name="20% - Accent3 4 2 2 2 2 2 4 4" xfId="12688"/>
    <cellStyle name="20% - Accent3 4 2 2 2 2 2 4 5" xfId="12689"/>
    <cellStyle name="20% - Accent3 4 2 2 2 2 2 5" xfId="12690"/>
    <cellStyle name="20% - Accent3 4 2 2 2 2 2 5 2" xfId="12691"/>
    <cellStyle name="20% - Accent3 4 2 2 2 2 2 5 3" xfId="12692"/>
    <cellStyle name="20% - Accent3 4 2 2 2 2 2 6" xfId="12693"/>
    <cellStyle name="20% - Accent3 4 2 2 2 2 2 6 2" xfId="12694"/>
    <cellStyle name="20% - Accent3 4 2 2 2 2 2 6 3" xfId="12695"/>
    <cellStyle name="20% - Accent3 4 2 2 2 2 2 7" xfId="12696"/>
    <cellStyle name="20% - Accent3 4 2 2 2 2 2 7 2" xfId="12697"/>
    <cellStyle name="20% - Accent3 4 2 2 2 2 2 8" xfId="12698"/>
    <cellStyle name="20% - Accent3 4 2 2 2 2 2 9" xfId="12699"/>
    <cellStyle name="20% - Accent3 4 2 2 2 2 3" xfId="12700"/>
    <cellStyle name="20% - Accent3 4 2 2 2 2 3 2" xfId="12701"/>
    <cellStyle name="20% - Accent3 4 2 2 2 2 3 2 2" xfId="12702"/>
    <cellStyle name="20% - Accent3 4 2 2 2 2 3 2 3" xfId="12703"/>
    <cellStyle name="20% - Accent3 4 2 2 2 2 3 3" xfId="12704"/>
    <cellStyle name="20% - Accent3 4 2 2 2 2 3 3 2" xfId="12705"/>
    <cellStyle name="20% - Accent3 4 2 2 2 2 3 3 3" xfId="12706"/>
    <cellStyle name="20% - Accent3 4 2 2 2 2 3 4" xfId="12707"/>
    <cellStyle name="20% - Accent3 4 2 2 2 2 3 4 2" xfId="12708"/>
    <cellStyle name="20% - Accent3 4 2 2 2 2 3 5" xfId="12709"/>
    <cellStyle name="20% - Accent3 4 2 2 2 2 3 6" xfId="12710"/>
    <cellStyle name="20% - Accent3 4 2 2 2 2 4" xfId="12711"/>
    <cellStyle name="20% - Accent3 4 2 2 2 2 4 2" xfId="12712"/>
    <cellStyle name="20% - Accent3 4 2 2 2 2 4 2 2" xfId="12713"/>
    <cellStyle name="20% - Accent3 4 2 2 2 2 4 2 3" xfId="12714"/>
    <cellStyle name="20% - Accent3 4 2 2 2 2 4 3" xfId="12715"/>
    <cellStyle name="20% - Accent3 4 2 2 2 2 4 3 2" xfId="12716"/>
    <cellStyle name="20% - Accent3 4 2 2 2 2 4 3 3" xfId="12717"/>
    <cellStyle name="20% - Accent3 4 2 2 2 2 4 4" xfId="12718"/>
    <cellStyle name="20% - Accent3 4 2 2 2 2 4 4 2" xfId="12719"/>
    <cellStyle name="20% - Accent3 4 2 2 2 2 4 5" xfId="12720"/>
    <cellStyle name="20% - Accent3 4 2 2 2 2 4 6" xfId="12721"/>
    <cellStyle name="20% - Accent3 4 2 2 2 2 5" xfId="12722"/>
    <cellStyle name="20% - Accent3 4 2 2 2 2 5 2" xfId="12723"/>
    <cellStyle name="20% - Accent3 4 2 2 2 2 5 2 2" xfId="12724"/>
    <cellStyle name="20% - Accent3 4 2 2 2 2 5 2 3" xfId="12725"/>
    <cellStyle name="20% - Accent3 4 2 2 2 2 5 3" xfId="12726"/>
    <cellStyle name="20% - Accent3 4 2 2 2 2 5 3 2" xfId="12727"/>
    <cellStyle name="20% - Accent3 4 2 2 2 2 5 4" xfId="12728"/>
    <cellStyle name="20% - Accent3 4 2 2 2 2 5 5" xfId="12729"/>
    <cellStyle name="20% - Accent3 4 2 2 2 2 6" xfId="12730"/>
    <cellStyle name="20% - Accent3 4 2 2 2 2 6 2" xfId="12731"/>
    <cellStyle name="20% - Accent3 4 2 2 2 2 6 3" xfId="12732"/>
    <cellStyle name="20% - Accent3 4 2 2 2 2 7" xfId="12733"/>
    <cellStyle name="20% - Accent3 4 2 2 2 2 7 2" xfId="12734"/>
    <cellStyle name="20% - Accent3 4 2 2 2 2 7 3" xfId="12735"/>
    <cellStyle name="20% - Accent3 4 2 2 2 2 8" xfId="12736"/>
    <cellStyle name="20% - Accent3 4 2 2 2 2 8 2" xfId="12737"/>
    <cellStyle name="20% - Accent3 4 2 2 2 2 9" xfId="12738"/>
    <cellStyle name="20% - Accent3 4 2 2 2 3" xfId="589"/>
    <cellStyle name="20% - Accent3 4 2 2 2 3 2" xfId="12739"/>
    <cellStyle name="20% - Accent3 4 2 2 2 3 2 2" xfId="12740"/>
    <cellStyle name="20% - Accent3 4 2 2 2 3 2 2 2" xfId="12741"/>
    <cellStyle name="20% - Accent3 4 2 2 2 3 2 2 3" xfId="12742"/>
    <cellStyle name="20% - Accent3 4 2 2 2 3 2 3" xfId="12743"/>
    <cellStyle name="20% - Accent3 4 2 2 2 3 2 3 2" xfId="12744"/>
    <cellStyle name="20% - Accent3 4 2 2 2 3 2 3 3" xfId="12745"/>
    <cellStyle name="20% - Accent3 4 2 2 2 3 2 4" xfId="12746"/>
    <cellStyle name="20% - Accent3 4 2 2 2 3 2 4 2" xfId="12747"/>
    <cellStyle name="20% - Accent3 4 2 2 2 3 2 5" xfId="12748"/>
    <cellStyle name="20% - Accent3 4 2 2 2 3 2 6" xfId="12749"/>
    <cellStyle name="20% - Accent3 4 2 2 2 3 3" xfId="12750"/>
    <cellStyle name="20% - Accent3 4 2 2 2 3 3 2" xfId="12751"/>
    <cellStyle name="20% - Accent3 4 2 2 2 3 3 2 2" xfId="12752"/>
    <cellStyle name="20% - Accent3 4 2 2 2 3 3 2 3" xfId="12753"/>
    <cellStyle name="20% - Accent3 4 2 2 2 3 3 3" xfId="12754"/>
    <cellStyle name="20% - Accent3 4 2 2 2 3 3 3 2" xfId="12755"/>
    <cellStyle name="20% - Accent3 4 2 2 2 3 3 3 3" xfId="12756"/>
    <cellStyle name="20% - Accent3 4 2 2 2 3 3 4" xfId="12757"/>
    <cellStyle name="20% - Accent3 4 2 2 2 3 3 4 2" xfId="12758"/>
    <cellStyle name="20% - Accent3 4 2 2 2 3 3 5" xfId="12759"/>
    <cellStyle name="20% - Accent3 4 2 2 2 3 3 6" xfId="12760"/>
    <cellStyle name="20% - Accent3 4 2 2 2 3 4" xfId="12761"/>
    <cellStyle name="20% - Accent3 4 2 2 2 3 4 2" xfId="12762"/>
    <cellStyle name="20% - Accent3 4 2 2 2 3 4 2 2" xfId="12763"/>
    <cellStyle name="20% - Accent3 4 2 2 2 3 4 2 3" xfId="12764"/>
    <cellStyle name="20% - Accent3 4 2 2 2 3 4 3" xfId="12765"/>
    <cellStyle name="20% - Accent3 4 2 2 2 3 4 3 2" xfId="12766"/>
    <cellStyle name="20% - Accent3 4 2 2 2 3 4 4" xfId="12767"/>
    <cellStyle name="20% - Accent3 4 2 2 2 3 4 5" xfId="12768"/>
    <cellStyle name="20% - Accent3 4 2 2 2 3 5" xfId="12769"/>
    <cellStyle name="20% - Accent3 4 2 2 2 3 5 2" xfId="12770"/>
    <cellStyle name="20% - Accent3 4 2 2 2 3 5 3" xfId="12771"/>
    <cellStyle name="20% - Accent3 4 2 2 2 3 6" xfId="12772"/>
    <cellStyle name="20% - Accent3 4 2 2 2 3 6 2" xfId="12773"/>
    <cellStyle name="20% - Accent3 4 2 2 2 3 6 3" xfId="12774"/>
    <cellStyle name="20% - Accent3 4 2 2 2 3 7" xfId="12775"/>
    <cellStyle name="20% - Accent3 4 2 2 2 3 7 2" xfId="12776"/>
    <cellStyle name="20% - Accent3 4 2 2 2 3 8" xfId="12777"/>
    <cellStyle name="20% - Accent3 4 2 2 2 3 9" xfId="12778"/>
    <cellStyle name="20% - Accent3 4 2 2 2 4" xfId="12779"/>
    <cellStyle name="20% - Accent3 4 2 2 2 4 2" xfId="12780"/>
    <cellStyle name="20% - Accent3 4 2 2 2 4 2 2" xfId="12781"/>
    <cellStyle name="20% - Accent3 4 2 2 2 4 2 2 2" xfId="12782"/>
    <cellStyle name="20% - Accent3 4 2 2 2 4 2 2 3" xfId="12783"/>
    <cellStyle name="20% - Accent3 4 2 2 2 4 2 3" xfId="12784"/>
    <cellStyle name="20% - Accent3 4 2 2 2 4 2 3 2" xfId="12785"/>
    <cellStyle name="20% - Accent3 4 2 2 2 4 2 3 3" xfId="12786"/>
    <cellStyle name="20% - Accent3 4 2 2 2 4 2 4" xfId="12787"/>
    <cellStyle name="20% - Accent3 4 2 2 2 4 2 4 2" xfId="12788"/>
    <cellStyle name="20% - Accent3 4 2 2 2 4 2 5" xfId="12789"/>
    <cellStyle name="20% - Accent3 4 2 2 2 4 2 6" xfId="12790"/>
    <cellStyle name="20% - Accent3 4 2 2 2 4 3" xfId="12791"/>
    <cellStyle name="20% - Accent3 4 2 2 2 4 3 2" xfId="12792"/>
    <cellStyle name="20% - Accent3 4 2 2 2 4 3 2 2" xfId="12793"/>
    <cellStyle name="20% - Accent3 4 2 2 2 4 3 2 3" xfId="12794"/>
    <cellStyle name="20% - Accent3 4 2 2 2 4 3 3" xfId="12795"/>
    <cellStyle name="20% - Accent3 4 2 2 2 4 3 3 2" xfId="12796"/>
    <cellStyle name="20% - Accent3 4 2 2 2 4 3 3 3" xfId="12797"/>
    <cellStyle name="20% - Accent3 4 2 2 2 4 3 4" xfId="12798"/>
    <cellStyle name="20% - Accent3 4 2 2 2 4 3 4 2" xfId="12799"/>
    <cellStyle name="20% - Accent3 4 2 2 2 4 3 5" xfId="12800"/>
    <cellStyle name="20% - Accent3 4 2 2 2 4 3 6" xfId="12801"/>
    <cellStyle name="20% - Accent3 4 2 2 2 4 4" xfId="12802"/>
    <cellStyle name="20% - Accent3 4 2 2 2 4 4 2" xfId="12803"/>
    <cellStyle name="20% - Accent3 4 2 2 2 4 4 2 2" xfId="12804"/>
    <cellStyle name="20% - Accent3 4 2 2 2 4 4 2 3" xfId="12805"/>
    <cellStyle name="20% - Accent3 4 2 2 2 4 4 3" xfId="12806"/>
    <cellStyle name="20% - Accent3 4 2 2 2 4 4 3 2" xfId="12807"/>
    <cellStyle name="20% - Accent3 4 2 2 2 4 4 4" xfId="12808"/>
    <cellStyle name="20% - Accent3 4 2 2 2 4 4 5" xfId="12809"/>
    <cellStyle name="20% - Accent3 4 2 2 2 4 5" xfId="12810"/>
    <cellStyle name="20% - Accent3 4 2 2 2 4 5 2" xfId="12811"/>
    <cellStyle name="20% - Accent3 4 2 2 2 4 5 3" xfId="12812"/>
    <cellStyle name="20% - Accent3 4 2 2 2 4 6" xfId="12813"/>
    <cellStyle name="20% - Accent3 4 2 2 2 4 6 2" xfId="12814"/>
    <cellStyle name="20% - Accent3 4 2 2 2 4 6 3" xfId="12815"/>
    <cellStyle name="20% - Accent3 4 2 2 2 4 7" xfId="12816"/>
    <cellStyle name="20% - Accent3 4 2 2 2 4 7 2" xfId="12817"/>
    <cellStyle name="20% - Accent3 4 2 2 2 4 8" xfId="12818"/>
    <cellStyle name="20% - Accent3 4 2 2 2 4 9" xfId="12819"/>
    <cellStyle name="20% - Accent3 4 2 2 2 5" xfId="12820"/>
    <cellStyle name="20% - Accent3 4 2 2 2 5 2" xfId="12821"/>
    <cellStyle name="20% - Accent3 4 2 2 2 5 2 2" xfId="12822"/>
    <cellStyle name="20% - Accent3 4 2 2 2 5 2 3" xfId="12823"/>
    <cellStyle name="20% - Accent3 4 2 2 2 5 3" xfId="12824"/>
    <cellStyle name="20% - Accent3 4 2 2 2 5 3 2" xfId="12825"/>
    <cellStyle name="20% - Accent3 4 2 2 2 5 3 3" xfId="12826"/>
    <cellStyle name="20% - Accent3 4 2 2 2 5 4" xfId="12827"/>
    <cellStyle name="20% - Accent3 4 2 2 2 5 4 2" xfId="12828"/>
    <cellStyle name="20% - Accent3 4 2 2 2 5 5" xfId="12829"/>
    <cellStyle name="20% - Accent3 4 2 2 2 5 6" xfId="12830"/>
    <cellStyle name="20% - Accent3 4 2 2 2 6" xfId="12831"/>
    <cellStyle name="20% - Accent3 4 2 2 2 6 2" xfId="12832"/>
    <cellStyle name="20% - Accent3 4 2 2 2 6 2 2" xfId="12833"/>
    <cellStyle name="20% - Accent3 4 2 2 2 6 2 3" xfId="12834"/>
    <cellStyle name="20% - Accent3 4 2 2 2 6 3" xfId="12835"/>
    <cellStyle name="20% - Accent3 4 2 2 2 6 3 2" xfId="12836"/>
    <cellStyle name="20% - Accent3 4 2 2 2 6 3 3" xfId="12837"/>
    <cellStyle name="20% - Accent3 4 2 2 2 6 4" xfId="12838"/>
    <cellStyle name="20% - Accent3 4 2 2 2 6 4 2" xfId="12839"/>
    <cellStyle name="20% - Accent3 4 2 2 2 6 5" xfId="12840"/>
    <cellStyle name="20% - Accent3 4 2 2 2 6 6" xfId="12841"/>
    <cellStyle name="20% - Accent3 4 2 2 2 7" xfId="12842"/>
    <cellStyle name="20% - Accent3 4 2 2 2 7 2" xfId="12843"/>
    <cellStyle name="20% - Accent3 4 2 2 2 7 2 2" xfId="12844"/>
    <cellStyle name="20% - Accent3 4 2 2 2 7 2 3" xfId="12845"/>
    <cellStyle name="20% - Accent3 4 2 2 2 7 3" xfId="12846"/>
    <cellStyle name="20% - Accent3 4 2 2 2 7 3 2" xfId="12847"/>
    <cellStyle name="20% - Accent3 4 2 2 2 7 4" xfId="12848"/>
    <cellStyle name="20% - Accent3 4 2 2 2 7 5" xfId="12849"/>
    <cellStyle name="20% - Accent3 4 2 2 2 8" xfId="12850"/>
    <cellStyle name="20% - Accent3 4 2 2 2 8 2" xfId="12851"/>
    <cellStyle name="20% - Accent3 4 2 2 2 8 3" xfId="12852"/>
    <cellStyle name="20% - Accent3 4 2 2 2 9" xfId="12853"/>
    <cellStyle name="20% - Accent3 4 2 2 2 9 2" xfId="12854"/>
    <cellStyle name="20% - Accent3 4 2 2 2 9 3" xfId="12855"/>
    <cellStyle name="20% - Accent3 4 2 2 3" xfId="590"/>
    <cellStyle name="20% - Accent3 4 2 2 3 10" xfId="12856"/>
    <cellStyle name="20% - Accent3 4 2 2 3 2" xfId="591"/>
    <cellStyle name="20% - Accent3 4 2 2 3 2 2" xfId="12857"/>
    <cellStyle name="20% - Accent3 4 2 2 3 2 2 2" xfId="12858"/>
    <cellStyle name="20% - Accent3 4 2 2 3 2 2 2 2" xfId="12859"/>
    <cellStyle name="20% - Accent3 4 2 2 3 2 2 2 3" xfId="12860"/>
    <cellStyle name="20% - Accent3 4 2 2 3 2 2 3" xfId="12861"/>
    <cellStyle name="20% - Accent3 4 2 2 3 2 2 3 2" xfId="12862"/>
    <cellStyle name="20% - Accent3 4 2 2 3 2 2 3 3" xfId="12863"/>
    <cellStyle name="20% - Accent3 4 2 2 3 2 2 4" xfId="12864"/>
    <cellStyle name="20% - Accent3 4 2 2 3 2 2 4 2" xfId="12865"/>
    <cellStyle name="20% - Accent3 4 2 2 3 2 2 5" xfId="12866"/>
    <cellStyle name="20% - Accent3 4 2 2 3 2 2 6" xfId="12867"/>
    <cellStyle name="20% - Accent3 4 2 2 3 2 3" xfId="12868"/>
    <cellStyle name="20% - Accent3 4 2 2 3 2 3 2" xfId="12869"/>
    <cellStyle name="20% - Accent3 4 2 2 3 2 3 2 2" xfId="12870"/>
    <cellStyle name="20% - Accent3 4 2 2 3 2 3 2 3" xfId="12871"/>
    <cellStyle name="20% - Accent3 4 2 2 3 2 3 3" xfId="12872"/>
    <cellStyle name="20% - Accent3 4 2 2 3 2 3 3 2" xfId="12873"/>
    <cellStyle name="20% - Accent3 4 2 2 3 2 3 3 3" xfId="12874"/>
    <cellStyle name="20% - Accent3 4 2 2 3 2 3 4" xfId="12875"/>
    <cellStyle name="20% - Accent3 4 2 2 3 2 3 4 2" xfId="12876"/>
    <cellStyle name="20% - Accent3 4 2 2 3 2 3 5" xfId="12877"/>
    <cellStyle name="20% - Accent3 4 2 2 3 2 3 6" xfId="12878"/>
    <cellStyle name="20% - Accent3 4 2 2 3 2 4" xfId="12879"/>
    <cellStyle name="20% - Accent3 4 2 2 3 2 4 2" xfId="12880"/>
    <cellStyle name="20% - Accent3 4 2 2 3 2 4 2 2" xfId="12881"/>
    <cellStyle name="20% - Accent3 4 2 2 3 2 4 2 3" xfId="12882"/>
    <cellStyle name="20% - Accent3 4 2 2 3 2 4 3" xfId="12883"/>
    <cellStyle name="20% - Accent3 4 2 2 3 2 4 3 2" xfId="12884"/>
    <cellStyle name="20% - Accent3 4 2 2 3 2 4 4" xfId="12885"/>
    <cellStyle name="20% - Accent3 4 2 2 3 2 4 5" xfId="12886"/>
    <cellStyle name="20% - Accent3 4 2 2 3 2 5" xfId="12887"/>
    <cellStyle name="20% - Accent3 4 2 2 3 2 5 2" xfId="12888"/>
    <cellStyle name="20% - Accent3 4 2 2 3 2 5 3" xfId="12889"/>
    <cellStyle name="20% - Accent3 4 2 2 3 2 6" xfId="12890"/>
    <cellStyle name="20% - Accent3 4 2 2 3 2 6 2" xfId="12891"/>
    <cellStyle name="20% - Accent3 4 2 2 3 2 6 3" xfId="12892"/>
    <cellStyle name="20% - Accent3 4 2 2 3 2 7" xfId="12893"/>
    <cellStyle name="20% - Accent3 4 2 2 3 2 7 2" xfId="12894"/>
    <cellStyle name="20% - Accent3 4 2 2 3 2 8" xfId="12895"/>
    <cellStyle name="20% - Accent3 4 2 2 3 2 9" xfId="12896"/>
    <cellStyle name="20% - Accent3 4 2 2 3 3" xfId="12897"/>
    <cellStyle name="20% - Accent3 4 2 2 3 3 2" xfId="12898"/>
    <cellStyle name="20% - Accent3 4 2 2 3 3 2 2" xfId="12899"/>
    <cellStyle name="20% - Accent3 4 2 2 3 3 2 3" xfId="12900"/>
    <cellStyle name="20% - Accent3 4 2 2 3 3 3" xfId="12901"/>
    <cellStyle name="20% - Accent3 4 2 2 3 3 3 2" xfId="12902"/>
    <cellStyle name="20% - Accent3 4 2 2 3 3 3 3" xfId="12903"/>
    <cellStyle name="20% - Accent3 4 2 2 3 3 4" xfId="12904"/>
    <cellStyle name="20% - Accent3 4 2 2 3 3 4 2" xfId="12905"/>
    <cellStyle name="20% - Accent3 4 2 2 3 3 5" xfId="12906"/>
    <cellStyle name="20% - Accent3 4 2 2 3 3 6" xfId="12907"/>
    <cellStyle name="20% - Accent3 4 2 2 3 4" xfId="12908"/>
    <cellStyle name="20% - Accent3 4 2 2 3 4 2" xfId="12909"/>
    <cellStyle name="20% - Accent3 4 2 2 3 4 2 2" xfId="12910"/>
    <cellStyle name="20% - Accent3 4 2 2 3 4 2 3" xfId="12911"/>
    <cellStyle name="20% - Accent3 4 2 2 3 4 3" xfId="12912"/>
    <cellStyle name="20% - Accent3 4 2 2 3 4 3 2" xfId="12913"/>
    <cellStyle name="20% - Accent3 4 2 2 3 4 3 3" xfId="12914"/>
    <cellStyle name="20% - Accent3 4 2 2 3 4 4" xfId="12915"/>
    <cellStyle name="20% - Accent3 4 2 2 3 4 4 2" xfId="12916"/>
    <cellStyle name="20% - Accent3 4 2 2 3 4 5" xfId="12917"/>
    <cellStyle name="20% - Accent3 4 2 2 3 4 6" xfId="12918"/>
    <cellStyle name="20% - Accent3 4 2 2 3 5" xfId="12919"/>
    <cellStyle name="20% - Accent3 4 2 2 3 5 2" xfId="12920"/>
    <cellStyle name="20% - Accent3 4 2 2 3 5 2 2" xfId="12921"/>
    <cellStyle name="20% - Accent3 4 2 2 3 5 2 3" xfId="12922"/>
    <cellStyle name="20% - Accent3 4 2 2 3 5 3" xfId="12923"/>
    <cellStyle name="20% - Accent3 4 2 2 3 5 3 2" xfId="12924"/>
    <cellStyle name="20% - Accent3 4 2 2 3 5 4" xfId="12925"/>
    <cellStyle name="20% - Accent3 4 2 2 3 5 5" xfId="12926"/>
    <cellStyle name="20% - Accent3 4 2 2 3 6" xfId="12927"/>
    <cellStyle name="20% - Accent3 4 2 2 3 6 2" xfId="12928"/>
    <cellStyle name="20% - Accent3 4 2 2 3 6 3" xfId="12929"/>
    <cellStyle name="20% - Accent3 4 2 2 3 7" xfId="12930"/>
    <cellStyle name="20% - Accent3 4 2 2 3 7 2" xfId="12931"/>
    <cellStyle name="20% - Accent3 4 2 2 3 7 3" xfId="12932"/>
    <cellStyle name="20% - Accent3 4 2 2 3 8" xfId="12933"/>
    <cellStyle name="20% - Accent3 4 2 2 3 8 2" xfId="12934"/>
    <cellStyle name="20% - Accent3 4 2 2 3 9" xfId="12935"/>
    <cellStyle name="20% - Accent3 4 2 2 4" xfId="592"/>
    <cellStyle name="20% - Accent3 4 2 2 4 2" xfId="12936"/>
    <cellStyle name="20% - Accent3 4 2 2 4 2 2" xfId="12937"/>
    <cellStyle name="20% - Accent3 4 2 2 4 2 2 2" xfId="12938"/>
    <cellStyle name="20% - Accent3 4 2 2 4 2 2 3" xfId="12939"/>
    <cellStyle name="20% - Accent3 4 2 2 4 2 3" xfId="12940"/>
    <cellStyle name="20% - Accent3 4 2 2 4 2 3 2" xfId="12941"/>
    <cellStyle name="20% - Accent3 4 2 2 4 2 3 3" xfId="12942"/>
    <cellStyle name="20% - Accent3 4 2 2 4 2 4" xfId="12943"/>
    <cellStyle name="20% - Accent3 4 2 2 4 2 4 2" xfId="12944"/>
    <cellStyle name="20% - Accent3 4 2 2 4 2 5" xfId="12945"/>
    <cellStyle name="20% - Accent3 4 2 2 4 2 6" xfId="12946"/>
    <cellStyle name="20% - Accent3 4 2 2 4 3" xfId="12947"/>
    <cellStyle name="20% - Accent3 4 2 2 4 3 2" xfId="12948"/>
    <cellStyle name="20% - Accent3 4 2 2 4 3 2 2" xfId="12949"/>
    <cellStyle name="20% - Accent3 4 2 2 4 3 2 3" xfId="12950"/>
    <cellStyle name="20% - Accent3 4 2 2 4 3 3" xfId="12951"/>
    <cellStyle name="20% - Accent3 4 2 2 4 3 3 2" xfId="12952"/>
    <cellStyle name="20% - Accent3 4 2 2 4 3 3 3" xfId="12953"/>
    <cellStyle name="20% - Accent3 4 2 2 4 3 4" xfId="12954"/>
    <cellStyle name="20% - Accent3 4 2 2 4 3 4 2" xfId="12955"/>
    <cellStyle name="20% - Accent3 4 2 2 4 3 5" xfId="12956"/>
    <cellStyle name="20% - Accent3 4 2 2 4 3 6" xfId="12957"/>
    <cellStyle name="20% - Accent3 4 2 2 4 4" xfId="12958"/>
    <cellStyle name="20% - Accent3 4 2 2 4 4 2" xfId="12959"/>
    <cellStyle name="20% - Accent3 4 2 2 4 4 2 2" xfId="12960"/>
    <cellStyle name="20% - Accent3 4 2 2 4 4 2 3" xfId="12961"/>
    <cellStyle name="20% - Accent3 4 2 2 4 4 3" xfId="12962"/>
    <cellStyle name="20% - Accent3 4 2 2 4 4 3 2" xfId="12963"/>
    <cellStyle name="20% - Accent3 4 2 2 4 4 4" xfId="12964"/>
    <cellStyle name="20% - Accent3 4 2 2 4 4 5" xfId="12965"/>
    <cellStyle name="20% - Accent3 4 2 2 4 5" xfId="12966"/>
    <cellStyle name="20% - Accent3 4 2 2 4 5 2" xfId="12967"/>
    <cellStyle name="20% - Accent3 4 2 2 4 5 3" xfId="12968"/>
    <cellStyle name="20% - Accent3 4 2 2 4 6" xfId="12969"/>
    <cellStyle name="20% - Accent3 4 2 2 4 6 2" xfId="12970"/>
    <cellStyle name="20% - Accent3 4 2 2 4 6 3" xfId="12971"/>
    <cellStyle name="20% - Accent3 4 2 2 4 7" xfId="12972"/>
    <cellStyle name="20% - Accent3 4 2 2 4 7 2" xfId="12973"/>
    <cellStyle name="20% - Accent3 4 2 2 4 8" xfId="12974"/>
    <cellStyle name="20% - Accent3 4 2 2 4 9" xfId="12975"/>
    <cellStyle name="20% - Accent3 4 2 2 5" xfId="12976"/>
    <cellStyle name="20% - Accent3 4 2 2 5 2" xfId="12977"/>
    <cellStyle name="20% - Accent3 4 2 2 5 2 2" xfId="12978"/>
    <cellStyle name="20% - Accent3 4 2 2 5 2 2 2" xfId="12979"/>
    <cellStyle name="20% - Accent3 4 2 2 5 2 2 3" xfId="12980"/>
    <cellStyle name="20% - Accent3 4 2 2 5 2 3" xfId="12981"/>
    <cellStyle name="20% - Accent3 4 2 2 5 2 3 2" xfId="12982"/>
    <cellStyle name="20% - Accent3 4 2 2 5 2 3 3" xfId="12983"/>
    <cellStyle name="20% - Accent3 4 2 2 5 2 4" xfId="12984"/>
    <cellStyle name="20% - Accent3 4 2 2 5 2 4 2" xfId="12985"/>
    <cellStyle name="20% - Accent3 4 2 2 5 2 5" xfId="12986"/>
    <cellStyle name="20% - Accent3 4 2 2 5 2 6" xfId="12987"/>
    <cellStyle name="20% - Accent3 4 2 2 5 3" xfId="12988"/>
    <cellStyle name="20% - Accent3 4 2 2 5 3 2" xfId="12989"/>
    <cellStyle name="20% - Accent3 4 2 2 5 3 2 2" xfId="12990"/>
    <cellStyle name="20% - Accent3 4 2 2 5 3 2 3" xfId="12991"/>
    <cellStyle name="20% - Accent3 4 2 2 5 3 3" xfId="12992"/>
    <cellStyle name="20% - Accent3 4 2 2 5 3 3 2" xfId="12993"/>
    <cellStyle name="20% - Accent3 4 2 2 5 3 3 3" xfId="12994"/>
    <cellStyle name="20% - Accent3 4 2 2 5 3 4" xfId="12995"/>
    <cellStyle name="20% - Accent3 4 2 2 5 3 4 2" xfId="12996"/>
    <cellStyle name="20% - Accent3 4 2 2 5 3 5" xfId="12997"/>
    <cellStyle name="20% - Accent3 4 2 2 5 3 6" xfId="12998"/>
    <cellStyle name="20% - Accent3 4 2 2 5 4" xfId="12999"/>
    <cellStyle name="20% - Accent3 4 2 2 5 4 2" xfId="13000"/>
    <cellStyle name="20% - Accent3 4 2 2 5 4 2 2" xfId="13001"/>
    <cellStyle name="20% - Accent3 4 2 2 5 4 2 3" xfId="13002"/>
    <cellStyle name="20% - Accent3 4 2 2 5 4 3" xfId="13003"/>
    <cellStyle name="20% - Accent3 4 2 2 5 4 3 2" xfId="13004"/>
    <cellStyle name="20% - Accent3 4 2 2 5 4 4" xfId="13005"/>
    <cellStyle name="20% - Accent3 4 2 2 5 4 5" xfId="13006"/>
    <cellStyle name="20% - Accent3 4 2 2 5 5" xfId="13007"/>
    <cellStyle name="20% - Accent3 4 2 2 5 5 2" xfId="13008"/>
    <cellStyle name="20% - Accent3 4 2 2 5 5 3" xfId="13009"/>
    <cellStyle name="20% - Accent3 4 2 2 5 6" xfId="13010"/>
    <cellStyle name="20% - Accent3 4 2 2 5 6 2" xfId="13011"/>
    <cellStyle name="20% - Accent3 4 2 2 5 6 3" xfId="13012"/>
    <cellStyle name="20% - Accent3 4 2 2 5 7" xfId="13013"/>
    <cellStyle name="20% - Accent3 4 2 2 5 7 2" xfId="13014"/>
    <cellStyle name="20% - Accent3 4 2 2 5 8" xfId="13015"/>
    <cellStyle name="20% - Accent3 4 2 2 5 9" xfId="13016"/>
    <cellStyle name="20% - Accent3 4 2 2 6" xfId="13017"/>
    <cellStyle name="20% - Accent3 4 2 2 6 2" xfId="13018"/>
    <cellStyle name="20% - Accent3 4 2 2 6 2 2" xfId="13019"/>
    <cellStyle name="20% - Accent3 4 2 2 6 2 3" xfId="13020"/>
    <cellStyle name="20% - Accent3 4 2 2 6 3" xfId="13021"/>
    <cellStyle name="20% - Accent3 4 2 2 6 3 2" xfId="13022"/>
    <cellStyle name="20% - Accent3 4 2 2 6 3 3" xfId="13023"/>
    <cellStyle name="20% - Accent3 4 2 2 6 4" xfId="13024"/>
    <cellStyle name="20% - Accent3 4 2 2 6 4 2" xfId="13025"/>
    <cellStyle name="20% - Accent3 4 2 2 6 5" xfId="13026"/>
    <cellStyle name="20% - Accent3 4 2 2 6 6" xfId="13027"/>
    <cellStyle name="20% - Accent3 4 2 2 7" xfId="13028"/>
    <cellStyle name="20% - Accent3 4 2 2 7 2" xfId="13029"/>
    <cellStyle name="20% - Accent3 4 2 2 7 2 2" xfId="13030"/>
    <cellStyle name="20% - Accent3 4 2 2 7 2 3" xfId="13031"/>
    <cellStyle name="20% - Accent3 4 2 2 7 3" xfId="13032"/>
    <cellStyle name="20% - Accent3 4 2 2 7 3 2" xfId="13033"/>
    <cellStyle name="20% - Accent3 4 2 2 7 3 3" xfId="13034"/>
    <cellStyle name="20% - Accent3 4 2 2 7 4" xfId="13035"/>
    <cellStyle name="20% - Accent3 4 2 2 7 4 2" xfId="13036"/>
    <cellStyle name="20% - Accent3 4 2 2 7 5" xfId="13037"/>
    <cellStyle name="20% - Accent3 4 2 2 7 6" xfId="13038"/>
    <cellStyle name="20% - Accent3 4 2 2 8" xfId="13039"/>
    <cellStyle name="20% - Accent3 4 2 2 8 2" xfId="13040"/>
    <cellStyle name="20% - Accent3 4 2 2 8 2 2" xfId="13041"/>
    <cellStyle name="20% - Accent3 4 2 2 8 2 3" xfId="13042"/>
    <cellStyle name="20% - Accent3 4 2 2 8 3" xfId="13043"/>
    <cellStyle name="20% - Accent3 4 2 2 8 3 2" xfId="13044"/>
    <cellStyle name="20% - Accent3 4 2 2 8 4" xfId="13045"/>
    <cellStyle name="20% - Accent3 4 2 2 8 5" xfId="13046"/>
    <cellStyle name="20% - Accent3 4 2 2 9" xfId="13047"/>
    <cellStyle name="20% - Accent3 4 2 2 9 2" xfId="13048"/>
    <cellStyle name="20% - Accent3 4 2 2 9 3" xfId="13049"/>
    <cellStyle name="20% - Accent3 4 2 3" xfId="593"/>
    <cellStyle name="20% - Accent3 4 2 3 10" xfId="13050"/>
    <cellStyle name="20% - Accent3 4 2 3 10 2" xfId="13051"/>
    <cellStyle name="20% - Accent3 4 2 3 11" xfId="13052"/>
    <cellStyle name="20% - Accent3 4 2 3 12" xfId="13053"/>
    <cellStyle name="20% - Accent3 4 2 3 2" xfId="594"/>
    <cellStyle name="20% - Accent3 4 2 3 2 10" xfId="13054"/>
    <cellStyle name="20% - Accent3 4 2 3 2 2" xfId="595"/>
    <cellStyle name="20% - Accent3 4 2 3 2 2 2" xfId="13055"/>
    <cellStyle name="20% - Accent3 4 2 3 2 2 2 2" xfId="13056"/>
    <cellStyle name="20% - Accent3 4 2 3 2 2 2 2 2" xfId="13057"/>
    <cellStyle name="20% - Accent3 4 2 3 2 2 2 2 3" xfId="13058"/>
    <cellStyle name="20% - Accent3 4 2 3 2 2 2 3" xfId="13059"/>
    <cellStyle name="20% - Accent3 4 2 3 2 2 2 3 2" xfId="13060"/>
    <cellStyle name="20% - Accent3 4 2 3 2 2 2 3 3" xfId="13061"/>
    <cellStyle name="20% - Accent3 4 2 3 2 2 2 4" xfId="13062"/>
    <cellStyle name="20% - Accent3 4 2 3 2 2 2 4 2" xfId="13063"/>
    <cellStyle name="20% - Accent3 4 2 3 2 2 2 5" xfId="13064"/>
    <cellStyle name="20% - Accent3 4 2 3 2 2 2 6" xfId="13065"/>
    <cellStyle name="20% - Accent3 4 2 3 2 2 3" xfId="13066"/>
    <cellStyle name="20% - Accent3 4 2 3 2 2 3 2" xfId="13067"/>
    <cellStyle name="20% - Accent3 4 2 3 2 2 3 2 2" xfId="13068"/>
    <cellStyle name="20% - Accent3 4 2 3 2 2 3 2 3" xfId="13069"/>
    <cellStyle name="20% - Accent3 4 2 3 2 2 3 3" xfId="13070"/>
    <cellStyle name="20% - Accent3 4 2 3 2 2 3 3 2" xfId="13071"/>
    <cellStyle name="20% - Accent3 4 2 3 2 2 3 3 3" xfId="13072"/>
    <cellStyle name="20% - Accent3 4 2 3 2 2 3 4" xfId="13073"/>
    <cellStyle name="20% - Accent3 4 2 3 2 2 3 4 2" xfId="13074"/>
    <cellStyle name="20% - Accent3 4 2 3 2 2 3 5" xfId="13075"/>
    <cellStyle name="20% - Accent3 4 2 3 2 2 3 6" xfId="13076"/>
    <cellStyle name="20% - Accent3 4 2 3 2 2 4" xfId="13077"/>
    <cellStyle name="20% - Accent3 4 2 3 2 2 4 2" xfId="13078"/>
    <cellStyle name="20% - Accent3 4 2 3 2 2 4 2 2" xfId="13079"/>
    <cellStyle name="20% - Accent3 4 2 3 2 2 4 2 3" xfId="13080"/>
    <cellStyle name="20% - Accent3 4 2 3 2 2 4 3" xfId="13081"/>
    <cellStyle name="20% - Accent3 4 2 3 2 2 4 3 2" xfId="13082"/>
    <cellStyle name="20% - Accent3 4 2 3 2 2 4 4" xfId="13083"/>
    <cellStyle name="20% - Accent3 4 2 3 2 2 4 5" xfId="13084"/>
    <cellStyle name="20% - Accent3 4 2 3 2 2 5" xfId="13085"/>
    <cellStyle name="20% - Accent3 4 2 3 2 2 5 2" xfId="13086"/>
    <cellStyle name="20% - Accent3 4 2 3 2 2 5 3" xfId="13087"/>
    <cellStyle name="20% - Accent3 4 2 3 2 2 6" xfId="13088"/>
    <cellStyle name="20% - Accent3 4 2 3 2 2 6 2" xfId="13089"/>
    <cellStyle name="20% - Accent3 4 2 3 2 2 6 3" xfId="13090"/>
    <cellStyle name="20% - Accent3 4 2 3 2 2 7" xfId="13091"/>
    <cellStyle name="20% - Accent3 4 2 3 2 2 7 2" xfId="13092"/>
    <cellStyle name="20% - Accent3 4 2 3 2 2 8" xfId="13093"/>
    <cellStyle name="20% - Accent3 4 2 3 2 2 9" xfId="13094"/>
    <cellStyle name="20% - Accent3 4 2 3 2 3" xfId="13095"/>
    <cellStyle name="20% - Accent3 4 2 3 2 3 2" xfId="13096"/>
    <cellStyle name="20% - Accent3 4 2 3 2 3 2 2" xfId="13097"/>
    <cellStyle name="20% - Accent3 4 2 3 2 3 2 3" xfId="13098"/>
    <cellStyle name="20% - Accent3 4 2 3 2 3 3" xfId="13099"/>
    <cellStyle name="20% - Accent3 4 2 3 2 3 3 2" xfId="13100"/>
    <cellStyle name="20% - Accent3 4 2 3 2 3 3 3" xfId="13101"/>
    <cellStyle name="20% - Accent3 4 2 3 2 3 4" xfId="13102"/>
    <cellStyle name="20% - Accent3 4 2 3 2 3 4 2" xfId="13103"/>
    <cellStyle name="20% - Accent3 4 2 3 2 3 5" xfId="13104"/>
    <cellStyle name="20% - Accent3 4 2 3 2 3 6" xfId="13105"/>
    <cellStyle name="20% - Accent3 4 2 3 2 4" xfId="13106"/>
    <cellStyle name="20% - Accent3 4 2 3 2 4 2" xfId="13107"/>
    <cellStyle name="20% - Accent3 4 2 3 2 4 2 2" xfId="13108"/>
    <cellStyle name="20% - Accent3 4 2 3 2 4 2 3" xfId="13109"/>
    <cellStyle name="20% - Accent3 4 2 3 2 4 3" xfId="13110"/>
    <cellStyle name="20% - Accent3 4 2 3 2 4 3 2" xfId="13111"/>
    <cellStyle name="20% - Accent3 4 2 3 2 4 3 3" xfId="13112"/>
    <cellStyle name="20% - Accent3 4 2 3 2 4 4" xfId="13113"/>
    <cellStyle name="20% - Accent3 4 2 3 2 4 4 2" xfId="13114"/>
    <cellStyle name="20% - Accent3 4 2 3 2 4 5" xfId="13115"/>
    <cellStyle name="20% - Accent3 4 2 3 2 4 6" xfId="13116"/>
    <cellStyle name="20% - Accent3 4 2 3 2 5" xfId="13117"/>
    <cellStyle name="20% - Accent3 4 2 3 2 5 2" xfId="13118"/>
    <cellStyle name="20% - Accent3 4 2 3 2 5 2 2" xfId="13119"/>
    <cellStyle name="20% - Accent3 4 2 3 2 5 2 3" xfId="13120"/>
    <cellStyle name="20% - Accent3 4 2 3 2 5 3" xfId="13121"/>
    <cellStyle name="20% - Accent3 4 2 3 2 5 3 2" xfId="13122"/>
    <cellStyle name="20% - Accent3 4 2 3 2 5 4" xfId="13123"/>
    <cellStyle name="20% - Accent3 4 2 3 2 5 5" xfId="13124"/>
    <cellStyle name="20% - Accent3 4 2 3 2 6" xfId="13125"/>
    <cellStyle name="20% - Accent3 4 2 3 2 6 2" xfId="13126"/>
    <cellStyle name="20% - Accent3 4 2 3 2 6 3" xfId="13127"/>
    <cellStyle name="20% - Accent3 4 2 3 2 7" xfId="13128"/>
    <cellStyle name="20% - Accent3 4 2 3 2 7 2" xfId="13129"/>
    <cellStyle name="20% - Accent3 4 2 3 2 7 3" xfId="13130"/>
    <cellStyle name="20% - Accent3 4 2 3 2 8" xfId="13131"/>
    <cellStyle name="20% - Accent3 4 2 3 2 8 2" xfId="13132"/>
    <cellStyle name="20% - Accent3 4 2 3 2 9" xfId="13133"/>
    <cellStyle name="20% - Accent3 4 2 3 3" xfId="596"/>
    <cellStyle name="20% - Accent3 4 2 3 3 2" xfId="13134"/>
    <cellStyle name="20% - Accent3 4 2 3 3 2 2" xfId="13135"/>
    <cellStyle name="20% - Accent3 4 2 3 3 2 2 2" xfId="13136"/>
    <cellStyle name="20% - Accent3 4 2 3 3 2 2 3" xfId="13137"/>
    <cellStyle name="20% - Accent3 4 2 3 3 2 3" xfId="13138"/>
    <cellStyle name="20% - Accent3 4 2 3 3 2 3 2" xfId="13139"/>
    <cellStyle name="20% - Accent3 4 2 3 3 2 3 3" xfId="13140"/>
    <cellStyle name="20% - Accent3 4 2 3 3 2 4" xfId="13141"/>
    <cellStyle name="20% - Accent3 4 2 3 3 2 4 2" xfId="13142"/>
    <cellStyle name="20% - Accent3 4 2 3 3 2 5" xfId="13143"/>
    <cellStyle name="20% - Accent3 4 2 3 3 2 6" xfId="13144"/>
    <cellStyle name="20% - Accent3 4 2 3 3 3" xfId="13145"/>
    <cellStyle name="20% - Accent3 4 2 3 3 3 2" xfId="13146"/>
    <cellStyle name="20% - Accent3 4 2 3 3 3 2 2" xfId="13147"/>
    <cellStyle name="20% - Accent3 4 2 3 3 3 2 3" xfId="13148"/>
    <cellStyle name="20% - Accent3 4 2 3 3 3 3" xfId="13149"/>
    <cellStyle name="20% - Accent3 4 2 3 3 3 3 2" xfId="13150"/>
    <cellStyle name="20% - Accent3 4 2 3 3 3 3 3" xfId="13151"/>
    <cellStyle name="20% - Accent3 4 2 3 3 3 4" xfId="13152"/>
    <cellStyle name="20% - Accent3 4 2 3 3 3 4 2" xfId="13153"/>
    <cellStyle name="20% - Accent3 4 2 3 3 3 5" xfId="13154"/>
    <cellStyle name="20% - Accent3 4 2 3 3 3 6" xfId="13155"/>
    <cellStyle name="20% - Accent3 4 2 3 3 4" xfId="13156"/>
    <cellStyle name="20% - Accent3 4 2 3 3 4 2" xfId="13157"/>
    <cellStyle name="20% - Accent3 4 2 3 3 4 2 2" xfId="13158"/>
    <cellStyle name="20% - Accent3 4 2 3 3 4 2 3" xfId="13159"/>
    <cellStyle name="20% - Accent3 4 2 3 3 4 3" xfId="13160"/>
    <cellStyle name="20% - Accent3 4 2 3 3 4 3 2" xfId="13161"/>
    <cellStyle name="20% - Accent3 4 2 3 3 4 4" xfId="13162"/>
    <cellStyle name="20% - Accent3 4 2 3 3 4 5" xfId="13163"/>
    <cellStyle name="20% - Accent3 4 2 3 3 5" xfId="13164"/>
    <cellStyle name="20% - Accent3 4 2 3 3 5 2" xfId="13165"/>
    <cellStyle name="20% - Accent3 4 2 3 3 5 3" xfId="13166"/>
    <cellStyle name="20% - Accent3 4 2 3 3 6" xfId="13167"/>
    <cellStyle name="20% - Accent3 4 2 3 3 6 2" xfId="13168"/>
    <cellStyle name="20% - Accent3 4 2 3 3 6 3" xfId="13169"/>
    <cellStyle name="20% - Accent3 4 2 3 3 7" xfId="13170"/>
    <cellStyle name="20% - Accent3 4 2 3 3 7 2" xfId="13171"/>
    <cellStyle name="20% - Accent3 4 2 3 3 8" xfId="13172"/>
    <cellStyle name="20% - Accent3 4 2 3 3 9" xfId="13173"/>
    <cellStyle name="20% - Accent3 4 2 3 4" xfId="13174"/>
    <cellStyle name="20% - Accent3 4 2 3 4 2" xfId="13175"/>
    <cellStyle name="20% - Accent3 4 2 3 4 2 2" xfId="13176"/>
    <cellStyle name="20% - Accent3 4 2 3 4 2 2 2" xfId="13177"/>
    <cellStyle name="20% - Accent3 4 2 3 4 2 2 3" xfId="13178"/>
    <cellStyle name="20% - Accent3 4 2 3 4 2 3" xfId="13179"/>
    <cellStyle name="20% - Accent3 4 2 3 4 2 3 2" xfId="13180"/>
    <cellStyle name="20% - Accent3 4 2 3 4 2 3 3" xfId="13181"/>
    <cellStyle name="20% - Accent3 4 2 3 4 2 4" xfId="13182"/>
    <cellStyle name="20% - Accent3 4 2 3 4 2 4 2" xfId="13183"/>
    <cellStyle name="20% - Accent3 4 2 3 4 2 5" xfId="13184"/>
    <cellStyle name="20% - Accent3 4 2 3 4 2 6" xfId="13185"/>
    <cellStyle name="20% - Accent3 4 2 3 4 3" xfId="13186"/>
    <cellStyle name="20% - Accent3 4 2 3 4 3 2" xfId="13187"/>
    <cellStyle name="20% - Accent3 4 2 3 4 3 2 2" xfId="13188"/>
    <cellStyle name="20% - Accent3 4 2 3 4 3 2 3" xfId="13189"/>
    <cellStyle name="20% - Accent3 4 2 3 4 3 3" xfId="13190"/>
    <cellStyle name="20% - Accent3 4 2 3 4 3 3 2" xfId="13191"/>
    <cellStyle name="20% - Accent3 4 2 3 4 3 3 3" xfId="13192"/>
    <cellStyle name="20% - Accent3 4 2 3 4 3 4" xfId="13193"/>
    <cellStyle name="20% - Accent3 4 2 3 4 3 4 2" xfId="13194"/>
    <cellStyle name="20% - Accent3 4 2 3 4 3 5" xfId="13195"/>
    <cellStyle name="20% - Accent3 4 2 3 4 3 6" xfId="13196"/>
    <cellStyle name="20% - Accent3 4 2 3 4 4" xfId="13197"/>
    <cellStyle name="20% - Accent3 4 2 3 4 4 2" xfId="13198"/>
    <cellStyle name="20% - Accent3 4 2 3 4 4 2 2" xfId="13199"/>
    <cellStyle name="20% - Accent3 4 2 3 4 4 2 3" xfId="13200"/>
    <cellStyle name="20% - Accent3 4 2 3 4 4 3" xfId="13201"/>
    <cellStyle name="20% - Accent3 4 2 3 4 4 3 2" xfId="13202"/>
    <cellStyle name="20% - Accent3 4 2 3 4 4 4" xfId="13203"/>
    <cellStyle name="20% - Accent3 4 2 3 4 4 5" xfId="13204"/>
    <cellStyle name="20% - Accent3 4 2 3 4 5" xfId="13205"/>
    <cellStyle name="20% - Accent3 4 2 3 4 5 2" xfId="13206"/>
    <cellStyle name="20% - Accent3 4 2 3 4 5 3" xfId="13207"/>
    <cellStyle name="20% - Accent3 4 2 3 4 6" xfId="13208"/>
    <cellStyle name="20% - Accent3 4 2 3 4 6 2" xfId="13209"/>
    <cellStyle name="20% - Accent3 4 2 3 4 6 3" xfId="13210"/>
    <cellStyle name="20% - Accent3 4 2 3 4 7" xfId="13211"/>
    <cellStyle name="20% - Accent3 4 2 3 4 7 2" xfId="13212"/>
    <cellStyle name="20% - Accent3 4 2 3 4 8" xfId="13213"/>
    <cellStyle name="20% - Accent3 4 2 3 4 9" xfId="13214"/>
    <cellStyle name="20% - Accent3 4 2 3 5" xfId="13215"/>
    <cellStyle name="20% - Accent3 4 2 3 5 2" xfId="13216"/>
    <cellStyle name="20% - Accent3 4 2 3 5 2 2" xfId="13217"/>
    <cellStyle name="20% - Accent3 4 2 3 5 2 3" xfId="13218"/>
    <cellStyle name="20% - Accent3 4 2 3 5 3" xfId="13219"/>
    <cellStyle name="20% - Accent3 4 2 3 5 3 2" xfId="13220"/>
    <cellStyle name="20% - Accent3 4 2 3 5 3 3" xfId="13221"/>
    <cellStyle name="20% - Accent3 4 2 3 5 4" xfId="13222"/>
    <cellStyle name="20% - Accent3 4 2 3 5 4 2" xfId="13223"/>
    <cellStyle name="20% - Accent3 4 2 3 5 5" xfId="13224"/>
    <cellStyle name="20% - Accent3 4 2 3 5 6" xfId="13225"/>
    <cellStyle name="20% - Accent3 4 2 3 6" xfId="13226"/>
    <cellStyle name="20% - Accent3 4 2 3 6 2" xfId="13227"/>
    <cellStyle name="20% - Accent3 4 2 3 6 2 2" xfId="13228"/>
    <cellStyle name="20% - Accent3 4 2 3 6 2 3" xfId="13229"/>
    <cellStyle name="20% - Accent3 4 2 3 6 3" xfId="13230"/>
    <cellStyle name="20% - Accent3 4 2 3 6 3 2" xfId="13231"/>
    <cellStyle name="20% - Accent3 4 2 3 6 3 3" xfId="13232"/>
    <cellStyle name="20% - Accent3 4 2 3 6 4" xfId="13233"/>
    <cellStyle name="20% - Accent3 4 2 3 6 4 2" xfId="13234"/>
    <cellStyle name="20% - Accent3 4 2 3 6 5" xfId="13235"/>
    <cellStyle name="20% - Accent3 4 2 3 6 6" xfId="13236"/>
    <cellStyle name="20% - Accent3 4 2 3 7" xfId="13237"/>
    <cellStyle name="20% - Accent3 4 2 3 7 2" xfId="13238"/>
    <cellStyle name="20% - Accent3 4 2 3 7 2 2" xfId="13239"/>
    <cellStyle name="20% - Accent3 4 2 3 7 2 3" xfId="13240"/>
    <cellStyle name="20% - Accent3 4 2 3 7 3" xfId="13241"/>
    <cellStyle name="20% - Accent3 4 2 3 7 3 2" xfId="13242"/>
    <cellStyle name="20% - Accent3 4 2 3 7 4" xfId="13243"/>
    <cellStyle name="20% - Accent3 4 2 3 7 5" xfId="13244"/>
    <cellStyle name="20% - Accent3 4 2 3 8" xfId="13245"/>
    <cellStyle name="20% - Accent3 4 2 3 8 2" xfId="13246"/>
    <cellStyle name="20% - Accent3 4 2 3 8 3" xfId="13247"/>
    <cellStyle name="20% - Accent3 4 2 3 9" xfId="13248"/>
    <cellStyle name="20% - Accent3 4 2 3 9 2" xfId="13249"/>
    <cellStyle name="20% - Accent3 4 2 3 9 3" xfId="13250"/>
    <cellStyle name="20% - Accent3 4 2 4" xfId="597"/>
    <cellStyle name="20% - Accent3 4 2 4 10" xfId="13251"/>
    <cellStyle name="20% - Accent3 4 2 4 2" xfId="598"/>
    <cellStyle name="20% - Accent3 4 2 4 2 2" xfId="13252"/>
    <cellStyle name="20% - Accent3 4 2 4 2 2 2" xfId="13253"/>
    <cellStyle name="20% - Accent3 4 2 4 2 2 2 2" xfId="13254"/>
    <cellStyle name="20% - Accent3 4 2 4 2 2 2 3" xfId="13255"/>
    <cellStyle name="20% - Accent3 4 2 4 2 2 3" xfId="13256"/>
    <cellStyle name="20% - Accent3 4 2 4 2 2 3 2" xfId="13257"/>
    <cellStyle name="20% - Accent3 4 2 4 2 2 3 3" xfId="13258"/>
    <cellStyle name="20% - Accent3 4 2 4 2 2 4" xfId="13259"/>
    <cellStyle name="20% - Accent3 4 2 4 2 2 4 2" xfId="13260"/>
    <cellStyle name="20% - Accent3 4 2 4 2 2 5" xfId="13261"/>
    <cellStyle name="20% - Accent3 4 2 4 2 2 6" xfId="13262"/>
    <cellStyle name="20% - Accent3 4 2 4 2 3" xfId="13263"/>
    <cellStyle name="20% - Accent3 4 2 4 2 3 2" xfId="13264"/>
    <cellStyle name="20% - Accent3 4 2 4 2 3 2 2" xfId="13265"/>
    <cellStyle name="20% - Accent3 4 2 4 2 3 2 3" xfId="13266"/>
    <cellStyle name="20% - Accent3 4 2 4 2 3 3" xfId="13267"/>
    <cellStyle name="20% - Accent3 4 2 4 2 3 3 2" xfId="13268"/>
    <cellStyle name="20% - Accent3 4 2 4 2 3 3 3" xfId="13269"/>
    <cellStyle name="20% - Accent3 4 2 4 2 3 4" xfId="13270"/>
    <cellStyle name="20% - Accent3 4 2 4 2 3 4 2" xfId="13271"/>
    <cellStyle name="20% - Accent3 4 2 4 2 3 5" xfId="13272"/>
    <cellStyle name="20% - Accent3 4 2 4 2 3 6" xfId="13273"/>
    <cellStyle name="20% - Accent3 4 2 4 2 4" xfId="13274"/>
    <cellStyle name="20% - Accent3 4 2 4 2 4 2" xfId="13275"/>
    <cellStyle name="20% - Accent3 4 2 4 2 4 2 2" xfId="13276"/>
    <cellStyle name="20% - Accent3 4 2 4 2 4 2 3" xfId="13277"/>
    <cellStyle name="20% - Accent3 4 2 4 2 4 3" xfId="13278"/>
    <cellStyle name="20% - Accent3 4 2 4 2 4 3 2" xfId="13279"/>
    <cellStyle name="20% - Accent3 4 2 4 2 4 4" xfId="13280"/>
    <cellStyle name="20% - Accent3 4 2 4 2 4 5" xfId="13281"/>
    <cellStyle name="20% - Accent3 4 2 4 2 5" xfId="13282"/>
    <cellStyle name="20% - Accent3 4 2 4 2 5 2" xfId="13283"/>
    <cellStyle name="20% - Accent3 4 2 4 2 5 3" xfId="13284"/>
    <cellStyle name="20% - Accent3 4 2 4 2 6" xfId="13285"/>
    <cellStyle name="20% - Accent3 4 2 4 2 6 2" xfId="13286"/>
    <cellStyle name="20% - Accent3 4 2 4 2 6 3" xfId="13287"/>
    <cellStyle name="20% - Accent3 4 2 4 2 7" xfId="13288"/>
    <cellStyle name="20% - Accent3 4 2 4 2 7 2" xfId="13289"/>
    <cellStyle name="20% - Accent3 4 2 4 2 8" xfId="13290"/>
    <cellStyle name="20% - Accent3 4 2 4 2 9" xfId="13291"/>
    <cellStyle name="20% - Accent3 4 2 4 3" xfId="13292"/>
    <cellStyle name="20% - Accent3 4 2 4 3 2" xfId="13293"/>
    <cellStyle name="20% - Accent3 4 2 4 3 2 2" xfId="13294"/>
    <cellStyle name="20% - Accent3 4 2 4 3 2 3" xfId="13295"/>
    <cellStyle name="20% - Accent3 4 2 4 3 3" xfId="13296"/>
    <cellStyle name="20% - Accent3 4 2 4 3 3 2" xfId="13297"/>
    <cellStyle name="20% - Accent3 4 2 4 3 3 3" xfId="13298"/>
    <cellStyle name="20% - Accent3 4 2 4 3 4" xfId="13299"/>
    <cellStyle name="20% - Accent3 4 2 4 3 4 2" xfId="13300"/>
    <cellStyle name="20% - Accent3 4 2 4 3 5" xfId="13301"/>
    <cellStyle name="20% - Accent3 4 2 4 3 6" xfId="13302"/>
    <cellStyle name="20% - Accent3 4 2 4 4" xfId="13303"/>
    <cellStyle name="20% - Accent3 4 2 4 4 2" xfId="13304"/>
    <cellStyle name="20% - Accent3 4 2 4 4 2 2" xfId="13305"/>
    <cellStyle name="20% - Accent3 4 2 4 4 2 3" xfId="13306"/>
    <cellStyle name="20% - Accent3 4 2 4 4 3" xfId="13307"/>
    <cellStyle name="20% - Accent3 4 2 4 4 3 2" xfId="13308"/>
    <cellStyle name="20% - Accent3 4 2 4 4 3 3" xfId="13309"/>
    <cellStyle name="20% - Accent3 4 2 4 4 4" xfId="13310"/>
    <cellStyle name="20% - Accent3 4 2 4 4 4 2" xfId="13311"/>
    <cellStyle name="20% - Accent3 4 2 4 4 5" xfId="13312"/>
    <cellStyle name="20% - Accent3 4 2 4 4 6" xfId="13313"/>
    <cellStyle name="20% - Accent3 4 2 4 5" xfId="13314"/>
    <cellStyle name="20% - Accent3 4 2 4 5 2" xfId="13315"/>
    <cellStyle name="20% - Accent3 4 2 4 5 2 2" xfId="13316"/>
    <cellStyle name="20% - Accent3 4 2 4 5 2 3" xfId="13317"/>
    <cellStyle name="20% - Accent3 4 2 4 5 3" xfId="13318"/>
    <cellStyle name="20% - Accent3 4 2 4 5 3 2" xfId="13319"/>
    <cellStyle name="20% - Accent3 4 2 4 5 4" xfId="13320"/>
    <cellStyle name="20% - Accent3 4 2 4 5 5" xfId="13321"/>
    <cellStyle name="20% - Accent3 4 2 4 6" xfId="13322"/>
    <cellStyle name="20% - Accent3 4 2 4 6 2" xfId="13323"/>
    <cellStyle name="20% - Accent3 4 2 4 6 3" xfId="13324"/>
    <cellStyle name="20% - Accent3 4 2 4 7" xfId="13325"/>
    <cellStyle name="20% - Accent3 4 2 4 7 2" xfId="13326"/>
    <cellStyle name="20% - Accent3 4 2 4 7 3" xfId="13327"/>
    <cellStyle name="20% - Accent3 4 2 4 8" xfId="13328"/>
    <cellStyle name="20% - Accent3 4 2 4 8 2" xfId="13329"/>
    <cellStyle name="20% - Accent3 4 2 4 9" xfId="13330"/>
    <cellStyle name="20% - Accent3 4 2 5" xfId="599"/>
    <cellStyle name="20% - Accent3 4 2 5 2" xfId="13331"/>
    <cellStyle name="20% - Accent3 4 2 5 2 2" xfId="13332"/>
    <cellStyle name="20% - Accent3 4 2 5 2 2 2" xfId="13333"/>
    <cellStyle name="20% - Accent3 4 2 5 2 2 3" xfId="13334"/>
    <cellStyle name="20% - Accent3 4 2 5 2 3" xfId="13335"/>
    <cellStyle name="20% - Accent3 4 2 5 2 3 2" xfId="13336"/>
    <cellStyle name="20% - Accent3 4 2 5 2 3 3" xfId="13337"/>
    <cellStyle name="20% - Accent3 4 2 5 2 4" xfId="13338"/>
    <cellStyle name="20% - Accent3 4 2 5 2 4 2" xfId="13339"/>
    <cellStyle name="20% - Accent3 4 2 5 2 5" xfId="13340"/>
    <cellStyle name="20% - Accent3 4 2 5 2 6" xfId="13341"/>
    <cellStyle name="20% - Accent3 4 2 5 3" xfId="13342"/>
    <cellStyle name="20% - Accent3 4 2 5 3 2" xfId="13343"/>
    <cellStyle name="20% - Accent3 4 2 5 3 2 2" xfId="13344"/>
    <cellStyle name="20% - Accent3 4 2 5 3 2 3" xfId="13345"/>
    <cellStyle name="20% - Accent3 4 2 5 3 3" xfId="13346"/>
    <cellStyle name="20% - Accent3 4 2 5 3 3 2" xfId="13347"/>
    <cellStyle name="20% - Accent3 4 2 5 3 3 3" xfId="13348"/>
    <cellStyle name="20% - Accent3 4 2 5 3 4" xfId="13349"/>
    <cellStyle name="20% - Accent3 4 2 5 3 4 2" xfId="13350"/>
    <cellStyle name="20% - Accent3 4 2 5 3 5" xfId="13351"/>
    <cellStyle name="20% - Accent3 4 2 5 3 6" xfId="13352"/>
    <cellStyle name="20% - Accent3 4 2 5 4" xfId="13353"/>
    <cellStyle name="20% - Accent3 4 2 5 4 2" xfId="13354"/>
    <cellStyle name="20% - Accent3 4 2 5 4 2 2" xfId="13355"/>
    <cellStyle name="20% - Accent3 4 2 5 4 2 3" xfId="13356"/>
    <cellStyle name="20% - Accent3 4 2 5 4 3" xfId="13357"/>
    <cellStyle name="20% - Accent3 4 2 5 4 3 2" xfId="13358"/>
    <cellStyle name="20% - Accent3 4 2 5 4 4" xfId="13359"/>
    <cellStyle name="20% - Accent3 4 2 5 4 5" xfId="13360"/>
    <cellStyle name="20% - Accent3 4 2 5 5" xfId="13361"/>
    <cellStyle name="20% - Accent3 4 2 5 5 2" xfId="13362"/>
    <cellStyle name="20% - Accent3 4 2 5 5 3" xfId="13363"/>
    <cellStyle name="20% - Accent3 4 2 5 6" xfId="13364"/>
    <cellStyle name="20% - Accent3 4 2 5 6 2" xfId="13365"/>
    <cellStyle name="20% - Accent3 4 2 5 6 3" xfId="13366"/>
    <cellStyle name="20% - Accent3 4 2 5 7" xfId="13367"/>
    <cellStyle name="20% - Accent3 4 2 5 7 2" xfId="13368"/>
    <cellStyle name="20% - Accent3 4 2 5 8" xfId="13369"/>
    <cellStyle name="20% - Accent3 4 2 5 9" xfId="13370"/>
    <cellStyle name="20% - Accent3 4 2 6" xfId="13371"/>
    <cellStyle name="20% - Accent3 4 2 6 2" xfId="13372"/>
    <cellStyle name="20% - Accent3 4 2 6 2 2" xfId="13373"/>
    <cellStyle name="20% - Accent3 4 2 6 2 2 2" xfId="13374"/>
    <cellStyle name="20% - Accent3 4 2 6 2 2 3" xfId="13375"/>
    <cellStyle name="20% - Accent3 4 2 6 2 3" xfId="13376"/>
    <cellStyle name="20% - Accent3 4 2 6 2 3 2" xfId="13377"/>
    <cellStyle name="20% - Accent3 4 2 6 2 3 3" xfId="13378"/>
    <cellStyle name="20% - Accent3 4 2 6 2 4" xfId="13379"/>
    <cellStyle name="20% - Accent3 4 2 6 2 4 2" xfId="13380"/>
    <cellStyle name="20% - Accent3 4 2 6 2 5" xfId="13381"/>
    <cellStyle name="20% - Accent3 4 2 6 2 6" xfId="13382"/>
    <cellStyle name="20% - Accent3 4 2 6 3" xfId="13383"/>
    <cellStyle name="20% - Accent3 4 2 6 3 2" xfId="13384"/>
    <cellStyle name="20% - Accent3 4 2 6 3 2 2" xfId="13385"/>
    <cellStyle name="20% - Accent3 4 2 6 3 2 3" xfId="13386"/>
    <cellStyle name="20% - Accent3 4 2 6 3 3" xfId="13387"/>
    <cellStyle name="20% - Accent3 4 2 6 3 3 2" xfId="13388"/>
    <cellStyle name="20% - Accent3 4 2 6 3 3 3" xfId="13389"/>
    <cellStyle name="20% - Accent3 4 2 6 3 4" xfId="13390"/>
    <cellStyle name="20% - Accent3 4 2 6 3 4 2" xfId="13391"/>
    <cellStyle name="20% - Accent3 4 2 6 3 5" xfId="13392"/>
    <cellStyle name="20% - Accent3 4 2 6 3 6" xfId="13393"/>
    <cellStyle name="20% - Accent3 4 2 6 4" xfId="13394"/>
    <cellStyle name="20% - Accent3 4 2 6 4 2" xfId="13395"/>
    <cellStyle name="20% - Accent3 4 2 6 4 2 2" xfId="13396"/>
    <cellStyle name="20% - Accent3 4 2 6 4 2 3" xfId="13397"/>
    <cellStyle name="20% - Accent3 4 2 6 4 3" xfId="13398"/>
    <cellStyle name="20% - Accent3 4 2 6 4 3 2" xfId="13399"/>
    <cellStyle name="20% - Accent3 4 2 6 4 4" xfId="13400"/>
    <cellStyle name="20% - Accent3 4 2 6 4 5" xfId="13401"/>
    <cellStyle name="20% - Accent3 4 2 6 5" xfId="13402"/>
    <cellStyle name="20% - Accent3 4 2 6 5 2" xfId="13403"/>
    <cellStyle name="20% - Accent3 4 2 6 5 3" xfId="13404"/>
    <cellStyle name="20% - Accent3 4 2 6 6" xfId="13405"/>
    <cellStyle name="20% - Accent3 4 2 6 6 2" xfId="13406"/>
    <cellStyle name="20% - Accent3 4 2 6 6 3" xfId="13407"/>
    <cellStyle name="20% - Accent3 4 2 6 7" xfId="13408"/>
    <cellStyle name="20% - Accent3 4 2 6 7 2" xfId="13409"/>
    <cellStyle name="20% - Accent3 4 2 6 8" xfId="13410"/>
    <cellStyle name="20% - Accent3 4 2 6 9" xfId="13411"/>
    <cellStyle name="20% - Accent3 4 2 7" xfId="13412"/>
    <cellStyle name="20% - Accent3 4 2 7 2" xfId="13413"/>
    <cellStyle name="20% - Accent3 4 2 7 2 2" xfId="13414"/>
    <cellStyle name="20% - Accent3 4 2 7 2 3" xfId="13415"/>
    <cellStyle name="20% - Accent3 4 2 7 3" xfId="13416"/>
    <cellStyle name="20% - Accent3 4 2 7 3 2" xfId="13417"/>
    <cellStyle name="20% - Accent3 4 2 7 3 3" xfId="13418"/>
    <cellStyle name="20% - Accent3 4 2 7 4" xfId="13419"/>
    <cellStyle name="20% - Accent3 4 2 7 4 2" xfId="13420"/>
    <cellStyle name="20% - Accent3 4 2 7 5" xfId="13421"/>
    <cellStyle name="20% - Accent3 4 2 7 6" xfId="13422"/>
    <cellStyle name="20% - Accent3 4 2 8" xfId="13423"/>
    <cellStyle name="20% - Accent3 4 2 8 2" xfId="13424"/>
    <cellStyle name="20% - Accent3 4 2 8 2 2" xfId="13425"/>
    <cellStyle name="20% - Accent3 4 2 8 2 3" xfId="13426"/>
    <cellStyle name="20% - Accent3 4 2 8 3" xfId="13427"/>
    <cellStyle name="20% - Accent3 4 2 8 3 2" xfId="13428"/>
    <cellStyle name="20% - Accent3 4 2 8 3 3" xfId="13429"/>
    <cellStyle name="20% - Accent3 4 2 8 4" xfId="13430"/>
    <cellStyle name="20% - Accent3 4 2 8 4 2" xfId="13431"/>
    <cellStyle name="20% - Accent3 4 2 8 5" xfId="13432"/>
    <cellStyle name="20% - Accent3 4 2 8 6" xfId="13433"/>
    <cellStyle name="20% - Accent3 4 2 9" xfId="13434"/>
    <cellStyle name="20% - Accent3 4 2 9 2" xfId="13435"/>
    <cellStyle name="20% - Accent3 4 2 9 2 2" xfId="13436"/>
    <cellStyle name="20% - Accent3 4 2 9 2 3" xfId="13437"/>
    <cellStyle name="20% - Accent3 4 2 9 3" xfId="13438"/>
    <cellStyle name="20% - Accent3 4 2 9 3 2" xfId="13439"/>
    <cellStyle name="20% - Accent3 4 2 9 4" xfId="13440"/>
    <cellStyle name="20% - Accent3 4 2 9 5" xfId="13441"/>
    <cellStyle name="20% - Accent3 4 3" xfId="600"/>
    <cellStyle name="20% - Accent3 4 3 10" xfId="13442"/>
    <cellStyle name="20% - Accent3 4 3 10 2" xfId="13443"/>
    <cellStyle name="20% - Accent3 4 3 10 3" xfId="13444"/>
    <cellStyle name="20% - Accent3 4 3 11" xfId="13445"/>
    <cellStyle name="20% - Accent3 4 3 11 2" xfId="13446"/>
    <cellStyle name="20% - Accent3 4 3 12" xfId="13447"/>
    <cellStyle name="20% - Accent3 4 3 13" xfId="13448"/>
    <cellStyle name="20% - Accent3 4 3 14" xfId="13449"/>
    <cellStyle name="20% - Accent3 4 3 2" xfId="601"/>
    <cellStyle name="20% - Accent3 4 3 2 10" xfId="13450"/>
    <cellStyle name="20% - Accent3 4 3 2 10 2" xfId="13451"/>
    <cellStyle name="20% - Accent3 4 3 2 11" xfId="13452"/>
    <cellStyle name="20% - Accent3 4 3 2 12" xfId="13453"/>
    <cellStyle name="20% - Accent3 4 3 2 2" xfId="602"/>
    <cellStyle name="20% - Accent3 4 3 2 2 10" xfId="13454"/>
    <cellStyle name="20% - Accent3 4 3 2 2 2" xfId="603"/>
    <cellStyle name="20% - Accent3 4 3 2 2 2 2" xfId="13455"/>
    <cellStyle name="20% - Accent3 4 3 2 2 2 2 2" xfId="13456"/>
    <cellStyle name="20% - Accent3 4 3 2 2 2 2 2 2" xfId="13457"/>
    <cellStyle name="20% - Accent3 4 3 2 2 2 2 2 3" xfId="13458"/>
    <cellStyle name="20% - Accent3 4 3 2 2 2 2 3" xfId="13459"/>
    <cellStyle name="20% - Accent3 4 3 2 2 2 2 3 2" xfId="13460"/>
    <cellStyle name="20% - Accent3 4 3 2 2 2 2 3 3" xfId="13461"/>
    <cellStyle name="20% - Accent3 4 3 2 2 2 2 4" xfId="13462"/>
    <cellStyle name="20% - Accent3 4 3 2 2 2 2 4 2" xfId="13463"/>
    <cellStyle name="20% - Accent3 4 3 2 2 2 2 5" xfId="13464"/>
    <cellStyle name="20% - Accent3 4 3 2 2 2 2 6" xfId="13465"/>
    <cellStyle name="20% - Accent3 4 3 2 2 2 3" xfId="13466"/>
    <cellStyle name="20% - Accent3 4 3 2 2 2 3 2" xfId="13467"/>
    <cellStyle name="20% - Accent3 4 3 2 2 2 3 2 2" xfId="13468"/>
    <cellStyle name="20% - Accent3 4 3 2 2 2 3 2 3" xfId="13469"/>
    <cellStyle name="20% - Accent3 4 3 2 2 2 3 3" xfId="13470"/>
    <cellStyle name="20% - Accent3 4 3 2 2 2 3 3 2" xfId="13471"/>
    <cellStyle name="20% - Accent3 4 3 2 2 2 3 3 3" xfId="13472"/>
    <cellStyle name="20% - Accent3 4 3 2 2 2 3 4" xfId="13473"/>
    <cellStyle name="20% - Accent3 4 3 2 2 2 3 4 2" xfId="13474"/>
    <cellStyle name="20% - Accent3 4 3 2 2 2 3 5" xfId="13475"/>
    <cellStyle name="20% - Accent3 4 3 2 2 2 3 6" xfId="13476"/>
    <cellStyle name="20% - Accent3 4 3 2 2 2 4" xfId="13477"/>
    <cellStyle name="20% - Accent3 4 3 2 2 2 4 2" xfId="13478"/>
    <cellStyle name="20% - Accent3 4 3 2 2 2 4 2 2" xfId="13479"/>
    <cellStyle name="20% - Accent3 4 3 2 2 2 4 2 3" xfId="13480"/>
    <cellStyle name="20% - Accent3 4 3 2 2 2 4 3" xfId="13481"/>
    <cellStyle name="20% - Accent3 4 3 2 2 2 4 3 2" xfId="13482"/>
    <cellStyle name="20% - Accent3 4 3 2 2 2 4 4" xfId="13483"/>
    <cellStyle name="20% - Accent3 4 3 2 2 2 4 5" xfId="13484"/>
    <cellStyle name="20% - Accent3 4 3 2 2 2 5" xfId="13485"/>
    <cellStyle name="20% - Accent3 4 3 2 2 2 5 2" xfId="13486"/>
    <cellStyle name="20% - Accent3 4 3 2 2 2 5 3" xfId="13487"/>
    <cellStyle name="20% - Accent3 4 3 2 2 2 6" xfId="13488"/>
    <cellStyle name="20% - Accent3 4 3 2 2 2 6 2" xfId="13489"/>
    <cellStyle name="20% - Accent3 4 3 2 2 2 6 3" xfId="13490"/>
    <cellStyle name="20% - Accent3 4 3 2 2 2 7" xfId="13491"/>
    <cellStyle name="20% - Accent3 4 3 2 2 2 7 2" xfId="13492"/>
    <cellStyle name="20% - Accent3 4 3 2 2 2 8" xfId="13493"/>
    <cellStyle name="20% - Accent3 4 3 2 2 2 9" xfId="13494"/>
    <cellStyle name="20% - Accent3 4 3 2 2 3" xfId="13495"/>
    <cellStyle name="20% - Accent3 4 3 2 2 3 2" xfId="13496"/>
    <cellStyle name="20% - Accent3 4 3 2 2 3 2 2" xfId="13497"/>
    <cellStyle name="20% - Accent3 4 3 2 2 3 2 3" xfId="13498"/>
    <cellStyle name="20% - Accent3 4 3 2 2 3 3" xfId="13499"/>
    <cellStyle name="20% - Accent3 4 3 2 2 3 3 2" xfId="13500"/>
    <cellStyle name="20% - Accent3 4 3 2 2 3 3 3" xfId="13501"/>
    <cellStyle name="20% - Accent3 4 3 2 2 3 4" xfId="13502"/>
    <cellStyle name="20% - Accent3 4 3 2 2 3 4 2" xfId="13503"/>
    <cellStyle name="20% - Accent3 4 3 2 2 3 5" xfId="13504"/>
    <cellStyle name="20% - Accent3 4 3 2 2 3 6" xfId="13505"/>
    <cellStyle name="20% - Accent3 4 3 2 2 4" xfId="13506"/>
    <cellStyle name="20% - Accent3 4 3 2 2 4 2" xfId="13507"/>
    <cellStyle name="20% - Accent3 4 3 2 2 4 2 2" xfId="13508"/>
    <cellStyle name="20% - Accent3 4 3 2 2 4 2 3" xfId="13509"/>
    <cellStyle name="20% - Accent3 4 3 2 2 4 3" xfId="13510"/>
    <cellStyle name="20% - Accent3 4 3 2 2 4 3 2" xfId="13511"/>
    <cellStyle name="20% - Accent3 4 3 2 2 4 3 3" xfId="13512"/>
    <cellStyle name="20% - Accent3 4 3 2 2 4 4" xfId="13513"/>
    <cellStyle name="20% - Accent3 4 3 2 2 4 4 2" xfId="13514"/>
    <cellStyle name="20% - Accent3 4 3 2 2 4 5" xfId="13515"/>
    <cellStyle name="20% - Accent3 4 3 2 2 4 6" xfId="13516"/>
    <cellStyle name="20% - Accent3 4 3 2 2 5" xfId="13517"/>
    <cellStyle name="20% - Accent3 4 3 2 2 5 2" xfId="13518"/>
    <cellStyle name="20% - Accent3 4 3 2 2 5 2 2" xfId="13519"/>
    <cellStyle name="20% - Accent3 4 3 2 2 5 2 3" xfId="13520"/>
    <cellStyle name="20% - Accent3 4 3 2 2 5 3" xfId="13521"/>
    <cellStyle name="20% - Accent3 4 3 2 2 5 3 2" xfId="13522"/>
    <cellStyle name="20% - Accent3 4 3 2 2 5 4" xfId="13523"/>
    <cellStyle name="20% - Accent3 4 3 2 2 5 5" xfId="13524"/>
    <cellStyle name="20% - Accent3 4 3 2 2 6" xfId="13525"/>
    <cellStyle name="20% - Accent3 4 3 2 2 6 2" xfId="13526"/>
    <cellStyle name="20% - Accent3 4 3 2 2 6 3" xfId="13527"/>
    <cellStyle name="20% - Accent3 4 3 2 2 7" xfId="13528"/>
    <cellStyle name="20% - Accent3 4 3 2 2 7 2" xfId="13529"/>
    <cellStyle name="20% - Accent3 4 3 2 2 7 3" xfId="13530"/>
    <cellStyle name="20% - Accent3 4 3 2 2 8" xfId="13531"/>
    <cellStyle name="20% - Accent3 4 3 2 2 8 2" xfId="13532"/>
    <cellStyle name="20% - Accent3 4 3 2 2 9" xfId="13533"/>
    <cellStyle name="20% - Accent3 4 3 2 3" xfId="604"/>
    <cellStyle name="20% - Accent3 4 3 2 3 2" xfId="13534"/>
    <cellStyle name="20% - Accent3 4 3 2 3 2 2" xfId="13535"/>
    <cellStyle name="20% - Accent3 4 3 2 3 2 2 2" xfId="13536"/>
    <cellStyle name="20% - Accent3 4 3 2 3 2 2 3" xfId="13537"/>
    <cellStyle name="20% - Accent3 4 3 2 3 2 3" xfId="13538"/>
    <cellStyle name="20% - Accent3 4 3 2 3 2 3 2" xfId="13539"/>
    <cellStyle name="20% - Accent3 4 3 2 3 2 3 3" xfId="13540"/>
    <cellStyle name="20% - Accent3 4 3 2 3 2 4" xfId="13541"/>
    <cellStyle name="20% - Accent3 4 3 2 3 2 4 2" xfId="13542"/>
    <cellStyle name="20% - Accent3 4 3 2 3 2 5" xfId="13543"/>
    <cellStyle name="20% - Accent3 4 3 2 3 2 6" xfId="13544"/>
    <cellStyle name="20% - Accent3 4 3 2 3 3" xfId="13545"/>
    <cellStyle name="20% - Accent3 4 3 2 3 3 2" xfId="13546"/>
    <cellStyle name="20% - Accent3 4 3 2 3 3 2 2" xfId="13547"/>
    <cellStyle name="20% - Accent3 4 3 2 3 3 2 3" xfId="13548"/>
    <cellStyle name="20% - Accent3 4 3 2 3 3 3" xfId="13549"/>
    <cellStyle name="20% - Accent3 4 3 2 3 3 3 2" xfId="13550"/>
    <cellStyle name="20% - Accent3 4 3 2 3 3 3 3" xfId="13551"/>
    <cellStyle name="20% - Accent3 4 3 2 3 3 4" xfId="13552"/>
    <cellStyle name="20% - Accent3 4 3 2 3 3 4 2" xfId="13553"/>
    <cellStyle name="20% - Accent3 4 3 2 3 3 5" xfId="13554"/>
    <cellStyle name="20% - Accent3 4 3 2 3 3 6" xfId="13555"/>
    <cellStyle name="20% - Accent3 4 3 2 3 4" xfId="13556"/>
    <cellStyle name="20% - Accent3 4 3 2 3 4 2" xfId="13557"/>
    <cellStyle name="20% - Accent3 4 3 2 3 4 2 2" xfId="13558"/>
    <cellStyle name="20% - Accent3 4 3 2 3 4 2 3" xfId="13559"/>
    <cellStyle name="20% - Accent3 4 3 2 3 4 3" xfId="13560"/>
    <cellStyle name="20% - Accent3 4 3 2 3 4 3 2" xfId="13561"/>
    <cellStyle name="20% - Accent3 4 3 2 3 4 4" xfId="13562"/>
    <cellStyle name="20% - Accent3 4 3 2 3 4 5" xfId="13563"/>
    <cellStyle name="20% - Accent3 4 3 2 3 5" xfId="13564"/>
    <cellStyle name="20% - Accent3 4 3 2 3 5 2" xfId="13565"/>
    <cellStyle name="20% - Accent3 4 3 2 3 5 3" xfId="13566"/>
    <cellStyle name="20% - Accent3 4 3 2 3 6" xfId="13567"/>
    <cellStyle name="20% - Accent3 4 3 2 3 6 2" xfId="13568"/>
    <cellStyle name="20% - Accent3 4 3 2 3 6 3" xfId="13569"/>
    <cellStyle name="20% - Accent3 4 3 2 3 7" xfId="13570"/>
    <cellStyle name="20% - Accent3 4 3 2 3 7 2" xfId="13571"/>
    <cellStyle name="20% - Accent3 4 3 2 3 8" xfId="13572"/>
    <cellStyle name="20% - Accent3 4 3 2 3 9" xfId="13573"/>
    <cellStyle name="20% - Accent3 4 3 2 4" xfId="13574"/>
    <cellStyle name="20% - Accent3 4 3 2 4 2" xfId="13575"/>
    <cellStyle name="20% - Accent3 4 3 2 4 2 2" xfId="13576"/>
    <cellStyle name="20% - Accent3 4 3 2 4 2 2 2" xfId="13577"/>
    <cellStyle name="20% - Accent3 4 3 2 4 2 2 3" xfId="13578"/>
    <cellStyle name="20% - Accent3 4 3 2 4 2 3" xfId="13579"/>
    <cellStyle name="20% - Accent3 4 3 2 4 2 3 2" xfId="13580"/>
    <cellStyle name="20% - Accent3 4 3 2 4 2 3 3" xfId="13581"/>
    <cellStyle name="20% - Accent3 4 3 2 4 2 4" xfId="13582"/>
    <cellStyle name="20% - Accent3 4 3 2 4 2 4 2" xfId="13583"/>
    <cellStyle name="20% - Accent3 4 3 2 4 2 5" xfId="13584"/>
    <cellStyle name="20% - Accent3 4 3 2 4 2 6" xfId="13585"/>
    <cellStyle name="20% - Accent3 4 3 2 4 3" xfId="13586"/>
    <cellStyle name="20% - Accent3 4 3 2 4 3 2" xfId="13587"/>
    <cellStyle name="20% - Accent3 4 3 2 4 3 2 2" xfId="13588"/>
    <cellStyle name="20% - Accent3 4 3 2 4 3 2 3" xfId="13589"/>
    <cellStyle name="20% - Accent3 4 3 2 4 3 3" xfId="13590"/>
    <cellStyle name="20% - Accent3 4 3 2 4 3 3 2" xfId="13591"/>
    <cellStyle name="20% - Accent3 4 3 2 4 3 3 3" xfId="13592"/>
    <cellStyle name="20% - Accent3 4 3 2 4 3 4" xfId="13593"/>
    <cellStyle name="20% - Accent3 4 3 2 4 3 4 2" xfId="13594"/>
    <cellStyle name="20% - Accent3 4 3 2 4 3 5" xfId="13595"/>
    <cellStyle name="20% - Accent3 4 3 2 4 3 6" xfId="13596"/>
    <cellStyle name="20% - Accent3 4 3 2 4 4" xfId="13597"/>
    <cellStyle name="20% - Accent3 4 3 2 4 4 2" xfId="13598"/>
    <cellStyle name="20% - Accent3 4 3 2 4 4 2 2" xfId="13599"/>
    <cellStyle name="20% - Accent3 4 3 2 4 4 2 3" xfId="13600"/>
    <cellStyle name="20% - Accent3 4 3 2 4 4 3" xfId="13601"/>
    <cellStyle name="20% - Accent3 4 3 2 4 4 3 2" xfId="13602"/>
    <cellStyle name="20% - Accent3 4 3 2 4 4 4" xfId="13603"/>
    <cellStyle name="20% - Accent3 4 3 2 4 4 5" xfId="13604"/>
    <cellStyle name="20% - Accent3 4 3 2 4 5" xfId="13605"/>
    <cellStyle name="20% - Accent3 4 3 2 4 5 2" xfId="13606"/>
    <cellStyle name="20% - Accent3 4 3 2 4 5 3" xfId="13607"/>
    <cellStyle name="20% - Accent3 4 3 2 4 6" xfId="13608"/>
    <cellStyle name="20% - Accent3 4 3 2 4 6 2" xfId="13609"/>
    <cellStyle name="20% - Accent3 4 3 2 4 6 3" xfId="13610"/>
    <cellStyle name="20% - Accent3 4 3 2 4 7" xfId="13611"/>
    <cellStyle name="20% - Accent3 4 3 2 4 7 2" xfId="13612"/>
    <cellStyle name="20% - Accent3 4 3 2 4 8" xfId="13613"/>
    <cellStyle name="20% - Accent3 4 3 2 4 9" xfId="13614"/>
    <cellStyle name="20% - Accent3 4 3 2 5" xfId="13615"/>
    <cellStyle name="20% - Accent3 4 3 2 5 2" xfId="13616"/>
    <cellStyle name="20% - Accent3 4 3 2 5 2 2" xfId="13617"/>
    <cellStyle name="20% - Accent3 4 3 2 5 2 3" xfId="13618"/>
    <cellStyle name="20% - Accent3 4 3 2 5 3" xfId="13619"/>
    <cellStyle name="20% - Accent3 4 3 2 5 3 2" xfId="13620"/>
    <cellStyle name="20% - Accent3 4 3 2 5 3 3" xfId="13621"/>
    <cellStyle name="20% - Accent3 4 3 2 5 4" xfId="13622"/>
    <cellStyle name="20% - Accent3 4 3 2 5 4 2" xfId="13623"/>
    <cellStyle name="20% - Accent3 4 3 2 5 5" xfId="13624"/>
    <cellStyle name="20% - Accent3 4 3 2 5 6" xfId="13625"/>
    <cellStyle name="20% - Accent3 4 3 2 6" xfId="13626"/>
    <cellStyle name="20% - Accent3 4 3 2 6 2" xfId="13627"/>
    <cellStyle name="20% - Accent3 4 3 2 6 2 2" xfId="13628"/>
    <cellStyle name="20% - Accent3 4 3 2 6 2 3" xfId="13629"/>
    <cellStyle name="20% - Accent3 4 3 2 6 3" xfId="13630"/>
    <cellStyle name="20% - Accent3 4 3 2 6 3 2" xfId="13631"/>
    <cellStyle name="20% - Accent3 4 3 2 6 3 3" xfId="13632"/>
    <cellStyle name="20% - Accent3 4 3 2 6 4" xfId="13633"/>
    <cellStyle name="20% - Accent3 4 3 2 6 4 2" xfId="13634"/>
    <cellStyle name="20% - Accent3 4 3 2 6 5" xfId="13635"/>
    <cellStyle name="20% - Accent3 4 3 2 6 6" xfId="13636"/>
    <cellStyle name="20% - Accent3 4 3 2 7" xfId="13637"/>
    <cellStyle name="20% - Accent3 4 3 2 7 2" xfId="13638"/>
    <cellStyle name="20% - Accent3 4 3 2 7 2 2" xfId="13639"/>
    <cellStyle name="20% - Accent3 4 3 2 7 2 3" xfId="13640"/>
    <cellStyle name="20% - Accent3 4 3 2 7 3" xfId="13641"/>
    <cellStyle name="20% - Accent3 4 3 2 7 3 2" xfId="13642"/>
    <cellStyle name="20% - Accent3 4 3 2 7 4" xfId="13643"/>
    <cellStyle name="20% - Accent3 4 3 2 7 5" xfId="13644"/>
    <cellStyle name="20% - Accent3 4 3 2 8" xfId="13645"/>
    <cellStyle name="20% - Accent3 4 3 2 8 2" xfId="13646"/>
    <cellStyle name="20% - Accent3 4 3 2 8 3" xfId="13647"/>
    <cellStyle name="20% - Accent3 4 3 2 9" xfId="13648"/>
    <cellStyle name="20% - Accent3 4 3 2 9 2" xfId="13649"/>
    <cellStyle name="20% - Accent3 4 3 2 9 3" xfId="13650"/>
    <cellStyle name="20% - Accent3 4 3 3" xfId="605"/>
    <cellStyle name="20% - Accent3 4 3 3 10" xfId="13651"/>
    <cellStyle name="20% - Accent3 4 3 3 2" xfId="606"/>
    <cellStyle name="20% - Accent3 4 3 3 2 2" xfId="13652"/>
    <cellStyle name="20% - Accent3 4 3 3 2 2 2" xfId="13653"/>
    <cellStyle name="20% - Accent3 4 3 3 2 2 2 2" xfId="13654"/>
    <cellStyle name="20% - Accent3 4 3 3 2 2 2 3" xfId="13655"/>
    <cellStyle name="20% - Accent3 4 3 3 2 2 3" xfId="13656"/>
    <cellStyle name="20% - Accent3 4 3 3 2 2 3 2" xfId="13657"/>
    <cellStyle name="20% - Accent3 4 3 3 2 2 3 3" xfId="13658"/>
    <cellStyle name="20% - Accent3 4 3 3 2 2 4" xfId="13659"/>
    <cellStyle name="20% - Accent3 4 3 3 2 2 4 2" xfId="13660"/>
    <cellStyle name="20% - Accent3 4 3 3 2 2 5" xfId="13661"/>
    <cellStyle name="20% - Accent3 4 3 3 2 2 6" xfId="13662"/>
    <cellStyle name="20% - Accent3 4 3 3 2 3" xfId="13663"/>
    <cellStyle name="20% - Accent3 4 3 3 2 3 2" xfId="13664"/>
    <cellStyle name="20% - Accent3 4 3 3 2 3 2 2" xfId="13665"/>
    <cellStyle name="20% - Accent3 4 3 3 2 3 2 3" xfId="13666"/>
    <cellStyle name="20% - Accent3 4 3 3 2 3 3" xfId="13667"/>
    <cellStyle name="20% - Accent3 4 3 3 2 3 3 2" xfId="13668"/>
    <cellStyle name="20% - Accent3 4 3 3 2 3 3 3" xfId="13669"/>
    <cellStyle name="20% - Accent3 4 3 3 2 3 4" xfId="13670"/>
    <cellStyle name="20% - Accent3 4 3 3 2 3 4 2" xfId="13671"/>
    <cellStyle name="20% - Accent3 4 3 3 2 3 5" xfId="13672"/>
    <cellStyle name="20% - Accent3 4 3 3 2 3 6" xfId="13673"/>
    <cellStyle name="20% - Accent3 4 3 3 2 4" xfId="13674"/>
    <cellStyle name="20% - Accent3 4 3 3 2 4 2" xfId="13675"/>
    <cellStyle name="20% - Accent3 4 3 3 2 4 2 2" xfId="13676"/>
    <cellStyle name="20% - Accent3 4 3 3 2 4 2 3" xfId="13677"/>
    <cellStyle name="20% - Accent3 4 3 3 2 4 3" xfId="13678"/>
    <cellStyle name="20% - Accent3 4 3 3 2 4 3 2" xfId="13679"/>
    <cellStyle name="20% - Accent3 4 3 3 2 4 4" xfId="13680"/>
    <cellStyle name="20% - Accent3 4 3 3 2 4 5" xfId="13681"/>
    <cellStyle name="20% - Accent3 4 3 3 2 5" xfId="13682"/>
    <cellStyle name="20% - Accent3 4 3 3 2 5 2" xfId="13683"/>
    <cellStyle name="20% - Accent3 4 3 3 2 5 3" xfId="13684"/>
    <cellStyle name="20% - Accent3 4 3 3 2 6" xfId="13685"/>
    <cellStyle name="20% - Accent3 4 3 3 2 6 2" xfId="13686"/>
    <cellStyle name="20% - Accent3 4 3 3 2 6 3" xfId="13687"/>
    <cellStyle name="20% - Accent3 4 3 3 2 7" xfId="13688"/>
    <cellStyle name="20% - Accent3 4 3 3 2 7 2" xfId="13689"/>
    <cellStyle name="20% - Accent3 4 3 3 2 8" xfId="13690"/>
    <cellStyle name="20% - Accent3 4 3 3 2 9" xfId="13691"/>
    <cellStyle name="20% - Accent3 4 3 3 3" xfId="13692"/>
    <cellStyle name="20% - Accent3 4 3 3 3 2" xfId="13693"/>
    <cellStyle name="20% - Accent3 4 3 3 3 2 2" xfId="13694"/>
    <cellStyle name="20% - Accent3 4 3 3 3 2 3" xfId="13695"/>
    <cellStyle name="20% - Accent3 4 3 3 3 3" xfId="13696"/>
    <cellStyle name="20% - Accent3 4 3 3 3 3 2" xfId="13697"/>
    <cellStyle name="20% - Accent3 4 3 3 3 3 3" xfId="13698"/>
    <cellStyle name="20% - Accent3 4 3 3 3 4" xfId="13699"/>
    <cellStyle name="20% - Accent3 4 3 3 3 4 2" xfId="13700"/>
    <cellStyle name="20% - Accent3 4 3 3 3 5" xfId="13701"/>
    <cellStyle name="20% - Accent3 4 3 3 3 6" xfId="13702"/>
    <cellStyle name="20% - Accent3 4 3 3 4" xfId="13703"/>
    <cellStyle name="20% - Accent3 4 3 3 4 2" xfId="13704"/>
    <cellStyle name="20% - Accent3 4 3 3 4 2 2" xfId="13705"/>
    <cellStyle name="20% - Accent3 4 3 3 4 2 3" xfId="13706"/>
    <cellStyle name="20% - Accent3 4 3 3 4 3" xfId="13707"/>
    <cellStyle name="20% - Accent3 4 3 3 4 3 2" xfId="13708"/>
    <cellStyle name="20% - Accent3 4 3 3 4 3 3" xfId="13709"/>
    <cellStyle name="20% - Accent3 4 3 3 4 4" xfId="13710"/>
    <cellStyle name="20% - Accent3 4 3 3 4 4 2" xfId="13711"/>
    <cellStyle name="20% - Accent3 4 3 3 4 5" xfId="13712"/>
    <cellStyle name="20% - Accent3 4 3 3 4 6" xfId="13713"/>
    <cellStyle name="20% - Accent3 4 3 3 5" xfId="13714"/>
    <cellStyle name="20% - Accent3 4 3 3 5 2" xfId="13715"/>
    <cellStyle name="20% - Accent3 4 3 3 5 2 2" xfId="13716"/>
    <cellStyle name="20% - Accent3 4 3 3 5 2 3" xfId="13717"/>
    <cellStyle name="20% - Accent3 4 3 3 5 3" xfId="13718"/>
    <cellStyle name="20% - Accent3 4 3 3 5 3 2" xfId="13719"/>
    <cellStyle name="20% - Accent3 4 3 3 5 4" xfId="13720"/>
    <cellStyle name="20% - Accent3 4 3 3 5 5" xfId="13721"/>
    <cellStyle name="20% - Accent3 4 3 3 6" xfId="13722"/>
    <cellStyle name="20% - Accent3 4 3 3 6 2" xfId="13723"/>
    <cellStyle name="20% - Accent3 4 3 3 6 3" xfId="13724"/>
    <cellStyle name="20% - Accent3 4 3 3 7" xfId="13725"/>
    <cellStyle name="20% - Accent3 4 3 3 7 2" xfId="13726"/>
    <cellStyle name="20% - Accent3 4 3 3 7 3" xfId="13727"/>
    <cellStyle name="20% - Accent3 4 3 3 8" xfId="13728"/>
    <cellStyle name="20% - Accent3 4 3 3 8 2" xfId="13729"/>
    <cellStyle name="20% - Accent3 4 3 3 9" xfId="13730"/>
    <cellStyle name="20% - Accent3 4 3 4" xfId="607"/>
    <cellStyle name="20% - Accent3 4 3 4 2" xfId="13731"/>
    <cellStyle name="20% - Accent3 4 3 4 2 2" xfId="13732"/>
    <cellStyle name="20% - Accent3 4 3 4 2 2 2" xfId="13733"/>
    <cellStyle name="20% - Accent3 4 3 4 2 2 3" xfId="13734"/>
    <cellStyle name="20% - Accent3 4 3 4 2 3" xfId="13735"/>
    <cellStyle name="20% - Accent3 4 3 4 2 3 2" xfId="13736"/>
    <cellStyle name="20% - Accent3 4 3 4 2 3 3" xfId="13737"/>
    <cellStyle name="20% - Accent3 4 3 4 2 4" xfId="13738"/>
    <cellStyle name="20% - Accent3 4 3 4 2 4 2" xfId="13739"/>
    <cellStyle name="20% - Accent3 4 3 4 2 5" xfId="13740"/>
    <cellStyle name="20% - Accent3 4 3 4 2 6" xfId="13741"/>
    <cellStyle name="20% - Accent3 4 3 4 3" xfId="13742"/>
    <cellStyle name="20% - Accent3 4 3 4 3 2" xfId="13743"/>
    <cellStyle name="20% - Accent3 4 3 4 3 2 2" xfId="13744"/>
    <cellStyle name="20% - Accent3 4 3 4 3 2 3" xfId="13745"/>
    <cellStyle name="20% - Accent3 4 3 4 3 3" xfId="13746"/>
    <cellStyle name="20% - Accent3 4 3 4 3 3 2" xfId="13747"/>
    <cellStyle name="20% - Accent3 4 3 4 3 3 3" xfId="13748"/>
    <cellStyle name="20% - Accent3 4 3 4 3 4" xfId="13749"/>
    <cellStyle name="20% - Accent3 4 3 4 3 4 2" xfId="13750"/>
    <cellStyle name="20% - Accent3 4 3 4 3 5" xfId="13751"/>
    <cellStyle name="20% - Accent3 4 3 4 3 6" xfId="13752"/>
    <cellStyle name="20% - Accent3 4 3 4 4" xfId="13753"/>
    <cellStyle name="20% - Accent3 4 3 4 4 2" xfId="13754"/>
    <cellStyle name="20% - Accent3 4 3 4 4 2 2" xfId="13755"/>
    <cellStyle name="20% - Accent3 4 3 4 4 2 3" xfId="13756"/>
    <cellStyle name="20% - Accent3 4 3 4 4 3" xfId="13757"/>
    <cellStyle name="20% - Accent3 4 3 4 4 3 2" xfId="13758"/>
    <cellStyle name="20% - Accent3 4 3 4 4 4" xfId="13759"/>
    <cellStyle name="20% - Accent3 4 3 4 4 5" xfId="13760"/>
    <cellStyle name="20% - Accent3 4 3 4 5" xfId="13761"/>
    <cellStyle name="20% - Accent3 4 3 4 5 2" xfId="13762"/>
    <cellStyle name="20% - Accent3 4 3 4 5 3" xfId="13763"/>
    <cellStyle name="20% - Accent3 4 3 4 6" xfId="13764"/>
    <cellStyle name="20% - Accent3 4 3 4 6 2" xfId="13765"/>
    <cellStyle name="20% - Accent3 4 3 4 6 3" xfId="13766"/>
    <cellStyle name="20% - Accent3 4 3 4 7" xfId="13767"/>
    <cellStyle name="20% - Accent3 4 3 4 7 2" xfId="13768"/>
    <cellStyle name="20% - Accent3 4 3 4 8" xfId="13769"/>
    <cellStyle name="20% - Accent3 4 3 4 9" xfId="13770"/>
    <cellStyle name="20% - Accent3 4 3 5" xfId="13771"/>
    <cellStyle name="20% - Accent3 4 3 5 2" xfId="13772"/>
    <cellStyle name="20% - Accent3 4 3 5 2 2" xfId="13773"/>
    <cellStyle name="20% - Accent3 4 3 5 2 2 2" xfId="13774"/>
    <cellStyle name="20% - Accent3 4 3 5 2 2 3" xfId="13775"/>
    <cellStyle name="20% - Accent3 4 3 5 2 3" xfId="13776"/>
    <cellStyle name="20% - Accent3 4 3 5 2 3 2" xfId="13777"/>
    <cellStyle name="20% - Accent3 4 3 5 2 3 3" xfId="13778"/>
    <cellStyle name="20% - Accent3 4 3 5 2 4" xfId="13779"/>
    <cellStyle name="20% - Accent3 4 3 5 2 4 2" xfId="13780"/>
    <cellStyle name="20% - Accent3 4 3 5 2 5" xfId="13781"/>
    <cellStyle name="20% - Accent3 4 3 5 2 6" xfId="13782"/>
    <cellStyle name="20% - Accent3 4 3 5 3" xfId="13783"/>
    <cellStyle name="20% - Accent3 4 3 5 3 2" xfId="13784"/>
    <cellStyle name="20% - Accent3 4 3 5 3 2 2" xfId="13785"/>
    <cellStyle name="20% - Accent3 4 3 5 3 2 3" xfId="13786"/>
    <cellStyle name="20% - Accent3 4 3 5 3 3" xfId="13787"/>
    <cellStyle name="20% - Accent3 4 3 5 3 3 2" xfId="13788"/>
    <cellStyle name="20% - Accent3 4 3 5 3 3 3" xfId="13789"/>
    <cellStyle name="20% - Accent3 4 3 5 3 4" xfId="13790"/>
    <cellStyle name="20% - Accent3 4 3 5 3 4 2" xfId="13791"/>
    <cellStyle name="20% - Accent3 4 3 5 3 5" xfId="13792"/>
    <cellStyle name="20% - Accent3 4 3 5 3 6" xfId="13793"/>
    <cellStyle name="20% - Accent3 4 3 5 4" xfId="13794"/>
    <cellStyle name="20% - Accent3 4 3 5 4 2" xfId="13795"/>
    <cellStyle name="20% - Accent3 4 3 5 4 2 2" xfId="13796"/>
    <cellStyle name="20% - Accent3 4 3 5 4 2 3" xfId="13797"/>
    <cellStyle name="20% - Accent3 4 3 5 4 3" xfId="13798"/>
    <cellStyle name="20% - Accent3 4 3 5 4 3 2" xfId="13799"/>
    <cellStyle name="20% - Accent3 4 3 5 4 4" xfId="13800"/>
    <cellStyle name="20% - Accent3 4 3 5 4 5" xfId="13801"/>
    <cellStyle name="20% - Accent3 4 3 5 5" xfId="13802"/>
    <cellStyle name="20% - Accent3 4 3 5 5 2" xfId="13803"/>
    <cellStyle name="20% - Accent3 4 3 5 5 3" xfId="13804"/>
    <cellStyle name="20% - Accent3 4 3 5 6" xfId="13805"/>
    <cellStyle name="20% - Accent3 4 3 5 6 2" xfId="13806"/>
    <cellStyle name="20% - Accent3 4 3 5 6 3" xfId="13807"/>
    <cellStyle name="20% - Accent3 4 3 5 7" xfId="13808"/>
    <cellStyle name="20% - Accent3 4 3 5 7 2" xfId="13809"/>
    <cellStyle name="20% - Accent3 4 3 5 8" xfId="13810"/>
    <cellStyle name="20% - Accent3 4 3 5 9" xfId="13811"/>
    <cellStyle name="20% - Accent3 4 3 6" xfId="13812"/>
    <cellStyle name="20% - Accent3 4 3 6 2" xfId="13813"/>
    <cellStyle name="20% - Accent3 4 3 6 2 2" xfId="13814"/>
    <cellStyle name="20% - Accent3 4 3 6 2 3" xfId="13815"/>
    <cellStyle name="20% - Accent3 4 3 6 3" xfId="13816"/>
    <cellStyle name="20% - Accent3 4 3 6 3 2" xfId="13817"/>
    <cellStyle name="20% - Accent3 4 3 6 3 3" xfId="13818"/>
    <cellStyle name="20% - Accent3 4 3 6 4" xfId="13819"/>
    <cellStyle name="20% - Accent3 4 3 6 4 2" xfId="13820"/>
    <cellStyle name="20% - Accent3 4 3 6 5" xfId="13821"/>
    <cellStyle name="20% - Accent3 4 3 6 6" xfId="13822"/>
    <cellStyle name="20% - Accent3 4 3 7" xfId="13823"/>
    <cellStyle name="20% - Accent3 4 3 7 2" xfId="13824"/>
    <cellStyle name="20% - Accent3 4 3 7 2 2" xfId="13825"/>
    <cellStyle name="20% - Accent3 4 3 7 2 3" xfId="13826"/>
    <cellStyle name="20% - Accent3 4 3 7 3" xfId="13827"/>
    <cellStyle name="20% - Accent3 4 3 7 3 2" xfId="13828"/>
    <cellStyle name="20% - Accent3 4 3 7 3 3" xfId="13829"/>
    <cellStyle name="20% - Accent3 4 3 7 4" xfId="13830"/>
    <cellStyle name="20% - Accent3 4 3 7 4 2" xfId="13831"/>
    <cellStyle name="20% - Accent3 4 3 7 5" xfId="13832"/>
    <cellStyle name="20% - Accent3 4 3 7 6" xfId="13833"/>
    <cellStyle name="20% - Accent3 4 3 8" xfId="13834"/>
    <cellStyle name="20% - Accent3 4 3 8 2" xfId="13835"/>
    <cellStyle name="20% - Accent3 4 3 8 2 2" xfId="13836"/>
    <cellStyle name="20% - Accent3 4 3 8 2 3" xfId="13837"/>
    <cellStyle name="20% - Accent3 4 3 8 3" xfId="13838"/>
    <cellStyle name="20% - Accent3 4 3 8 3 2" xfId="13839"/>
    <cellStyle name="20% - Accent3 4 3 8 4" xfId="13840"/>
    <cellStyle name="20% - Accent3 4 3 8 5" xfId="13841"/>
    <cellStyle name="20% - Accent3 4 3 9" xfId="13842"/>
    <cellStyle name="20% - Accent3 4 3 9 2" xfId="13843"/>
    <cellStyle name="20% - Accent3 4 3 9 3" xfId="13844"/>
    <cellStyle name="20% - Accent3 4 4" xfId="608"/>
    <cellStyle name="20% - Accent3 4 4 10" xfId="13845"/>
    <cellStyle name="20% - Accent3 4 4 10 2" xfId="13846"/>
    <cellStyle name="20% - Accent3 4 4 11" xfId="13847"/>
    <cellStyle name="20% - Accent3 4 4 12" xfId="13848"/>
    <cellStyle name="20% - Accent3 4 4 2" xfId="609"/>
    <cellStyle name="20% - Accent3 4 4 2 10" xfId="13849"/>
    <cellStyle name="20% - Accent3 4 4 2 2" xfId="610"/>
    <cellStyle name="20% - Accent3 4 4 2 2 2" xfId="13850"/>
    <cellStyle name="20% - Accent3 4 4 2 2 2 2" xfId="13851"/>
    <cellStyle name="20% - Accent3 4 4 2 2 2 2 2" xfId="13852"/>
    <cellStyle name="20% - Accent3 4 4 2 2 2 2 3" xfId="13853"/>
    <cellStyle name="20% - Accent3 4 4 2 2 2 3" xfId="13854"/>
    <cellStyle name="20% - Accent3 4 4 2 2 2 3 2" xfId="13855"/>
    <cellStyle name="20% - Accent3 4 4 2 2 2 3 3" xfId="13856"/>
    <cellStyle name="20% - Accent3 4 4 2 2 2 4" xfId="13857"/>
    <cellStyle name="20% - Accent3 4 4 2 2 2 4 2" xfId="13858"/>
    <cellStyle name="20% - Accent3 4 4 2 2 2 5" xfId="13859"/>
    <cellStyle name="20% - Accent3 4 4 2 2 2 6" xfId="13860"/>
    <cellStyle name="20% - Accent3 4 4 2 2 3" xfId="13861"/>
    <cellStyle name="20% - Accent3 4 4 2 2 3 2" xfId="13862"/>
    <cellStyle name="20% - Accent3 4 4 2 2 3 2 2" xfId="13863"/>
    <cellStyle name="20% - Accent3 4 4 2 2 3 2 3" xfId="13864"/>
    <cellStyle name="20% - Accent3 4 4 2 2 3 3" xfId="13865"/>
    <cellStyle name="20% - Accent3 4 4 2 2 3 3 2" xfId="13866"/>
    <cellStyle name="20% - Accent3 4 4 2 2 3 3 3" xfId="13867"/>
    <cellStyle name="20% - Accent3 4 4 2 2 3 4" xfId="13868"/>
    <cellStyle name="20% - Accent3 4 4 2 2 3 4 2" xfId="13869"/>
    <cellStyle name="20% - Accent3 4 4 2 2 3 5" xfId="13870"/>
    <cellStyle name="20% - Accent3 4 4 2 2 3 6" xfId="13871"/>
    <cellStyle name="20% - Accent3 4 4 2 2 4" xfId="13872"/>
    <cellStyle name="20% - Accent3 4 4 2 2 4 2" xfId="13873"/>
    <cellStyle name="20% - Accent3 4 4 2 2 4 2 2" xfId="13874"/>
    <cellStyle name="20% - Accent3 4 4 2 2 4 2 3" xfId="13875"/>
    <cellStyle name="20% - Accent3 4 4 2 2 4 3" xfId="13876"/>
    <cellStyle name="20% - Accent3 4 4 2 2 4 3 2" xfId="13877"/>
    <cellStyle name="20% - Accent3 4 4 2 2 4 4" xfId="13878"/>
    <cellStyle name="20% - Accent3 4 4 2 2 4 5" xfId="13879"/>
    <cellStyle name="20% - Accent3 4 4 2 2 5" xfId="13880"/>
    <cellStyle name="20% - Accent3 4 4 2 2 5 2" xfId="13881"/>
    <cellStyle name="20% - Accent3 4 4 2 2 5 3" xfId="13882"/>
    <cellStyle name="20% - Accent3 4 4 2 2 6" xfId="13883"/>
    <cellStyle name="20% - Accent3 4 4 2 2 6 2" xfId="13884"/>
    <cellStyle name="20% - Accent3 4 4 2 2 6 3" xfId="13885"/>
    <cellStyle name="20% - Accent3 4 4 2 2 7" xfId="13886"/>
    <cellStyle name="20% - Accent3 4 4 2 2 7 2" xfId="13887"/>
    <cellStyle name="20% - Accent3 4 4 2 2 8" xfId="13888"/>
    <cellStyle name="20% - Accent3 4 4 2 2 9" xfId="13889"/>
    <cellStyle name="20% - Accent3 4 4 2 3" xfId="13890"/>
    <cellStyle name="20% - Accent3 4 4 2 3 2" xfId="13891"/>
    <cellStyle name="20% - Accent3 4 4 2 3 2 2" xfId="13892"/>
    <cellStyle name="20% - Accent3 4 4 2 3 2 3" xfId="13893"/>
    <cellStyle name="20% - Accent3 4 4 2 3 3" xfId="13894"/>
    <cellStyle name="20% - Accent3 4 4 2 3 3 2" xfId="13895"/>
    <cellStyle name="20% - Accent3 4 4 2 3 3 3" xfId="13896"/>
    <cellStyle name="20% - Accent3 4 4 2 3 4" xfId="13897"/>
    <cellStyle name="20% - Accent3 4 4 2 3 4 2" xfId="13898"/>
    <cellStyle name="20% - Accent3 4 4 2 3 5" xfId="13899"/>
    <cellStyle name="20% - Accent3 4 4 2 3 6" xfId="13900"/>
    <cellStyle name="20% - Accent3 4 4 2 4" xfId="13901"/>
    <cellStyle name="20% - Accent3 4 4 2 4 2" xfId="13902"/>
    <cellStyle name="20% - Accent3 4 4 2 4 2 2" xfId="13903"/>
    <cellStyle name="20% - Accent3 4 4 2 4 2 3" xfId="13904"/>
    <cellStyle name="20% - Accent3 4 4 2 4 3" xfId="13905"/>
    <cellStyle name="20% - Accent3 4 4 2 4 3 2" xfId="13906"/>
    <cellStyle name="20% - Accent3 4 4 2 4 3 3" xfId="13907"/>
    <cellStyle name="20% - Accent3 4 4 2 4 4" xfId="13908"/>
    <cellStyle name="20% - Accent3 4 4 2 4 4 2" xfId="13909"/>
    <cellStyle name="20% - Accent3 4 4 2 4 5" xfId="13910"/>
    <cellStyle name="20% - Accent3 4 4 2 4 6" xfId="13911"/>
    <cellStyle name="20% - Accent3 4 4 2 5" xfId="13912"/>
    <cellStyle name="20% - Accent3 4 4 2 5 2" xfId="13913"/>
    <cellStyle name="20% - Accent3 4 4 2 5 2 2" xfId="13914"/>
    <cellStyle name="20% - Accent3 4 4 2 5 2 3" xfId="13915"/>
    <cellStyle name="20% - Accent3 4 4 2 5 3" xfId="13916"/>
    <cellStyle name="20% - Accent3 4 4 2 5 3 2" xfId="13917"/>
    <cellStyle name="20% - Accent3 4 4 2 5 4" xfId="13918"/>
    <cellStyle name="20% - Accent3 4 4 2 5 5" xfId="13919"/>
    <cellStyle name="20% - Accent3 4 4 2 6" xfId="13920"/>
    <cellStyle name="20% - Accent3 4 4 2 6 2" xfId="13921"/>
    <cellStyle name="20% - Accent3 4 4 2 6 3" xfId="13922"/>
    <cellStyle name="20% - Accent3 4 4 2 7" xfId="13923"/>
    <cellStyle name="20% - Accent3 4 4 2 7 2" xfId="13924"/>
    <cellStyle name="20% - Accent3 4 4 2 7 3" xfId="13925"/>
    <cellStyle name="20% - Accent3 4 4 2 8" xfId="13926"/>
    <cellStyle name="20% - Accent3 4 4 2 8 2" xfId="13927"/>
    <cellStyle name="20% - Accent3 4 4 2 9" xfId="13928"/>
    <cellStyle name="20% - Accent3 4 4 3" xfId="611"/>
    <cellStyle name="20% - Accent3 4 4 3 2" xfId="13929"/>
    <cellStyle name="20% - Accent3 4 4 3 2 2" xfId="13930"/>
    <cellStyle name="20% - Accent3 4 4 3 2 2 2" xfId="13931"/>
    <cellStyle name="20% - Accent3 4 4 3 2 2 3" xfId="13932"/>
    <cellStyle name="20% - Accent3 4 4 3 2 3" xfId="13933"/>
    <cellStyle name="20% - Accent3 4 4 3 2 3 2" xfId="13934"/>
    <cellStyle name="20% - Accent3 4 4 3 2 3 3" xfId="13935"/>
    <cellStyle name="20% - Accent3 4 4 3 2 4" xfId="13936"/>
    <cellStyle name="20% - Accent3 4 4 3 2 4 2" xfId="13937"/>
    <cellStyle name="20% - Accent3 4 4 3 2 5" xfId="13938"/>
    <cellStyle name="20% - Accent3 4 4 3 2 6" xfId="13939"/>
    <cellStyle name="20% - Accent3 4 4 3 3" xfId="13940"/>
    <cellStyle name="20% - Accent3 4 4 3 3 2" xfId="13941"/>
    <cellStyle name="20% - Accent3 4 4 3 3 2 2" xfId="13942"/>
    <cellStyle name="20% - Accent3 4 4 3 3 2 3" xfId="13943"/>
    <cellStyle name="20% - Accent3 4 4 3 3 3" xfId="13944"/>
    <cellStyle name="20% - Accent3 4 4 3 3 3 2" xfId="13945"/>
    <cellStyle name="20% - Accent3 4 4 3 3 3 3" xfId="13946"/>
    <cellStyle name="20% - Accent3 4 4 3 3 4" xfId="13947"/>
    <cellStyle name="20% - Accent3 4 4 3 3 4 2" xfId="13948"/>
    <cellStyle name="20% - Accent3 4 4 3 3 5" xfId="13949"/>
    <cellStyle name="20% - Accent3 4 4 3 3 6" xfId="13950"/>
    <cellStyle name="20% - Accent3 4 4 3 4" xfId="13951"/>
    <cellStyle name="20% - Accent3 4 4 3 4 2" xfId="13952"/>
    <cellStyle name="20% - Accent3 4 4 3 4 2 2" xfId="13953"/>
    <cellStyle name="20% - Accent3 4 4 3 4 2 3" xfId="13954"/>
    <cellStyle name="20% - Accent3 4 4 3 4 3" xfId="13955"/>
    <cellStyle name="20% - Accent3 4 4 3 4 3 2" xfId="13956"/>
    <cellStyle name="20% - Accent3 4 4 3 4 4" xfId="13957"/>
    <cellStyle name="20% - Accent3 4 4 3 4 5" xfId="13958"/>
    <cellStyle name="20% - Accent3 4 4 3 5" xfId="13959"/>
    <cellStyle name="20% - Accent3 4 4 3 5 2" xfId="13960"/>
    <cellStyle name="20% - Accent3 4 4 3 5 3" xfId="13961"/>
    <cellStyle name="20% - Accent3 4 4 3 6" xfId="13962"/>
    <cellStyle name="20% - Accent3 4 4 3 6 2" xfId="13963"/>
    <cellStyle name="20% - Accent3 4 4 3 6 3" xfId="13964"/>
    <cellStyle name="20% - Accent3 4 4 3 7" xfId="13965"/>
    <cellStyle name="20% - Accent3 4 4 3 7 2" xfId="13966"/>
    <cellStyle name="20% - Accent3 4 4 3 8" xfId="13967"/>
    <cellStyle name="20% - Accent3 4 4 3 9" xfId="13968"/>
    <cellStyle name="20% - Accent3 4 4 4" xfId="13969"/>
    <cellStyle name="20% - Accent3 4 4 4 2" xfId="13970"/>
    <cellStyle name="20% - Accent3 4 4 4 2 2" xfId="13971"/>
    <cellStyle name="20% - Accent3 4 4 4 2 2 2" xfId="13972"/>
    <cellStyle name="20% - Accent3 4 4 4 2 2 3" xfId="13973"/>
    <cellStyle name="20% - Accent3 4 4 4 2 3" xfId="13974"/>
    <cellStyle name="20% - Accent3 4 4 4 2 3 2" xfId="13975"/>
    <cellStyle name="20% - Accent3 4 4 4 2 3 3" xfId="13976"/>
    <cellStyle name="20% - Accent3 4 4 4 2 4" xfId="13977"/>
    <cellStyle name="20% - Accent3 4 4 4 2 4 2" xfId="13978"/>
    <cellStyle name="20% - Accent3 4 4 4 2 5" xfId="13979"/>
    <cellStyle name="20% - Accent3 4 4 4 2 6" xfId="13980"/>
    <cellStyle name="20% - Accent3 4 4 4 3" xfId="13981"/>
    <cellStyle name="20% - Accent3 4 4 4 3 2" xfId="13982"/>
    <cellStyle name="20% - Accent3 4 4 4 3 2 2" xfId="13983"/>
    <cellStyle name="20% - Accent3 4 4 4 3 2 3" xfId="13984"/>
    <cellStyle name="20% - Accent3 4 4 4 3 3" xfId="13985"/>
    <cellStyle name="20% - Accent3 4 4 4 3 3 2" xfId="13986"/>
    <cellStyle name="20% - Accent3 4 4 4 3 3 3" xfId="13987"/>
    <cellStyle name="20% - Accent3 4 4 4 3 4" xfId="13988"/>
    <cellStyle name="20% - Accent3 4 4 4 3 4 2" xfId="13989"/>
    <cellStyle name="20% - Accent3 4 4 4 3 5" xfId="13990"/>
    <cellStyle name="20% - Accent3 4 4 4 3 6" xfId="13991"/>
    <cellStyle name="20% - Accent3 4 4 4 4" xfId="13992"/>
    <cellStyle name="20% - Accent3 4 4 4 4 2" xfId="13993"/>
    <cellStyle name="20% - Accent3 4 4 4 4 2 2" xfId="13994"/>
    <cellStyle name="20% - Accent3 4 4 4 4 2 3" xfId="13995"/>
    <cellStyle name="20% - Accent3 4 4 4 4 3" xfId="13996"/>
    <cellStyle name="20% - Accent3 4 4 4 4 3 2" xfId="13997"/>
    <cellStyle name="20% - Accent3 4 4 4 4 4" xfId="13998"/>
    <cellStyle name="20% - Accent3 4 4 4 4 5" xfId="13999"/>
    <cellStyle name="20% - Accent3 4 4 4 5" xfId="14000"/>
    <cellStyle name="20% - Accent3 4 4 4 5 2" xfId="14001"/>
    <cellStyle name="20% - Accent3 4 4 4 5 3" xfId="14002"/>
    <cellStyle name="20% - Accent3 4 4 4 6" xfId="14003"/>
    <cellStyle name="20% - Accent3 4 4 4 6 2" xfId="14004"/>
    <cellStyle name="20% - Accent3 4 4 4 6 3" xfId="14005"/>
    <cellStyle name="20% - Accent3 4 4 4 7" xfId="14006"/>
    <cellStyle name="20% - Accent3 4 4 4 7 2" xfId="14007"/>
    <cellStyle name="20% - Accent3 4 4 4 8" xfId="14008"/>
    <cellStyle name="20% - Accent3 4 4 4 9" xfId="14009"/>
    <cellStyle name="20% - Accent3 4 4 5" xfId="14010"/>
    <cellStyle name="20% - Accent3 4 4 5 2" xfId="14011"/>
    <cellStyle name="20% - Accent3 4 4 5 2 2" xfId="14012"/>
    <cellStyle name="20% - Accent3 4 4 5 2 3" xfId="14013"/>
    <cellStyle name="20% - Accent3 4 4 5 3" xfId="14014"/>
    <cellStyle name="20% - Accent3 4 4 5 3 2" xfId="14015"/>
    <cellStyle name="20% - Accent3 4 4 5 3 3" xfId="14016"/>
    <cellStyle name="20% - Accent3 4 4 5 4" xfId="14017"/>
    <cellStyle name="20% - Accent3 4 4 5 4 2" xfId="14018"/>
    <cellStyle name="20% - Accent3 4 4 5 5" xfId="14019"/>
    <cellStyle name="20% - Accent3 4 4 5 6" xfId="14020"/>
    <cellStyle name="20% - Accent3 4 4 6" xfId="14021"/>
    <cellStyle name="20% - Accent3 4 4 6 2" xfId="14022"/>
    <cellStyle name="20% - Accent3 4 4 6 2 2" xfId="14023"/>
    <cellStyle name="20% - Accent3 4 4 6 2 3" xfId="14024"/>
    <cellStyle name="20% - Accent3 4 4 6 3" xfId="14025"/>
    <cellStyle name="20% - Accent3 4 4 6 3 2" xfId="14026"/>
    <cellStyle name="20% - Accent3 4 4 6 3 3" xfId="14027"/>
    <cellStyle name="20% - Accent3 4 4 6 4" xfId="14028"/>
    <cellStyle name="20% - Accent3 4 4 6 4 2" xfId="14029"/>
    <cellStyle name="20% - Accent3 4 4 6 5" xfId="14030"/>
    <cellStyle name="20% - Accent3 4 4 6 6" xfId="14031"/>
    <cellStyle name="20% - Accent3 4 4 7" xfId="14032"/>
    <cellStyle name="20% - Accent3 4 4 7 2" xfId="14033"/>
    <cellStyle name="20% - Accent3 4 4 7 2 2" xfId="14034"/>
    <cellStyle name="20% - Accent3 4 4 7 2 3" xfId="14035"/>
    <cellStyle name="20% - Accent3 4 4 7 3" xfId="14036"/>
    <cellStyle name="20% - Accent3 4 4 7 3 2" xfId="14037"/>
    <cellStyle name="20% - Accent3 4 4 7 4" xfId="14038"/>
    <cellStyle name="20% - Accent3 4 4 7 5" xfId="14039"/>
    <cellStyle name="20% - Accent3 4 4 8" xfId="14040"/>
    <cellStyle name="20% - Accent3 4 4 8 2" xfId="14041"/>
    <cellStyle name="20% - Accent3 4 4 8 3" xfId="14042"/>
    <cellStyle name="20% - Accent3 4 4 9" xfId="14043"/>
    <cellStyle name="20% - Accent3 4 4 9 2" xfId="14044"/>
    <cellStyle name="20% - Accent3 4 4 9 3" xfId="14045"/>
    <cellStyle name="20% - Accent3 4 5" xfId="612"/>
    <cellStyle name="20% - Accent3 4 5 10" xfId="14046"/>
    <cellStyle name="20% - Accent3 4 5 2" xfId="613"/>
    <cellStyle name="20% - Accent3 4 5 2 2" xfId="14047"/>
    <cellStyle name="20% - Accent3 4 5 2 2 2" xfId="14048"/>
    <cellStyle name="20% - Accent3 4 5 2 2 2 2" xfId="14049"/>
    <cellStyle name="20% - Accent3 4 5 2 2 2 3" xfId="14050"/>
    <cellStyle name="20% - Accent3 4 5 2 2 3" xfId="14051"/>
    <cellStyle name="20% - Accent3 4 5 2 2 3 2" xfId="14052"/>
    <cellStyle name="20% - Accent3 4 5 2 2 3 3" xfId="14053"/>
    <cellStyle name="20% - Accent3 4 5 2 2 4" xfId="14054"/>
    <cellStyle name="20% - Accent3 4 5 2 2 4 2" xfId="14055"/>
    <cellStyle name="20% - Accent3 4 5 2 2 5" xfId="14056"/>
    <cellStyle name="20% - Accent3 4 5 2 2 6" xfId="14057"/>
    <cellStyle name="20% - Accent3 4 5 2 3" xfId="14058"/>
    <cellStyle name="20% - Accent3 4 5 2 3 2" xfId="14059"/>
    <cellStyle name="20% - Accent3 4 5 2 3 2 2" xfId="14060"/>
    <cellStyle name="20% - Accent3 4 5 2 3 2 3" xfId="14061"/>
    <cellStyle name="20% - Accent3 4 5 2 3 3" xfId="14062"/>
    <cellStyle name="20% - Accent3 4 5 2 3 3 2" xfId="14063"/>
    <cellStyle name="20% - Accent3 4 5 2 3 3 3" xfId="14064"/>
    <cellStyle name="20% - Accent3 4 5 2 3 4" xfId="14065"/>
    <cellStyle name="20% - Accent3 4 5 2 3 4 2" xfId="14066"/>
    <cellStyle name="20% - Accent3 4 5 2 3 5" xfId="14067"/>
    <cellStyle name="20% - Accent3 4 5 2 3 6" xfId="14068"/>
    <cellStyle name="20% - Accent3 4 5 2 4" xfId="14069"/>
    <cellStyle name="20% - Accent3 4 5 2 4 2" xfId="14070"/>
    <cellStyle name="20% - Accent3 4 5 2 4 2 2" xfId="14071"/>
    <cellStyle name="20% - Accent3 4 5 2 4 2 3" xfId="14072"/>
    <cellStyle name="20% - Accent3 4 5 2 4 3" xfId="14073"/>
    <cellStyle name="20% - Accent3 4 5 2 4 3 2" xfId="14074"/>
    <cellStyle name="20% - Accent3 4 5 2 4 4" xfId="14075"/>
    <cellStyle name="20% - Accent3 4 5 2 4 5" xfId="14076"/>
    <cellStyle name="20% - Accent3 4 5 2 5" xfId="14077"/>
    <cellStyle name="20% - Accent3 4 5 2 5 2" xfId="14078"/>
    <cellStyle name="20% - Accent3 4 5 2 5 3" xfId="14079"/>
    <cellStyle name="20% - Accent3 4 5 2 6" xfId="14080"/>
    <cellStyle name="20% - Accent3 4 5 2 6 2" xfId="14081"/>
    <cellStyle name="20% - Accent3 4 5 2 6 3" xfId="14082"/>
    <cellStyle name="20% - Accent3 4 5 2 7" xfId="14083"/>
    <cellStyle name="20% - Accent3 4 5 2 7 2" xfId="14084"/>
    <cellStyle name="20% - Accent3 4 5 2 8" xfId="14085"/>
    <cellStyle name="20% - Accent3 4 5 2 9" xfId="14086"/>
    <cellStyle name="20% - Accent3 4 5 3" xfId="14087"/>
    <cellStyle name="20% - Accent3 4 5 3 2" xfId="14088"/>
    <cellStyle name="20% - Accent3 4 5 3 2 2" xfId="14089"/>
    <cellStyle name="20% - Accent3 4 5 3 2 3" xfId="14090"/>
    <cellStyle name="20% - Accent3 4 5 3 3" xfId="14091"/>
    <cellStyle name="20% - Accent3 4 5 3 3 2" xfId="14092"/>
    <cellStyle name="20% - Accent3 4 5 3 3 3" xfId="14093"/>
    <cellStyle name="20% - Accent3 4 5 3 4" xfId="14094"/>
    <cellStyle name="20% - Accent3 4 5 3 4 2" xfId="14095"/>
    <cellStyle name="20% - Accent3 4 5 3 5" xfId="14096"/>
    <cellStyle name="20% - Accent3 4 5 3 6" xfId="14097"/>
    <cellStyle name="20% - Accent3 4 5 4" xfId="14098"/>
    <cellStyle name="20% - Accent3 4 5 4 2" xfId="14099"/>
    <cellStyle name="20% - Accent3 4 5 4 2 2" xfId="14100"/>
    <cellStyle name="20% - Accent3 4 5 4 2 3" xfId="14101"/>
    <cellStyle name="20% - Accent3 4 5 4 3" xfId="14102"/>
    <cellStyle name="20% - Accent3 4 5 4 3 2" xfId="14103"/>
    <cellStyle name="20% - Accent3 4 5 4 3 3" xfId="14104"/>
    <cellStyle name="20% - Accent3 4 5 4 4" xfId="14105"/>
    <cellStyle name="20% - Accent3 4 5 4 4 2" xfId="14106"/>
    <cellStyle name="20% - Accent3 4 5 4 5" xfId="14107"/>
    <cellStyle name="20% - Accent3 4 5 4 6" xfId="14108"/>
    <cellStyle name="20% - Accent3 4 5 5" xfId="14109"/>
    <cellStyle name="20% - Accent3 4 5 5 2" xfId="14110"/>
    <cellStyle name="20% - Accent3 4 5 5 2 2" xfId="14111"/>
    <cellStyle name="20% - Accent3 4 5 5 2 3" xfId="14112"/>
    <cellStyle name="20% - Accent3 4 5 5 3" xfId="14113"/>
    <cellStyle name="20% - Accent3 4 5 5 3 2" xfId="14114"/>
    <cellStyle name="20% - Accent3 4 5 5 4" xfId="14115"/>
    <cellStyle name="20% - Accent3 4 5 5 5" xfId="14116"/>
    <cellStyle name="20% - Accent3 4 5 6" xfId="14117"/>
    <cellStyle name="20% - Accent3 4 5 6 2" xfId="14118"/>
    <cellStyle name="20% - Accent3 4 5 6 3" xfId="14119"/>
    <cellStyle name="20% - Accent3 4 5 7" xfId="14120"/>
    <cellStyle name="20% - Accent3 4 5 7 2" xfId="14121"/>
    <cellStyle name="20% - Accent3 4 5 7 3" xfId="14122"/>
    <cellStyle name="20% - Accent3 4 5 8" xfId="14123"/>
    <cellStyle name="20% - Accent3 4 5 8 2" xfId="14124"/>
    <cellStyle name="20% - Accent3 4 5 9" xfId="14125"/>
    <cellStyle name="20% - Accent3 4 6" xfId="614"/>
    <cellStyle name="20% - Accent3 4 6 2" xfId="14126"/>
    <cellStyle name="20% - Accent3 4 6 2 2" xfId="14127"/>
    <cellStyle name="20% - Accent3 4 6 2 2 2" xfId="14128"/>
    <cellStyle name="20% - Accent3 4 6 2 2 3" xfId="14129"/>
    <cellStyle name="20% - Accent3 4 6 2 3" xfId="14130"/>
    <cellStyle name="20% - Accent3 4 6 2 3 2" xfId="14131"/>
    <cellStyle name="20% - Accent3 4 6 2 3 3" xfId="14132"/>
    <cellStyle name="20% - Accent3 4 6 2 4" xfId="14133"/>
    <cellStyle name="20% - Accent3 4 6 2 4 2" xfId="14134"/>
    <cellStyle name="20% - Accent3 4 6 2 5" xfId="14135"/>
    <cellStyle name="20% - Accent3 4 6 2 6" xfId="14136"/>
    <cellStyle name="20% - Accent3 4 6 3" xfId="14137"/>
    <cellStyle name="20% - Accent3 4 6 3 2" xfId="14138"/>
    <cellStyle name="20% - Accent3 4 6 3 2 2" xfId="14139"/>
    <cellStyle name="20% - Accent3 4 6 3 2 3" xfId="14140"/>
    <cellStyle name="20% - Accent3 4 6 3 3" xfId="14141"/>
    <cellStyle name="20% - Accent3 4 6 3 3 2" xfId="14142"/>
    <cellStyle name="20% - Accent3 4 6 3 3 3" xfId="14143"/>
    <cellStyle name="20% - Accent3 4 6 3 4" xfId="14144"/>
    <cellStyle name="20% - Accent3 4 6 3 4 2" xfId="14145"/>
    <cellStyle name="20% - Accent3 4 6 3 5" xfId="14146"/>
    <cellStyle name="20% - Accent3 4 6 3 6" xfId="14147"/>
    <cellStyle name="20% - Accent3 4 6 4" xfId="14148"/>
    <cellStyle name="20% - Accent3 4 6 4 2" xfId="14149"/>
    <cellStyle name="20% - Accent3 4 6 4 2 2" xfId="14150"/>
    <cellStyle name="20% - Accent3 4 6 4 2 3" xfId="14151"/>
    <cellStyle name="20% - Accent3 4 6 4 3" xfId="14152"/>
    <cellStyle name="20% - Accent3 4 6 4 3 2" xfId="14153"/>
    <cellStyle name="20% - Accent3 4 6 4 4" xfId="14154"/>
    <cellStyle name="20% - Accent3 4 6 4 5" xfId="14155"/>
    <cellStyle name="20% - Accent3 4 6 5" xfId="14156"/>
    <cellStyle name="20% - Accent3 4 6 5 2" xfId="14157"/>
    <cellStyle name="20% - Accent3 4 6 5 3" xfId="14158"/>
    <cellStyle name="20% - Accent3 4 6 6" xfId="14159"/>
    <cellStyle name="20% - Accent3 4 6 6 2" xfId="14160"/>
    <cellStyle name="20% - Accent3 4 6 6 3" xfId="14161"/>
    <cellStyle name="20% - Accent3 4 6 7" xfId="14162"/>
    <cellStyle name="20% - Accent3 4 6 7 2" xfId="14163"/>
    <cellStyle name="20% - Accent3 4 6 8" xfId="14164"/>
    <cellStyle name="20% - Accent3 4 6 9" xfId="14165"/>
    <cellStyle name="20% - Accent3 4 7" xfId="8849"/>
    <cellStyle name="20% - Accent3 4 7 2" xfId="14166"/>
    <cellStyle name="20% - Accent3 4 7 2 2" xfId="14167"/>
    <cellStyle name="20% - Accent3 4 7 2 2 2" xfId="14168"/>
    <cellStyle name="20% - Accent3 4 7 2 2 3" xfId="14169"/>
    <cellStyle name="20% - Accent3 4 7 2 3" xfId="14170"/>
    <cellStyle name="20% - Accent3 4 7 2 3 2" xfId="14171"/>
    <cellStyle name="20% - Accent3 4 7 2 3 3" xfId="14172"/>
    <cellStyle name="20% - Accent3 4 7 2 4" xfId="14173"/>
    <cellStyle name="20% - Accent3 4 7 2 4 2" xfId="14174"/>
    <cellStyle name="20% - Accent3 4 7 2 5" xfId="14175"/>
    <cellStyle name="20% - Accent3 4 7 2 6" xfId="14176"/>
    <cellStyle name="20% - Accent3 4 7 3" xfId="14177"/>
    <cellStyle name="20% - Accent3 4 7 3 2" xfId="14178"/>
    <cellStyle name="20% - Accent3 4 7 3 2 2" xfId="14179"/>
    <cellStyle name="20% - Accent3 4 7 3 2 3" xfId="14180"/>
    <cellStyle name="20% - Accent3 4 7 3 3" xfId="14181"/>
    <cellStyle name="20% - Accent3 4 7 3 3 2" xfId="14182"/>
    <cellStyle name="20% - Accent3 4 7 3 3 3" xfId="14183"/>
    <cellStyle name="20% - Accent3 4 7 3 4" xfId="14184"/>
    <cellStyle name="20% - Accent3 4 7 3 4 2" xfId="14185"/>
    <cellStyle name="20% - Accent3 4 7 3 5" xfId="14186"/>
    <cellStyle name="20% - Accent3 4 7 3 6" xfId="14187"/>
    <cellStyle name="20% - Accent3 4 7 4" xfId="14188"/>
    <cellStyle name="20% - Accent3 4 7 4 2" xfId="14189"/>
    <cellStyle name="20% - Accent3 4 7 4 2 2" xfId="14190"/>
    <cellStyle name="20% - Accent3 4 7 4 2 3" xfId="14191"/>
    <cellStyle name="20% - Accent3 4 7 4 3" xfId="14192"/>
    <cellStyle name="20% - Accent3 4 7 4 3 2" xfId="14193"/>
    <cellStyle name="20% - Accent3 4 7 4 4" xfId="14194"/>
    <cellStyle name="20% - Accent3 4 7 4 5" xfId="14195"/>
    <cellStyle name="20% - Accent3 4 7 5" xfId="14196"/>
    <cellStyle name="20% - Accent3 4 7 5 2" xfId="14197"/>
    <cellStyle name="20% - Accent3 4 7 5 3" xfId="14198"/>
    <cellStyle name="20% - Accent3 4 7 6" xfId="14199"/>
    <cellStyle name="20% - Accent3 4 7 6 2" xfId="14200"/>
    <cellStyle name="20% - Accent3 4 7 6 3" xfId="14201"/>
    <cellStyle name="20% - Accent3 4 7 7" xfId="14202"/>
    <cellStyle name="20% - Accent3 4 7 7 2" xfId="14203"/>
    <cellStyle name="20% - Accent3 4 7 8" xfId="14204"/>
    <cellStyle name="20% - Accent3 4 7 9" xfId="14205"/>
    <cellStyle name="20% - Accent3 4 8" xfId="14206"/>
    <cellStyle name="20% - Accent3 4 8 2" xfId="14207"/>
    <cellStyle name="20% - Accent3 4 8 2 2" xfId="14208"/>
    <cellStyle name="20% - Accent3 4 8 2 3" xfId="14209"/>
    <cellStyle name="20% - Accent3 4 8 3" xfId="14210"/>
    <cellStyle name="20% - Accent3 4 8 3 2" xfId="14211"/>
    <cellStyle name="20% - Accent3 4 8 3 3" xfId="14212"/>
    <cellStyle name="20% - Accent3 4 8 4" xfId="14213"/>
    <cellStyle name="20% - Accent3 4 8 4 2" xfId="14214"/>
    <cellStyle name="20% - Accent3 4 8 5" xfId="14215"/>
    <cellStyle name="20% - Accent3 4 8 6" xfId="14216"/>
    <cellStyle name="20% - Accent3 4 9" xfId="14217"/>
    <cellStyle name="20% - Accent3 4 9 2" xfId="14218"/>
    <cellStyle name="20% - Accent3 4 9 2 2" xfId="14219"/>
    <cellStyle name="20% - Accent3 4 9 2 3" xfId="14220"/>
    <cellStyle name="20% - Accent3 4 9 3" xfId="14221"/>
    <cellStyle name="20% - Accent3 4 9 3 2" xfId="14222"/>
    <cellStyle name="20% - Accent3 4 9 3 3" xfId="14223"/>
    <cellStyle name="20% - Accent3 4 9 4" xfId="14224"/>
    <cellStyle name="20% - Accent3 4 9 4 2" xfId="14225"/>
    <cellStyle name="20% - Accent3 4 9 5" xfId="14226"/>
    <cellStyle name="20% - Accent3 4 9 6" xfId="14227"/>
    <cellStyle name="20% - Accent3 5" xfId="615"/>
    <cellStyle name="20% - Accent3 5 2" xfId="616"/>
    <cellStyle name="20% - Accent3 5 2 2" xfId="617"/>
    <cellStyle name="20% - Accent3 5 2 2 2" xfId="618"/>
    <cellStyle name="20% - Accent3 5 2 2 2 2" xfId="619"/>
    <cellStyle name="20% - Accent3 5 2 2 3" xfId="620"/>
    <cellStyle name="20% - Accent3 5 2 3" xfId="621"/>
    <cellStyle name="20% - Accent3 5 2 3 2" xfId="622"/>
    <cellStyle name="20% - Accent3 5 2 4" xfId="623"/>
    <cellStyle name="20% - Accent3 5 2 5" xfId="58063"/>
    <cellStyle name="20% - Accent3 5 3" xfId="624"/>
    <cellStyle name="20% - Accent3 5 3 2" xfId="625"/>
    <cellStyle name="20% - Accent3 5 3 2 2" xfId="626"/>
    <cellStyle name="20% - Accent3 5 3 3" xfId="627"/>
    <cellStyle name="20% - Accent3 5 4" xfId="628"/>
    <cellStyle name="20% - Accent3 5 4 2" xfId="629"/>
    <cellStyle name="20% - Accent3 5 5" xfId="630"/>
    <cellStyle name="20% - Accent3 5 6" xfId="8850"/>
    <cellStyle name="20% - Accent3 6" xfId="631"/>
    <cellStyle name="20% - Accent3 6 2" xfId="632"/>
    <cellStyle name="20% - Accent3 6 2 2" xfId="633"/>
    <cellStyle name="20% - Accent3 6 2 2 2" xfId="634"/>
    <cellStyle name="20% - Accent3 6 2 3" xfId="635"/>
    <cellStyle name="20% - Accent3 6 2 4" xfId="58064"/>
    <cellStyle name="20% - Accent3 6 2 5" xfId="58065"/>
    <cellStyle name="20% - Accent3 6 3" xfId="636"/>
    <cellStyle name="20% - Accent3 6 3 2" xfId="637"/>
    <cellStyle name="20% - Accent3 6 4" xfId="638"/>
    <cellStyle name="20% - Accent3 6 5" xfId="58066"/>
    <cellStyle name="20% - Accent3 7" xfId="639"/>
    <cellStyle name="20% - Accent3 7 2" xfId="640"/>
    <cellStyle name="20% - Accent3 7 2 2" xfId="641"/>
    <cellStyle name="20% - Accent3 7 2 2 2" xfId="642"/>
    <cellStyle name="20% - Accent3 7 2 3" xfId="643"/>
    <cellStyle name="20% - Accent3 7 3" xfId="644"/>
    <cellStyle name="20% - Accent3 7 3 2" xfId="645"/>
    <cellStyle name="20% - Accent3 7 4" xfId="646"/>
    <cellStyle name="20% - Accent3 7 5" xfId="58067"/>
    <cellStyle name="20% - Accent3 8" xfId="647"/>
    <cellStyle name="20% - Accent3 8 2" xfId="648"/>
    <cellStyle name="20% - Accent3 8 2 2" xfId="649"/>
    <cellStyle name="20% - Accent3 8 2 2 2" xfId="650"/>
    <cellStyle name="20% - Accent3 8 2 3" xfId="651"/>
    <cellStyle name="20% - Accent3 8 3" xfId="652"/>
    <cellStyle name="20% - Accent3 8 3 2" xfId="653"/>
    <cellStyle name="20% - Accent3 8 4" xfId="654"/>
    <cellStyle name="20% - Accent3 8 5" xfId="58068"/>
    <cellStyle name="20% - Accent3 9" xfId="655"/>
    <cellStyle name="20% - Accent3 9 2" xfId="656"/>
    <cellStyle name="20% - Accent3 9 2 2" xfId="657"/>
    <cellStyle name="20% - Accent3 9 3" xfId="658"/>
    <cellStyle name="20% - Accent3 9 4" xfId="58069"/>
    <cellStyle name="20% - Accent4 10" xfId="659"/>
    <cellStyle name="20% - Accent4 10 2" xfId="660"/>
    <cellStyle name="20% - Accent4 10 2 2" xfId="661"/>
    <cellStyle name="20% - Accent4 10 3" xfId="662"/>
    <cellStyle name="20% - Accent4 10 4" xfId="58070"/>
    <cellStyle name="20% - Accent4 11" xfId="663"/>
    <cellStyle name="20% - Accent4 11 2" xfId="664"/>
    <cellStyle name="20% - Accent4 11 2 2" xfId="665"/>
    <cellStyle name="20% - Accent4 11 3" xfId="666"/>
    <cellStyle name="20% - Accent4 11 4" xfId="58071"/>
    <cellStyle name="20% - Accent4 12" xfId="667"/>
    <cellStyle name="20% - Accent4 12 2" xfId="668"/>
    <cellStyle name="20% - Accent4 12 2 2" xfId="669"/>
    <cellStyle name="20% - Accent4 12 3" xfId="670"/>
    <cellStyle name="20% - Accent4 12 4" xfId="58072"/>
    <cellStyle name="20% - Accent4 13" xfId="671"/>
    <cellStyle name="20% - Accent4 13 2" xfId="672"/>
    <cellStyle name="20% - Accent4 13 3" xfId="58073"/>
    <cellStyle name="20% - Accent4 14" xfId="673"/>
    <cellStyle name="20% - Accent4 14 2" xfId="58074"/>
    <cellStyle name="20% - Accent4 15" xfId="8851"/>
    <cellStyle name="20% - Accent4 16" xfId="14228"/>
    <cellStyle name="20% - Accent4 17" xfId="14229"/>
    <cellStyle name="20% - Accent4 17 2" xfId="58075"/>
    <cellStyle name="20% - Accent4 18" xfId="58076"/>
    <cellStyle name="20% - Accent4 19" xfId="58077"/>
    <cellStyle name="20% - Accent4 2" xfId="674"/>
    <cellStyle name="20% - Accent4 2 10" xfId="58078"/>
    <cellStyle name="20% - Accent4 2 11" xfId="58079"/>
    <cellStyle name="20% - Accent4 2 12" xfId="58080"/>
    <cellStyle name="20% - Accent4 2 13" xfId="58081"/>
    <cellStyle name="20% - Accent4 2 2" xfId="675"/>
    <cellStyle name="20% - Accent4 2 2 10" xfId="58082"/>
    <cellStyle name="20% - Accent4 2 2 2" xfId="676"/>
    <cellStyle name="20% - Accent4 2 2 2 2" xfId="677"/>
    <cellStyle name="20% - Accent4 2 2 2 2 2" xfId="678"/>
    <cellStyle name="20% - Accent4 2 2 2 2 2 2" xfId="679"/>
    <cellStyle name="20% - Accent4 2 2 2 2 2 2 2" xfId="680"/>
    <cellStyle name="20% - Accent4 2 2 2 2 2 3" xfId="681"/>
    <cellStyle name="20% - Accent4 2 2 2 2 2 4" xfId="8852"/>
    <cellStyle name="20% - Accent4 2 2 2 2 3" xfId="682"/>
    <cellStyle name="20% - Accent4 2 2 2 2 3 2" xfId="683"/>
    <cellStyle name="20% - Accent4 2 2 2 2 4" xfId="684"/>
    <cellStyle name="20% - Accent4 2 2 2 2 5" xfId="685"/>
    <cellStyle name="20% - Accent4 2 2 2 2 6" xfId="8853"/>
    <cellStyle name="20% - Accent4 2 2 2 3" xfId="686"/>
    <cellStyle name="20% - Accent4 2 2 2 3 2" xfId="687"/>
    <cellStyle name="20% - Accent4 2 2 2 3 2 2" xfId="688"/>
    <cellStyle name="20% - Accent4 2 2 2 3 3" xfId="689"/>
    <cellStyle name="20% - Accent4 2 2 2 3 4" xfId="8854"/>
    <cellStyle name="20% - Accent4 2 2 2 4" xfId="690"/>
    <cellStyle name="20% - Accent4 2 2 2 4 2" xfId="691"/>
    <cellStyle name="20% - Accent4 2 2 2 5" xfId="692"/>
    <cellStyle name="20% - Accent4 2 2 2 6" xfId="693"/>
    <cellStyle name="20% - Accent4 2 2 2 7" xfId="8855"/>
    <cellStyle name="20% - Accent4 2 2 3" xfId="694"/>
    <cellStyle name="20% - Accent4 2 2 3 2" xfId="695"/>
    <cellStyle name="20% - Accent4 2 2 3 2 2" xfId="696"/>
    <cellStyle name="20% - Accent4 2 2 3 2 2 2" xfId="697"/>
    <cellStyle name="20% - Accent4 2 2 3 2 3" xfId="698"/>
    <cellStyle name="20% - Accent4 2 2 3 2 4" xfId="8856"/>
    <cellStyle name="20% - Accent4 2 2 3 3" xfId="699"/>
    <cellStyle name="20% - Accent4 2 2 3 3 2" xfId="700"/>
    <cellStyle name="20% - Accent4 2 2 3 4" xfId="701"/>
    <cellStyle name="20% - Accent4 2 2 3 5" xfId="702"/>
    <cellStyle name="20% - Accent4 2 2 3 6" xfId="8857"/>
    <cellStyle name="20% - Accent4 2 2 4" xfId="703"/>
    <cellStyle name="20% - Accent4 2 2 4 2" xfId="704"/>
    <cellStyle name="20% - Accent4 2 2 4 2 2" xfId="705"/>
    <cellStyle name="20% - Accent4 2 2 4 3" xfId="706"/>
    <cellStyle name="20% - Accent4 2 2 4 4" xfId="8858"/>
    <cellStyle name="20% - Accent4 2 2 5" xfId="707"/>
    <cellStyle name="20% - Accent4 2 2 5 2" xfId="708"/>
    <cellStyle name="20% - Accent4 2 2 5 3" xfId="58083"/>
    <cellStyle name="20% - Accent4 2 2 6" xfId="709"/>
    <cellStyle name="20% - Accent4 2 2 6 2" xfId="58084"/>
    <cellStyle name="20% - Accent4 2 2 7" xfId="710"/>
    <cellStyle name="20% - Accent4 2 2 8" xfId="8859"/>
    <cellStyle name="20% - Accent4 2 2 9" xfId="58085"/>
    <cellStyle name="20% - Accent4 2 3" xfId="711"/>
    <cellStyle name="20% - Accent4 2 3 2" xfId="712"/>
    <cellStyle name="20% - Accent4 2 3 2 2" xfId="713"/>
    <cellStyle name="20% - Accent4 2 3 2 2 2" xfId="714"/>
    <cellStyle name="20% - Accent4 2 3 2 2 2 2" xfId="715"/>
    <cellStyle name="20% - Accent4 2 3 2 2 2 3" xfId="8860"/>
    <cellStyle name="20% - Accent4 2 3 2 2 3" xfId="716"/>
    <cellStyle name="20% - Accent4 2 3 2 2 4" xfId="717"/>
    <cellStyle name="20% - Accent4 2 3 2 2 5" xfId="8861"/>
    <cellStyle name="20% - Accent4 2 3 2 3" xfId="718"/>
    <cellStyle name="20% - Accent4 2 3 2 3 2" xfId="719"/>
    <cellStyle name="20% - Accent4 2 3 2 3 3" xfId="8862"/>
    <cellStyle name="20% - Accent4 2 3 2 4" xfId="720"/>
    <cellStyle name="20% - Accent4 2 3 2 5" xfId="721"/>
    <cellStyle name="20% - Accent4 2 3 2 6" xfId="8863"/>
    <cellStyle name="20% - Accent4 2 3 3" xfId="722"/>
    <cellStyle name="20% - Accent4 2 3 3 2" xfId="723"/>
    <cellStyle name="20% - Accent4 2 3 3 2 2" xfId="724"/>
    <cellStyle name="20% - Accent4 2 3 3 2 3" xfId="8864"/>
    <cellStyle name="20% - Accent4 2 3 3 3" xfId="725"/>
    <cellStyle name="20% - Accent4 2 3 3 4" xfId="726"/>
    <cellStyle name="20% - Accent4 2 3 3 5" xfId="8865"/>
    <cellStyle name="20% - Accent4 2 3 4" xfId="727"/>
    <cellStyle name="20% - Accent4 2 3 4 2" xfId="728"/>
    <cellStyle name="20% - Accent4 2 3 4 3" xfId="8866"/>
    <cellStyle name="20% - Accent4 2 3 5" xfId="729"/>
    <cellStyle name="20% - Accent4 2 3 6" xfId="730"/>
    <cellStyle name="20% - Accent4 2 3 7" xfId="8867"/>
    <cellStyle name="20% - Accent4 2 4" xfId="731"/>
    <cellStyle name="20% - Accent4 2 4 2" xfId="732"/>
    <cellStyle name="20% - Accent4 2 4 2 2" xfId="733"/>
    <cellStyle name="20% - Accent4 2 4 2 2 2" xfId="734"/>
    <cellStyle name="20% - Accent4 2 4 2 2 2 2" xfId="8868"/>
    <cellStyle name="20% - Accent4 2 4 2 2 3" xfId="735"/>
    <cellStyle name="20% - Accent4 2 4 2 2 4" xfId="8869"/>
    <cellStyle name="20% - Accent4 2 4 2 3" xfId="736"/>
    <cellStyle name="20% - Accent4 2 4 2 3 2" xfId="8870"/>
    <cellStyle name="20% - Accent4 2 4 2 4" xfId="737"/>
    <cellStyle name="20% - Accent4 2 4 2 5" xfId="8871"/>
    <cellStyle name="20% - Accent4 2 4 3" xfId="738"/>
    <cellStyle name="20% - Accent4 2 4 3 2" xfId="739"/>
    <cellStyle name="20% - Accent4 2 4 3 2 2" xfId="8872"/>
    <cellStyle name="20% - Accent4 2 4 3 3" xfId="740"/>
    <cellStyle name="20% - Accent4 2 4 3 4" xfId="8873"/>
    <cellStyle name="20% - Accent4 2 4 4" xfId="741"/>
    <cellStyle name="20% - Accent4 2 4 4 2" xfId="8874"/>
    <cellStyle name="20% - Accent4 2 4 5" xfId="742"/>
    <cellStyle name="20% - Accent4 2 4 6" xfId="8875"/>
    <cellStyle name="20% - Accent4 2 4 7" xfId="58086"/>
    <cellStyle name="20% - Accent4 2 5" xfId="743"/>
    <cellStyle name="20% - Accent4 2 5 2" xfId="744"/>
    <cellStyle name="20% - Accent4 2 5 2 2" xfId="745"/>
    <cellStyle name="20% - Accent4 2 5 2 2 2" xfId="8876"/>
    <cellStyle name="20% - Accent4 2 5 2 3" xfId="746"/>
    <cellStyle name="20% - Accent4 2 5 2 4" xfId="8877"/>
    <cellStyle name="20% - Accent4 2 5 3" xfId="747"/>
    <cellStyle name="20% - Accent4 2 5 3 2" xfId="8878"/>
    <cellStyle name="20% - Accent4 2 5 4" xfId="748"/>
    <cellStyle name="20% - Accent4 2 5 5" xfId="8879"/>
    <cellStyle name="20% - Accent4 2 5 6" xfId="58087"/>
    <cellStyle name="20% - Accent4 2 6" xfId="749"/>
    <cellStyle name="20% - Accent4 2 6 2" xfId="750"/>
    <cellStyle name="20% - Accent4 2 6 2 2" xfId="8880"/>
    <cellStyle name="20% - Accent4 2 6 3" xfId="751"/>
    <cellStyle name="20% - Accent4 2 6 4" xfId="8881"/>
    <cellStyle name="20% - Accent4 2 6 5" xfId="58088"/>
    <cellStyle name="20% - Accent4 2 7" xfId="752"/>
    <cellStyle name="20% - Accent4 2 7 2" xfId="8882"/>
    <cellStyle name="20% - Accent4 2 7 3" xfId="58089"/>
    <cellStyle name="20% - Accent4 2 7 4" xfId="58090"/>
    <cellStyle name="20% - Accent4 2 8" xfId="753"/>
    <cellStyle name="20% - Accent4 2 8 2" xfId="58091"/>
    <cellStyle name="20% - Accent4 2 8 3" xfId="58092"/>
    <cellStyle name="20% - Accent4 2 9" xfId="8883"/>
    <cellStyle name="20% - Accent4 2 9 2" xfId="58093"/>
    <cellStyle name="20% - Accent4 20" xfId="58094"/>
    <cellStyle name="20% - Accent4 21" xfId="58095"/>
    <cellStyle name="20% - Accent4 3" xfId="754"/>
    <cellStyle name="20% - Accent4 3 2" xfId="755"/>
    <cellStyle name="20% - Accent4 3 2 2" xfId="756"/>
    <cellStyle name="20% - Accent4 3 2 2 2" xfId="757"/>
    <cellStyle name="20% - Accent4 3 2 2 2 2" xfId="758"/>
    <cellStyle name="20% - Accent4 3 2 2 2 2 2" xfId="759"/>
    <cellStyle name="20% - Accent4 3 2 2 2 2 2 2" xfId="760"/>
    <cellStyle name="20% - Accent4 3 2 2 2 2 3" xfId="761"/>
    <cellStyle name="20% - Accent4 3 2 2 2 2 4" xfId="8884"/>
    <cellStyle name="20% - Accent4 3 2 2 2 3" xfId="762"/>
    <cellStyle name="20% - Accent4 3 2 2 2 3 2" xfId="763"/>
    <cellStyle name="20% - Accent4 3 2 2 2 4" xfId="764"/>
    <cellStyle name="20% - Accent4 3 2 2 2 5" xfId="765"/>
    <cellStyle name="20% - Accent4 3 2 2 2 6" xfId="8885"/>
    <cellStyle name="20% - Accent4 3 2 2 3" xfId="766"/>
    <cellStyle name="20% - Accent4 3 2 2 3 2" xfId="767"/>
    <cellStyle name="20% - Accent4 3 2 2 3 2 2" xfId="768"/>
    <cellStyle name="20% - Accent4 3 2 2 3 3" xfId="769"/>
    <cellStyle name="20% - Accent4 3 2 2 3 4" xfId="8886"/>
    <cellStyle name="20% - Accent4 3 2 2 4" xfId="770"/>
    <cellStyle name="20% - Accent4 3 2 2 4 2" xfId="771"/>
    <cellStyle name="20% - Accent4 3 2 2 5" xfId="772"/>
    <cellStyle name="20% - Accent4 3 2 2 6" xfId="773"/>
    <cellStyle name="20% - Accent4 3 2 2 7" xfId="8887"/>
    <cellStyle name="20% - Accent4 3 2 3" xfId="774"/>
    <cellStyle name="20% - Accent4 3 2 3 2" xfId="775"/>
    <cellStyle name="20% - Accent4 3 2 3 2 2" xfId="776"/>
    <cellStyle name="20% - Accent4 3 2 3 2 2 2" xfId="777"/>
    <cellStyle name="20% - Accent4 3 2 3 2 3" xfId="778"/>
    <cellStyle name="20% - Accent4 3 2 3 2 4" xfId="8888"/>
    <cellStyle name="20% - Accent4 3 2 3 3" xfId="779"/>
    <cellStyle name="20% - Accent4 3 2 3 3 2" xfId="780"/>
    <cellStyle name="20% - Accent4 3 2 3 4" xfId="781"/>
    <cellStyle name="20% - Accent4 3 2 3 5" xfId="782"/>
    <cellStyle name="20% - Accent4 3 2 3 6" xfId="8889"/>
    <cellStyle name="20% - Accent4 3 2 4" xfId="783"/>
    <cellStyle name="20% - Accent4 3 2 4 2" xfId="784"/>
    <cellStyle name="20% - Accent4 3 2 4 2 2" xfId="785"/>
    <cellStyle name="20% - Accent4 3 2 4 3" xfId="786"/>
    <cellStyle name="20% - Accent4 3 2 4 4" xfId="8890"/>
    <cellStyle name="20% - Accent4 3 2 5" xfId="787"/>
    <cellStyle name="20% - Accent4 3 2 5 2" xfId="788"/>
    <cellStyle name="20% - Accent4 3 2 6" xfId="789"/>
    <cellStyle name="20% - Accent4 3 2 7" xfId="790"/>
    <cellStyle name="20% - Accent4 3 2 8" xfId="8891"/>
    <cellStyle name="20% - Accent4 3 2 9" xfId="58096"/>
    <cellStyle name="20% - Accent4 3 3" xfId="791"/>
    <cellStyle name="20% - Accent4 3 3 2" xfId="792"/>
    <cellStyle name="20% - Accent4 3 3 2 2" xfId="793"/>
    <cellStyle name="20% - Accent4 3 3 2 2 2" xfId="794"/>
    <cellStyle name="20% - Accent4 3 3 2 2 2 2" xfId="795"/>
    <cellStyle name="20% - Accent4 3 3 2 2 2 3" xfId="8892"/>
    <cellStyle name="20% - Accent4 3 3 2 2 3" xfId="796"/>
    <cellStyle name="20% - Accent4 3 3 2 2 4" xfId="797"/>
    <cellStyle name="20% - Accent4 3 3 2 2 5" xfId="8893"/>
    <cellStyle name="20% - Accent4 3 3 2 3" xfId="798"/>
    <cellStyle name="20% - Accent4 3 3 2 3 2" xfId="799"/>
    <cellStyle name="20% - Accent4 3 3 2 3 3" xfId="8894"/>
    <cellStyle name="20% - Accent4 3 3 2 4" xfId="800"/>
    <cellStyle name="20% - Accent4 3 3 2 5" xfId="801"/>
    <cellStyle name="20% - Accent4 3 3 2 6" xfId="8895"/>
    <cellStyle name="20% - Accent4 3 3 3" xfId="802"/>
    <cellStyle name="20% - Accent4 3 3 3 2" xfId="803"/>
    <cellStyle name="20% - Accent4 3 3 3 2 2" xfId="804"/>
    <cellStyle name="20% - Accent4 3 3 3 2 3" xfId="8896"/>
    <cellStyle name="20% - Accent4 3 3 3 3" xfId="805"/>
    <cellStyle name="20% - Accent4 3 3 3 4" xfId="806"/>
    <cellStyle name="20% - Accent4 3 3 3 5" xfId="8897"/>
    <cellStyle name="20% - Accent4 3 3 4" xfId="807"/>
    <cellStyle name="20% - Accent4 3 3 4 2" xfId="808"/>
    <cellStyle name="20% - Accent4 3 3 4 3" xfId="8898"/>
    <cellStyle name="20% - Accent4 3 3 4 4" xfId="58097"/>
    <cellStyle name="20% - Accent4 3 3 5" xfId="809"/>
    <cellStyle name="20% - Accent4 3 3 5 2" xfId="58098"/>
    <cellStyle name="20% - Accent4 3 3 6" xfId="810"/>
    <cellStyle name="20% - Accent4 3 3 7" xfId="8899"/>
    <cellStyle name="20% - Accent4 3 3 8" xfId="58099"/>
    <cellStyle name="20% - Accent4 3 3 9" xfId="58100"/>
    <cellStyle name="20% - Accent4 3 4" xfId="811"/>
    <cellStyle name="20% - Accent4 3 4 2" xfId="812"/>
    <cellStyle name="20% - Accent4 3 4 2 2" xfId="813"/>
    <cellStyle name="20% - Accent4 3 4 2 2 2" xfId="814"/>
    <cellStyle name="20% - Accent4 3 4 2 2 2 2" xfId="8900"/>
    <cellStyle name="20% - Accent4 3 4 2 2 3" xfId="815"/>
    <cellStyle name="20% - Accent4 3 4 2 2 4" xfId="8901"/>
    <cellStyle name="20% - Accent4 3 4 2 3" xfId="816"/>
    <cellStyle name="20% - Accent4 3 4 2 3 2" xfId="8902"/>
    <cellStyle name="20% - Accent4 3 4 2 4" xfId="817"/>
    <cellStyle name="20% - Accent4 3 4 2 5" xfId="8903"/>
    <cellStyle name="20% - Accent4 3 4 3" xfId="818"/>
    <cellStyle name="20% - Accent4 3 4 3 2" xfId="819"/>
    <cellStyle name="20% - Accent4 3 4 3 2 2" xfId="8904"/>
    <cellStyle name="20% - Accent4 3 4 3 3" xfId="820"/>
    <cellStyle name="20% - Accent4 3 4 3 4" xfId="8905"/>
    <cellStyle name="20% - Accent4 3 4 4" xfId="821"/>
    <cellStyle name="20% - Accent4 3 4 4 2" xfId="8906"/>
    <cellStyle name="20% - Accent4 3 4 4 3" xfId="58101"/>
    <cellStyle name="20% - Accent4 3 4 4 4" xfId="58102"/>
    <cellStyle name="20% - Accent4 3 4 5" xfId="822"/>
    <cellStyle name="20% - Accent4 3 4 5 2" xfId="58103"/>
    <cellStyle name="20% - Accent4 3 4 6" xfId="8907"/>
    <cellStyle name="20% - Accent4 3 4 7" xfId="58104"/>
    <cellStyle name="20% - Accent4 3 4 8" xfId="58105"/>
    <cellStyle name="20% - Accent4 3 4 9" xfId="58106"/>
    <cellStyle name="20% - Accent4 3 5" xfId="823"/>
    <cellStyle name="20% - Accent4 3 5 2" xfId="824"/>
    <cellStyle name="20% - Accent4 3 5 2 2" xfId="825"/>
    <cellStyle name="20% - Accent4 3 5 2 2 2" xfId="8908"/>
    <cellStyle name="20% - Accent4 3 5 2 3" xfId="826"/>
    <cellStyle name="20% - Accent4 3 5 2 4" xfId="8909"/>
    <cellStyle name="20% - Accent4 3 5 3" xfId="827"/>
    <cellStyle name="20% - Accent4 3 5 3 2" xfId="8910"/>
    <cellStyle name="20% - Accent4 3 5 4" xfId="828"/>
    <cellStyle name="20% - Accent4 3 5 5" xfId="8911"/>
    <cellStyle name="20% - Accent4 3 6" xfId="829"/>
    <cellStyle name="20% - Accent4 3 6 2" xfId="830"/>
    <cellStyle name="20% - Accent4 3 6 2 2" xfId="8912"/>
    <cellStyle name="20% - Accent4 3 6 3" xfId="831"/>
    <cellStyle name="20% - Accent4 3 6 4" xfId="8913"/>
    <cellStyle name="20% - Accent4 3 7" xfId="832"/>
    <cellStyle name="20% - Accent4 3 7 2" xfId="8914"/>
    <cellStyle name="20% - Accent4 3 7 3" xfId="58107"/>
    <cellStyle name="20% - Accent4 3 7 4" xfId="58108"/>
    <cellStyle name="20% - Accent4 3 8" xfId="833"/>
    <cellStyle name="20% - Accent4 3 9" xfId="8915"/>
    <cellStyle name="20% - Accent4 4" xfId="834"/>
    <cellStyle name="20% - Accent4 4 10" xfId="14230"/>
    <cellStyle name="20% - Accent4 4 10 2" xfId="14231"/>
    <cellStyle name="20% - Accent4 4 10 2 2" xfId="14232"/>
    <cellStyle name="20% - Accent4 4 10 2 3" xfId="14233"/>
    <cellStyle name="20% - Accent4 4 10 3" xfId="14234"/>
    <cellStyle name="20% - Accent4 4 10 3 2" xfId="14235"/>
    <cellStyle name="20% - Accent4 4 10 4" xfId="14236"/>
    <cellStyle name="20% - Accent4 4 10 5" xfId="14237"/>
    <cellStyle name="20% - Accent4 4 11" xfId="14238"/>
    <cellStyle name="20% - Accent4 4 11 2" xfId="14239"/>
    <cellStyle name="20% - Accent4 4 11 3" xfId="14240"/>
    <cellStyle name="20% - Accent4 4 12" xfId="14241"/>
    <cellStyle name="20% - Accent4 4 12 2" xfId="14242"/>
    <cellStyle name="20% - Accent4 4 12 3" xfId="14243"/>
    <cellStyle name="20% - Accent4 4 13" xfId="14244"/>
    <cellStyle name="20% - Accent4 4 13 2" xfId="14245"/>
    <cellStyle name="20% - Accent4 4 14" xfId="14246"/>
    <cellStyle name="20% - Accent4 4 15" xfId="14247"/>
    <cellStyle name="20% - Accent4 4 16" xfId="14248"/>
    <cellStyle name="20% - Accent4 4 2" xfId="835"/>
    <cellStyle name="20% - Accent4 4 2 10" xfId="14249"/>
    <cellStyle name="20% - Accent4 4 2 10 2" xfId="14250"/>
    <cellStyle name="20% - Accent4 4 2 10 3" xfId="14251"/>
    <cellStyle name="20% - Accent4 4 2 11" xfId="14252"/>
    <cellStyle name="20% - Accent4 4 2 11 2" xfId="14253"/>
    <cellStyle name="20% - Accent4 4 2 11 3" xfId="14254"/>
    <cellStyle name="20% - Accent4 4 2 12" xfId="14255"/>
    <cellStyle name="20% - Accent4 4 2 12 2" xfId="14256"/>
    <cellStyle name="20% - Accent4 4 2 13" xfId="14257"/>
    <cellStyle name="20% - Accent4 4 2 14" xfId="14258"/>
    <cellStyle name="20% - Accent4 4 2 15" xfId="14259"/>
    <cellStyle name="20% - Accent4 4 2 2" xfId="836"/>
    <cellStyle name="20% - Accent4 4 2 2 10" xfId="14260"/>
    <cellStyle name="20% - Accent4 4 2 2 10 2" xfId="14261"/>
    <cellStyle name="20% - Accent4 4 2 2 10 3" xfId="14262"/>
    <cellStyle name="20% - Accent4 4 2 2 11" xfId="14263"/>
    <cellStyle name="20% - Accent4 4 2 2 11 2" xfId="14264"/>
    <cellStyle name="20% - Accent4 4 2 2 12" xfId="14265"/>
    <cellStyle name="20% - Accent4 4 2 2 13" xfId="14266"/>
    <cellStyle name="20% - Accent4 4 2 2 2" xfId="837"/>
    <cellStyle name="20% - Accent4 4 2 2 2 10" xfId="14267"/>
    <cellStyle name="20% - Accent4 4 2 2 2 10 2" xfId="14268"/>
    <cellStyle name="20% - Accent4 4 2 2 2 11" xfId="14269"/>
    <cellStyle name="20% - Accent4 4 2 2 2 12" xfId="14270"/>
    <cellStyle name="20% - Accent4 4 2 2 2 2" xfId="838"/>
    <cellStyle name="20% - Accent4 4 2 2 2 2 10" xfId="14271"/>
    <cellStyle name="20% - Accent4 4 2 2 2 2 2" xfId="839"/>
    <cellStyle name="20% - Accent4 4 2 2 2 2 2 2" xfId="840"/>
    <cellStyle name="20% - Accent4 4 2 2 2 2 2 2 2" xfId="14272"/>
    <cellStyle name="20% - Accent4 4 2 2 2 2 2 2 2 2" xfId="14273"/>
    <cellStyle name="20% - Accent4 4 2 2 2 2 2 2 2 3" xfId="14274"/>
    <cellStyle name="20% - Accent4 4 2 2 2 2 2 2 3" xfId="14275"/>
    <cellStyle name="20% - Accent4 4 2 2 2 2 2 2 3 2" xfId="14276"/>
    <cellStyle name="20% - Accent4 4 2 2 2 2 2 2 3 3" xfId="14277"/>
    <cellStyle name="20% - Accent4 4 2 2 2 2 2 2 4" xfId="14278"/>
    <cellStyle name="20% - Accent4 4 2 2 2 2 2 2 4 2" xfId="14279"/>
    <cellStyle name="20% - Accent4 4 2 2 2 2 2 2 5" xfId="14280"/>
    <cellStyle name="20% - Accent4 4 2 2 2 2 2 2 6" xfId="14281"/>
    <cellStyle name="20% - Accent4 4 2 2 2 2 2 3" xfId="14282"/>
    <cellStyle name="20% - Accent4 4 2 2 2 2 2 3 2" xfId="14283"/>
    <cellStyle name="20% - Accent4 4 2 2 2 2 2 3 2 2" xfId="14284"/>
    <cellStyle name="20% - Accent4 4 2 2 2 2 2 3 2 3" xfId="14285"/>
    <cellStyle name="20% - Accent4 4 2 2 2 2 2 3 3" xfId="14286"/>
    <cellStyle name="20% - Accent4 4 2 2 2 2 2 3 3 2" xfId="14287"/>
    <cellStyle name="20% - Accent4 4 2 2 2 2 2 3 3 3" xfId="14288"/>
    <cellStyle name="20% - Accent4 4 2 2 2 2 2 3 4" xfId="14289"/>
    <cellStyle name="20% - Accent4 4 2 2 2 2 2 3 4 2" xfId="14290"/>
    <cellStyle name="20% - Accent4 4 2 2 2 2 2 3 5" xfId="14291"/>
    <cellStyle name="20% - Accent4 4 2 2 2 2 2 3 6" xfId="14292"/>
    <cellStyle name="20% - Accent4 4 2 2 2 2 2 4" xfId="14293"/>
    <cellStyle name="20% - Accent4 4 2 2 2 2 2 4 2" xfId="14294"/>
    <cellStyle name="20% - Accent4 4 2 2 2 2 2 4 2 2" xfId="14295"/>
    <cellStyle name="20% - Accent4 4 2 2 2 2 2 4 2 3" xfId="14296"/>
    <cellStyle name="20% - Accent4 4 2 2 2 2 2 4 3" xfId="14297"/>
    <cellStyle name="20% - Accent4 4 2 2 2 2 2 4 3 2" xfId="14298"/>
    <cellStyle name="20% - Accent4 4 2 2 2 2 2 4 4" xfId="14299"/>
    <cellStyle name="20% - Accent4 4 2 2 2 2 2 4 5" xfId="14300"/>
    <cellStyle name="20% - Accent4 4 2 2 2 2 2 5" xfId="14301"/>
    <cellStyle name="20% - Accent4 4 2 2 2 2 2 5 2" xfId="14302"/>
    <cellStyle name="20% - Accent4 4 2 2 2 2 2 5 3" xfId="14303"/>
    <cellStyle name="20% - Accent4 4 2 2 2 2 2 6" xfId="14304"/>
    <cellStyle name="20% - Accent4 4 2 2 2 2 2 6 2" xfId="14305"/>
    <cellStyle name="20% - Accent4 4 2 2 2 2 2 6 3" xfId="14306"/>
    <cellStyle name="20% - Accent4 4 2 2 2 2 2 7" xfId="14307"/>
    <cellStyle name="20% - Accent4 4 2 2 2 2 2 7 2" xfId="14308"/>
    <cellStyle name="20% - Accent4 4 2 2 2 2 2 8" xfId="14309"/>
    <cellStyle name="20% - Accent4 4 2 2 2 2 2 9" xfId="14310"/>
    <cellStyle name="20% - Accent4 4 2 2 2 2 3" xfId="841"/>
    <cellStyle name="20% - Accent4 4 2 2 2 2 3 2" xfId="14311"/>
    <cellStyle name="20% - Accent4 4 2 2 2 2 3 2 2" xfId="14312"/>
    <cellStyle name="20% - Accent4 4 2 2 2 2 3 2 3" xfId="14313"/>
    <cellStyle name="20% - Accent4 4 2 2 2 2 3 3" xfId="14314"/>
    <cellStyle name="20% - Accent4 4 2 2 2 2 3 3 2" xfId="14315"/>
    <cellStyle name="20% - Accent4 4 2 2 2 2 3 3 3" xfId="14316"/>
    <cellStyle name="20% - Accent4 4 2 2 2 2 3 4" xfId="14317"/>
    <cellStyle name="20% - Accent4 4 2 2 2 2 3 4 2" xfId="14318"/>
    <cellStyle name="20% - Accent4 4 2 2 2 2 3 5" xfId="14319"/>
    <cellStyle name="20% - Accent4 4 2 2 2 2 3 6" xfId="14320"/>
    <cellStyle name="20% - Accent4 4 2 2 2 2 4" xfId="8916"/>
    <cellStyle name="20% - Accent4 4 2 2 2 2 4 2" xfId="14321"/>
    <cellStyle name="20% - Accent4 4 2 2 2 2 4 2 2" xfId="14322"/>
    <cellStyle name="20% - Accent4 4 2 2 2 2 4 2 3" xfId="14323"/>
    <cellStyle name="20% - Accent4 4 2 2 2 2 4 3" xfId="14324"/>
    <cellStyle name="20% - Accent4 4 2 2 2 2 4 3 2" xfId="14325"/>
    <cellStyle name="20% - Accent4 4 2 2 2 2 4 3 3" xfId="14326"/>
    <cellStyle name="20% - Accent4 4 2 2 2 2 4 4" xfId="14327"/>
    <cellStyle name="20% - Accent4 4 2 2 2 2 4 4 2" xfId="14328"/>
    <cellStyle name="20% - Accent4 4 2 2 2 2 4 5" xfId="14329"/>
    <cellStyle name="20% - Accent4 4 2 2 2 2 4 6" xfId="14330"/>
    <cellStyle name="20% - Accent4 4 2 2 2 2 5" xfId="14331"/>
    <cellStyle name="20% - Accent4 4 2 2 2 2 5 2" xfId="14332"/>
    <cellStyle name="20% - Accent4 4 2 2 2 2 5 2 2" xfId="14333"/>
    <cellStyle name="20% - Accent4 4 2 2 2 2 5 2 3" xfId="14334"/>
    <cellStyle name="20% - Accent4 4 2 2 2 2 5 3" xfId="14335"/>
    <cellStyle name="20% - Accent4 4 2 2 2 2 5 3 2" xfId="14336"/>
    <cellStyle name="20% - Accent4 4 2 2 2 2 5 4" xfId="14337"/>
    <cellStyle name="20% - Accent4 4 2 2 2 2 5 5" xfId="14338"/>
    <cellStyle name="20% - Accent4 4 2 2 2 2 6" xfId="14339"/>
    <cellStyle name="20% - Accent4 4 2 2 2 2 6 2" xfId="14340"/>
    <cellStyle name="20% - Accent4 4 2 2 2 2 6 3" xfId="14341"/>
    <cellStyle name="20% - Accent4 4 2 2 2 2 7" xfId="14342"/>
    <cellStyle name="20% - Accent4 4 2 2 2 2 7 2" xfId="14343"/>
    <cellStyle name="20% - Accent4 4 2 2 2 2 7 3" xfId="14344"/>
    <cellStyle name="20% - Accent4 4 2 2 2 2 8" xfId="14345"/>
    <cellStyle name="20% - Accent4 4 2 2 2 2 8 2" xfId="14346"/>
    <cellStyle name="20% - Accent4 4 2 2 2 2 9" xfId="14347"/>
    <cellStyle name="20% - Accent4 4 2 2 2 3" xfId="842"/>
    <cellStyle name="20% - Accent4 4 2 2 2 3 2" xfId="843"/>
    <cellStyle name="20% - Accent4 4 2 2 2 3 2 2" xfId="14348"/>
    <cellStyle name="20% - Accent4 4 2 2 2 3 2 2 2" xfId="14349"/>
    <cellStyle name="20% - Accent4 4 2 2 2 3 2 2 3" xfId="14350"/>
    <cellStyle name="20% - Accent4 4 2 2 2 3 2 3" xfId="14351"/>
    <cellStyle name="20% - Accent4 4 2 2 2 3 2 3 2" xfId="14352"/>
    <cellStyle name="20% - Accent4 4 2 2 2 3 2 3 3" xfId="14353"/>
    <cellStyle name="20% - Accent4 4 2 2 2 3 2 4" xfId="14354"/>
    <cellStyle name="20% - Accent4 4 2 2 2 3 2 4 2" xfId="14355"/>
    <cellStyle name="20% - Accent4 4 2 2 2 3 2 5" xfId="14356"/>
    <cellStyle name="20% - Accent4 4 2 2 2 3 2 6" xfId="14357"/>
    <cellStyle name="20% - Accent4 4 2 2 2 3 3" xfId="14358"/>
    <cellStyle name="20% - Accent4 4 2 2 2 3 3 2" xfId="14359"/>
    <cellStyle name="20% - Accent4 4 2 2 2 3 3 2 2" xfId="14360"/>
    <cellStyle name="20% - Accent4 4 2 2 2 3 3 2 3" xfId="14361"/>
    <cellStyle name="20% - Accent4 4 2 2 2 3 3 3" xfId="14362"/>
    <cellStyle name="20% - Accent4 4 2 2 2 3 3 3 2" xfId="14363"/>
    <cellStyle name="20% - Accent4 4 2 2 2 3 3 3 3" xfId="14364"/>
    <cellStyle name="20% - Accent4 4 2 2 2 3 3 4" xfId="14365"/>
    <cellStyle name="20% - Accent4 4 2 2 2 3 3 4 2" xfId="14366"/>
    <cellStyle name="20% - Accent4 4 2 2 2 3 3 5" xfId="14367"/>
    <cellStyle name="20% - Accent4 4 2 2 2 3 3 6" xfId="14368"/>
    <cellStyle name="20% - Accent4 4 2 2 2 3 4" xfId="14369"/>
    <cellStyle name="20% - Accent4 4 2 2 2 3 4 2" xfId="14370"/>
    <cellStyle name="20% - Accent4 4 2 2 2 3 4 2 2" xfId="14371"/>
    <cellStyle name="20% - Accent4 4 2 2 2 3 4 2 3" xfId="14372"/>
    <cellStyle name="20% - Accent4 4 2 2 2 3 4 3" xfId="14373"/>
    <cellStyle name="20% - Accent4 4 2 2 2 3 4 3 2" xfId="14374"/>
    <cellStyle name="20% - Accent4 4 2 2 2 3 4 4" xfId="14375"/>
    <cellStyle name="20% - Accent4 4 2 2 2 3 4 5" xfId="14376"/>
    <cellStyle name="20% - Accent4 4 2 2 2 3 5" xfId="14377"/>
    <cellStyle name="20% - Accent4 4 2 2 2 3 5 2" xfId="14378"/>
    <cellStyle name="20% - Accent4 4 2 2 2 3 5 3" xfId="14379"/>
    <cellStyle name="20% - Accent4 4 2 2 2 3 6" xfId="14380"/>
    <cellStyle name="20% - Accent4 4 2 2 2 3 6 2" xfId="14381"/>
    <cellStyle name="20% - Accent4 4 2 2 2 3 6 3" xfId="14382"/>
    <cellStyle name="20% - Accent4 4 2 2 2 3 7" xfId="14383"/>
    <cellStyle name="20% - Accent4 4 2 2 2 3 7 2" xfId="14384"/>
    <cellStyle name="20% - Accent4 4 2 2 2 3 8" xfId="14385"/>
    <cellStyle name="20% - Accent4 4 2 2 2 3 9" xfId="14386"/>
    <cellStyle name="20% - Accent4 4 2 2 2 4" xfId="844"/>
    <cellStyle name="20% - Accent4 4 2 2 2 4 2" xfId="14387"/>
    <cellStyle name="20% - Accent4 4 2 2 2 4 2 2" xfId="14388"/>
    <cellStyle name="20% - Accent4 4 2 2 2 4 2 2 2" xfId="14389"/>
    <cellStyle name="20% - Accent4 4 2 2 2 4 2 2 3" xfId="14390"/>
    <cellStyle name="20% - Accent4 4 2 2 2 4 2 3" xfId="14391"/>
    <cellStyle name="20% - Accent4 4 2 2 2 4 2 3 2" xfId="14392"/>
    <cellStyle name="20% - Accent4 4 2 2 2 4 2 3 3" xfId="14393"/>
    <cellStyle name="20% - Accent4 4 2 2 2 4 2 4" xfId="14394"/>
    <cellStyle name="20% - Accent4 4 2 2 2 4 2 4 2" xfId="14395"/>
    <cellStyle name="20% - Accent4 4 2 2 2 4 2 5" xfId="14396"/>
    <cellStyle name="20% - Accent4 4 2 2 2 4 2 6" xfId="14397"/>
    <cellStyle name="20% - Accent4 4 2 2 2 4 3" xfId="14398"/>
    <cellStyle name="20% - Accent4 4 2 2 2 4 3 2" xfId="14399"/>
    <cellStyle name="20% - Accent4 4 2 2 2 4 3 2 2" xfId="14400"/>
    <cellStyle name="20% - Accent4 4 2 2 2 4 3 2 3" xfId="14401"/>
    <cellStyle name="20% - Accent4 4 2 2 2 4 3 3" xfId="14402"/>
    <cellStyle name="20% - Accent4 4 2 2 2 4 3 3 2" xfId="14403"/>
    <cellStyle name="20% - Accent4 4 2 2 2 4 3 3 3" xfId="14404"/>
    <cellStyle name="20% - Accent4 4 2 2 2 4 3 4" xfId="14405"/>
    <cellStyle name="20% - Accent4 4 2 2 2 4 3 4 2" xfId="14406"/>
    <cellStyle name="20% - Accent4 4 2 2 2 4 3 5" xfId="14407"/>
    <cellStyle name="20% - Accent4 4 2 2 2 4 3 6" xfId="14408"/>
    <cellStyle name="20% - Accent4 4 2 2 2 4 4" xfId="14409"/>
    <cellStyle name="20% - Accent4 4 2 2 2 4 4 2" xfId="14410"/>
    <cellStyle name="20% - Accent4 4 2 2 2 4 4 2 2" xfId="14411"/>
    <cellStyle name="20% - Accent4 4 2 2 2 4 4 2 3" xfId="14412"/>
    <cellStyle name="20% - Accent4 4 2 2 2 4 4 3" xfId="14413"/>
    <cellStyle name="20% - Accent4 4 2 2 2 4 4 3 2" xfId="14414"/>
    <cellStyle name="20% - Accent4 4 2 2 2 4 4 4" xfId="14415"/>
    <cellStyle name="20% - Accent4 4 2 2 2 4 4 5" xfId="14416"/>
    <cellStyle name="20% - Accent4 4 2 2 2 4 5" xfId="14417"/>
    <cellStyle name="20% - Accent4 4 2 2 2 4 5 2" xfId="14418"/>
    <cellStyle name="20% - Accent4 4 2 2 2 4 5 3" xfId="14419"/>
    <cellStyle name="20% - Accent4 4 2 2 2 4 6" xfId="14420"/>
    <cellStyle name="20% - Accent4 4 2 2 2 4 6 2" xfId="14421"/>
    <cellStyle name="20% - Accent4 4 2 2 2 4 6 3" xfId="14422"/>
    <cellStyle name="20% - Accent4 4 2 2 2 4 7" xfId="14423"/>
    <cellStyle name="20% - Accent4 4 2 2 2 4 7 2" xfId="14424"/>
    <cellStyle name="20% - Accent4 4 2 2 2 4 8" xfId="14425"/>
    <cellStyle name="20% - Accent4 4 2 2 2 4 9" xfId="14426"/>
    <cellStyle name="20% - Accent4 4 2 2 2 5" xfId="845"/>
    <cellStyle name="20% - Accent4 4 2 2 2 5 2" xfId="14427"/>
    <cellStyle name="20% - Accent4 4 2 2 2 5 2 2" xfId="14428"/>
    <cellStyle name="20% - Accent4 4 2 2 2 5 2 3" xfId="14429"/>
    <cellStyle name="20% - Accent4 4 2 2 2 5 3" xfId="14430"/>
    <cellStyle name="20% - Accent4 4 2 2 2 5 3 2" xfId="14431"/>
    <cellStyle name="20% - Accent4 4 2 2 2 5 3 3" xfId="14432"/>
    <cellStyle name="20% - Accent4 4 2 2 2 5 4" xfId="14433"/>
    <cellStyle name="20% - Accent4 4 2 2 2 5 4 2" xfId="14434"/>
    <cellStyle name="20% - Accent4 4 2 2 2 5 5" xfId="14435"/>
    <cellStyle name="20% - Accent4 4 2 2 2 5 6" xfId="14436"/>
    <cellStyle name="20% - Accent4 4 2 2 2 6" xfId="8917"/>
    <cellStyle name="20% - Accent4 4 2 2 2 6 2" xfId="14437"/>
    <cellStyle name="20% - Accent4 4 2 2 2 6 2 2" xfId="14438"/>
    <cellStyle name="20% - Accent4 4 2 2 2 6 2 3" xfId="14439"/>
    <cellStyle name="20% - Accent4 4 2 2 2 6 3" xfId="14440"/>
    <cellStyle name="20% - Accent4 4 2 2 2 6 3 2" xfId="14441"/>
    <cellStyle name="20% - Accent4 4 2 2 2 6 3 3" xfId="14442"/>
    <cellStyle name="20% - Accent4 4 2 2 2 6 4" xfId="14443"/>
    <cellStyle name="20% - Accent4 4 2 2 2 6 4 2" xfId="14444"/>
    <cellStyle name="20% - Accent4 4 2 2 2 6 5" xfId="14445"/>
    <cellStyle name="20% - Accent4 4 2 2 2 6 6" xfId="14446"/>
    <cellStyle name="20% - Accent4 4 2 2 2 7" xfId="14447"/>
    <cellStyle name="20% - Accent4 4 2 2 2 7 2" xfId="14448"/>
    <cellStyle name="20% - Accent4 4 2 2 2 7 2 2" xfId="14449"/>
    <cellStyle name="20% - Accent4 4 2 2 2 7 2 3" xfId="14450"/>
    <cellStyle name="20% - Accent4 4 2 2 2 7 3" xfId="14451"/>
    <cellStyle name="20% - Accent4 4 2 2 2 7 3 2" xfId="14452"/>
    <cellStyle name="20% - Accent4 4 2 2 2 7 4" xfId="14453"/>
    <cellStyle name="20% - Accent4 4 2 2 2 7 5" xfId="14454"/>
    <cellStyle name="20% - Accent4 4 2 2 2 8" xfId="14455"/>
    <cellStyle name="20% - Accent4 4 2 2 2 8 2" xfId="14456"/>
    <cellStyle name="20% - Accent4 4 2 2 2 8 3" xfId="14457"/>
    <cellStyle name="20% - Accent4 4 2 2 2 9" xfId="14458"/>
    <cellStyle name="20% - Accent4 4 2 2 2 9 2" xfId="14459"/>
    <cellStyle name="20% - Accent4 4 2 2 2 9 3" xfId="14460"/>
    <cellStyle name="20% - Accent4 4 2 2 3" xfId="846"/>
    <cellStyle name="20% - Accent4 4 2 2 3 10" xfId="14461"/>
    <cellStyle name="20% - Accent4 4 2 2 3 2" xfId="847"/>
    <cellStyle name="20% - Accent4 4 2 2 3 2 2" xfId="848"/>
    <cellStyle name="20% - Accent4 4 2 2 3 2 2 2" xfId="14462"/>
    <cellStyle name="20% - Accent4 4 2 2 3 2 2 2 2" xfId="14463"/>
    <cellStyle name="20% - Accent4 4 2 2 3 2 2 2 3" xfId="14464"/>
    <cellStyle name="20% - Accent4 4 2 2 3 2 2 3" xfId="14465"/>
    <cellStyle name="20% - Accent4 4 2 2 3 2 2 3 2" xfId="14466"/>
    <cellStyle name="20% - Accent4 4 2 2 3 2 2 3 3" xfId="14467"/>
    <cellStyle name="20% - Accent4 4 2 2 3 2 2 4" xfId="14468"/>
    <cellStyle name="20% - Accent4 4 2 2 3 2 2 4 2" xfId="14469"/>
    <cellStyle name="20% - Accent4 4 2 2 3 2 2 5" xfId="14470"/>
    <cellStyle name="20% - Accent4 4 2 2 3 2 2 6" xfId="14471"/>
    <cellStyle name="20% - Accent4 4 2 2 3 2 3" xfId="14472"/>
    <cellStyle name="20% - Accent4 4 2 2 3 2 3 2" xfId="14473"/>
    <cellStyle name="20% - Accent4 4 2 2 3 2 3 2 2" xfId="14474"/>
    <cellStyle name="20% - Accent4 4 2 2 3 2 3 2 3" xfId="14475"/>
    <cellStyle name="20% - Accent4 4 2 2 3 2 3 3" xfId="14476"/>
    <cellStyle name="20% - Accent4 4 2 2 3 2 3 3 2" xfId="14477"/>
    <cellStyle name="20% - Accent4 4 2 2 3 2 3 3 3" xfId="14478"/>
    <cellStyle name="20% - Accent4 4 2 2 3 2 3 4" xfId="14479"/>
    <cellStyle name="20% - Accent4 4 2 2 3 2 3 4 2" xfId="14480"/>
    <cellStyle name="20% - Accent4 4 2 2 3 2 3 5" xfId="14481"/>
    <cellStyle name="20% - Accent4 4 2 2 3 2 3 6" xfId="14482"/>
    <cellStyle name="20% - Accent4 4 2 2 3 2 4" xfId="14483"/>
    <cellStyle name="20% - Accent4 4 2 2 3 2 4 2" xfId="14484"/>
    <cellStyle name="20% - Accent4 4 2 2 3 2 4 2 2" xfId="14485"/>
    <cellStyle name="20% - Accent4 4 2 2 3 2 4 2 3" xfId="14486"/>
    <cellStyle name="20% - Accent4 4 2 2 3 2 4 3" xfId="14487"/>
    <cellStyle name="20% - Accent4 4 2 2 3 2 4 3 2" xfId="14488"/>
    <cellStyle name="20% - Accent4 4 2 2 3 2 4 4" xfId="14489"/>
    <cellStyle name="20% - Accent4 4 2 2 3 2 4 5" xfId="14490"/>
    <cellStyle name="20% - Accent4 4 2 2 3 2 5" xfId="14491"/>
    <cellStyle name="20% - Accent4 4 2 2 3 2 5 2" xfId="14492"/>
    <cellStyle name="20% - Accent4 4 2 2 3 2 5 3" xfId="14493"/>
    <cellStyle name="20% - Accent4 4 2 2 3 2 6" xfId="14494"/>
    <cellStyle name="20% - Accent4 4 2 2 3 2 6 2" xfId="14495"/>
    <cellStyle name="20% - Accent4 4 2 2 3 2 6 3" xfId="14496"/>
    <cellStyle name="20% - Accent4 4 2 2 3 2 7" xfId="14497"/>
    <cellStyle name="20% - Accent4 4 2 2 3 2 7 2" xfId="14498"/>
    <cellStyle name="20% - Accent4 4 2 2 3 2 8" xfId="14499"/>
    <cellStyle name="20% - Accent4 4 2 2 3 2 9" xfId="14500"/>
    <cellStyle name="20% - Accent4 4 2 2 3 3" xfId="849"/>
    <cellStyle name="20% - Accent4 4 2 2 3 3 2" xfId="14501"/>
    <cellStyle name="20% - Accent4 4 2 2 3 3 2 2" xfId="14502"/>
    <cellStyle name="20% - Accent4 4 2 2 3 3 2 3" xfId="14503"/>
    <cellStyle name="20% - Accent4 4 2 2 3 3 3" xfId="14504"/>
    <cellStyle name="20% - Accent4 4 2 2 3 3 3 2" xfId="14505"/>
    <cellStyle name="20% - Accent4 4 2 2 3 3 3 3" xfId="14506"/>
    <cellStyle name="20% - Accent4 4 2 2 3 3 4" xfId="14507"/>
    <cellStyle name="20% - Accent4 4 2 2 3 3 4 2" xfId="14508"/>
    <cellStyle name="20% - Accent4 4 2 2 3 3 5" xfId="14509"/>
    <cellStyle name="20% - Accent4 4 2 2 3 3 6" xfId="14510"/>
    <cellStyle name="20% - Accent4 4 2 2 3 4" xfId="8918"/>
    <cellStyle name="20% - Accent4 4 2 2 3 4 2" xfId="14511"/>
    <cellStyle name="20% - Accent4 4 2 2 3 4 2 2" xfId="14512"/>
    <cellStyle name="20% - Accent4 4 2 2 3 4 2 3" xfId="14513"/>
    <cellStyle name="20% - Accent4 4 2 2 3 4 3" xfId="14514"/>
    <cellStyle name="20% - Accent4 4 2 2 3 4 3 2" xfId="14515"/>
    <cellStyle name="20% - Accent4 4 2 2 3 4 3 3" xfId="14516"/>
    <cellStyle name="20% - Accent4 4 2 2 3 4 4" xfId="14517"/>
    <cellStyle name="20% - Accent4 4 2 2 3 4 4 2" xfId="14518"/>
    <cellStyle name="20% - Accent4 4 2 2 3 4 5" xfId="14519"/>
    <cellStyle name="20% - Accent4 4 2 2 3 4 6" xfId="14520"/>
    <cellStyle name="20% - Accent4 4 2 2 3 5" xfId="14521"/>
    <cellStyle name="20% - Accent4 4 2 2 3 5 2" xfId="14522"/>
    <cellStyle name="20% - Accent4 4 2 2 3 5 2 2" xfId="14523"/>
    <cellStyle name="20% - Accent4 4 2 2 3 5 2 3" xfId="14524"/>
    <cellStyle name="20% - Accent4 4 2 2 3 5 3" xfId="14525"/>
    <cellStyle name="20% - Accent4 4 2 2 3 5 3 2" xfId="14526"/>
    <cellStyle name="20% - Accent4 4 2 2 3 5 4" xfId="14527"/>
    <cellStyle name="20% - Accent4 4 2 2 3 5 5" xfId="14528"/>
    <cellStyle name="20% - Accent4 4 2 2 3 6" xfId="14529"/>
    <cellStyle name="20% - Accent4 4 2 2 3 6 2" xfId="14530"/>
    <cellStyle name="20% - Accent4 4 2 2 3 6 3" xfId="14531"/>
    <cellStyle name="20% - Accent4 4 2 2 3 7" xfId="14532"/>
    <cellStyle name="20% - Accent4 4 2 2 3 7 2" xfId="14533"/>
    <cellStyle name="20% - Accent4 4 2 2 3 7 3" xfId="14534"/>
    <cellStyle name="20% - Accent4 4 2 2 3 8" xfId="14535"/>
    <cellStyle name="20% - Accent4 4 2 2 3 8 2" xfId="14536"/>
    <cellStyle name="20% - Accent4 4 2 2 3 9" xfId="14537"/>
    <cellStyle name="20% - Accent4 4 2 2 4" xfId="850"/>
    <cellStyle name="20% - Accent4 4 2 2 4 2" xfId="851"/>
    <cellStyle name="20% - Accent4 4 2 2 4 2 2" xfId="14538"/>
    <cellStyle name="20% - Accent4 4 2 2 4 2 2 2" xfId="14539"/>
    <cellStyle name="20% - Accent4 4 2 2 4 2 2 3" xfId="14540"/>
    <cellStyle name="20% - Accent4 4 2 2 4 2 3" xfId="14541"/>
    <cellStyle name="20% - Accent4 4 2 2 4 2 3 2" xfId="14542"/>
    <cellStyle name="20% - Accent4 4 2 2 4 2 3 3" xfId="14543"/>
    <cellStyle name="20% - Accent4 4 2 2 4 2 4" xfId="14544"/>
    <cellStyle name="20% - Accent4 4 2 2 4 2 4 2" xfId="14545"/>
    <cellStyle name="20% - Accent4 4 2 2 4 2 5" xfId="14546"/>
    <cellStyle name="20% - Accent4 4 2 2 4 2 6" xfId="14547"/>
    <cellStyle name="20% - Accent4 4 2 2 4 3" xfId="14548"/>
    <cellStyle name="20% - Accent4 4 2 2 4 3 2" xfId="14549"/>
    <cellStyle name="20% - Accent4 4 2 2 4 3 2 2" xfId="14550"/>
    <cellStyle name="20% - Accent4 4 2 2 4 3 2 3" xfId="14551"/>
    <cellStyle name="20% - Accent4 4 2 2 4 3 3" xfId="14552"/>
    <cellStyle name="20% - Accent4 4 2 2 4 3 3 2" xfId="14553"/>
    <cellStyle name="20% - Accent4 4 2 2 4 3 3 3" xfId="14554"/>
    <cellStyle name="20% - Accent4 4 2 2 4 3 4" xfId="14555"/>
    <cellStyle name="20% - Accent4 4 2 2 4 3 4 2" xfId="14556"/>
    <cellStyle name="20% - Accent4 4 2 2 4 3 5" xfId="14557"/>
    <cellStyle name="20% - Accent4 4 2 2 4 3 6" xfId="14558"/>
    <cellStyle name="20% - Accent4 4 2 2 4 4" xfId="14559"/>
    <cellStyle name="20% - Accent4 4 2 2 4 4 2" xfId="14560"/>
    <cellStyle name="20% - Accent4 4 2 2 4 4 2 2" xfId="14561"/>
    <cellStyle name="20% - Accent4 4 2 2 4 4 2 3" xfId="14562"/>
    <cellStyle name="20% - Accent4 4 2 2 4 4 3" xfId="14563"/>
    <cellStyle name="20% - Accent4 4 2 2 4 4 3 2" xfId="14564"/>
    <cellStyle name="20% - Accent4 4 2 2 4 4 4" xfId="14565"/>
    <cellStyle name="20% - Accent4 4 2 2 4 4 5" xfId="14566"/>
    <cellStyle name="20% - Accent4 4 2 2 4 5" xfId="14567"/>
    <cellStyle name="20% - Accent4 4 2 2 4 5 2" xfId="14568"/>
    <cellStyle name="20% - Accent4 4 2 2 4 5 3" xfId="14569"/>
    <cellStyle name="20% - Accent4 4 2 2 4 6" xfId="14570"/>
    <cellStyle name="20% - Accent4 4 2 2 4 6 2" xfId="14571"/>
    <cellStyle name="20% - Accent4 4 2 2 4 6 3" xfId="14572"/>
    <cellStyle name="20% - Accent4 4 2 2 4 7" xfId="14573"/>
    <cellStyle name="20% - Accent4 4 2 2 4 7 2" xfId="14574"/>
    <cellStyle name="20% - Accent4 4 2 2 4 8" xfId="14575"/>
    <cellStyle name="20% - Accent4 4 2 2 4 9" xfId="14576"/>
    <cellStyle name="20% - Accent4 4 2 2 5" xfId="852"/>
    <cellStyle name="20% - Accent4 4 2 2 5 2" xfId="14577"/>
    <cellStyle name="20% - Accent4 4 2 2 5 2 2" xfId="14578"/>
    <cellStyle name="20% - Accent4 4 2 2 5 2 2 2" xfId="14579"/>
    <cellStyle name="20% - Accent4 4 2 2 5 2 2 3" xfId="14580"/>
    <cellStyle name="20% - Accent4 4 2 2 5 2 3" xfId="14581"/>
    <cellStyle name="20% - Accent4 4 2 2 5 2 3 2" xfId="14582"/>
    <cellStyle name="20% - Accent4 4 2 2 5 2 3 3" xfId="14583"/>
    <cellStyle name="20% - Accent4 4 2 2 5 2 4" xfId="14584"/>
    <cellStyle name="20% - Accent4 4 2 2 5 2 4 2" xfId="14585"/>
    <cellStyle name="20% - Accent4 4 2 2 5 2 5" xfId="14586"/>
    <cellStyle name="20% - Accent4 4 2 2 5 2 6" xfId="14587"/>
    <cellStyle name="20% - Accent4 4 2 2 5 3" xfId="14588"/>
    <cellStyle name="20% - Accent4 4 2 2 5 3 2" xfId="14589"/>
    <cellStyle name="20% - Accent4 4 2 2 5 3 2 2" xfId="14590"/>
    <cellStyle name="20% - Accent4 4 2 2 5 3 2 3" xfId="14591"/>
    <cellStyle name="20% - Accent4 4 2 2 5 3 3" xfId="14592"/>
    <cellStyle name="20% - Accent4 4 2 2 5 3 3 2" xfId="14593"/>
    <cellStyle name="20% - Accent4 4 2 2 5 3 3 3" xfId="14594"/>
    <cellStyle name="20% - Accent4 4 2 2 5 3 4" xfId="14595"/>
    <cellStyle name="20% - Accent4 4 2 2 5 3 4 2" xfId="14596"/>
    <cellStyle name="20% - Accent4 4 2 2 5 3 5" xfId="14597"/>
    <cellStyle name="20% - Accent4 4 2 2 5 3 6" xfId="14598"/>
    <cellStyle name="20% - Accent4 4 2 2 5 4" xfId="14599"/>
    <cellStyle name="20% - Accent4 4 2 2 5 4 2" xfId="14600"/>
    <cellStyle name="20% - Accent4 4 2 2 5 4 2 2" xfId="14601"/>
    <cellStyle name="20% - Accent4 4 2 2 5 4 2 3" xfId="14602"/>
    <cellStyle name="20% - Accent4 4 2 2 5 4 3" xfId="14603"/>
    <cellStyle name="20% - Accent4 4 2 2 5 4 3 2" xfId="14604"/>
    <cellStyle name="20% - Accent4 4 2 2 5 4 4" xfId="14605"/>
    <cellStyle name="20% - Accent4 4 2 2 5 4 5" xfId="14606"/>
    <cellStyle name="20% - Accent4 4 2 2 5 5" xfId="14607"/>
    <cellStyle name="20% - Accent4 4 2 2 5 5 2" xfId="14608"/>
    <cellStyle name="20% - Accent4 4 2 2 5 5 3" xfId="14609"/>
    <cellStyle name="20% - Accent4 4 2 2 5 6" xfId="14610"/>
    <cellStyle name="20% - Accent4 4 2 2 5 6 2" xfId="14611"/>
    <cellStyle name="20% - Accent4 4 2 2 5 6 3" xfId="14612"/>
    <cellStyle name="20% - Accent4 4 2 2 5 7" xfId="14613"/>
    <cellStyle name="20% - Accent4 4 2 2 5 7 2" xfId="14614"/>
    <cellStyle name="20% - Accent4 4 2 2 5 8" xfId="14615"/>
    <cellStyle name="20% - Accent4 4 2 2 5 9" xfId="14616"/>
    <cellStyle name="20% - Accent4 4 2 2 6" xfId="853"/>
    <cellStyle name="20% - Accent4 4 2 2 6 2" xfId="14617"/>
    <cellStyle name="20% - Accent4 4 2 2 6 2 2" xfId="14618"/>
    <cellStyle name="20% - Accent4 4 2 2 6 2 3" xfId="14619"/>
    <cellStyle name="20% - Accent4 4 2 2 6 3" xfId="14620"/>
    <cellStyle name="20% - Accent4 4 2 2 6 3 2" xfId="14621"/>
    <cellStyle name="20% - Accent4 4 2 2 6 3 3" xfId="14622"/>
    <cellStyle name="20% - Accent4 4 2 2 6 4" xfId="14623"/>
    <cellStyle name="20% - Accent4 4 2 2 6 4 2" xfId="14624"/>
    <cellStyle name="20% - Accent4 4 2 2 6 5" xfId="14625"/>
    <cellStyle name="20% - Accent4 4 2 2 6 6" xfId="14626"/>
    <cellStyle name="20% - Accent4 4 2 2 7" xfId="8919"/>
    <cellStyle name="20% - Accent4 4 2 2 7 2" xfId="14627"/>
    <cellStyle name="20% - Accent4 4 2 2 7 2 2" xfId="14628"/>
    <cellStyle name="20% - Accent4 4 2 2 7 2 3" xfId="14629"/>
    <cellStyle name="20% - Accent4 4 2 2 7 3" xfId="14630"/>
    <cellStyle name="20% - Accent4 4 2 2 7 3 2" xfId="14631"/>
    <cellStyle name="20% - Accent4 4 2 2 7 3 3" xfId="14632"/>
    <cellStyle name="20% - Accent4 4 2 2 7 4" xfId="14633"/>
    <cellStyle name="20% - Accent4 4 2 2 7 4 2" xfId="14634"/>
    <cellStyle name="20% - Accent4 4 2 2 7 5" xfId="14635"/>
    <cellStyle name="20% - Accent4 4 2 2 7 6" xfId="14636"/>
    <cellStyle name="20% - Accent4 4 2 2 8" xfId="14637"/>
    <cellStyle name="20% - Accent4 4 2 2 8 2" xfId="14638"/>
    <cellStyle name="20% - Accent4 4 2 2 8 2 2" xfId="14639"/>
    <cellStyle name="20% - Accent4 4 2 2 8 2 3" xfId="14640"/>
    <cellStyle name="20% - Accent4 4 2 2 8 3" xfId="14641"/>
    <cellStyle name="20% - Accent4 4 2 2 8 3 2" xfId="14642"/>
    <cellStyle name="20% - Accent4 4 2 2 8 4" xfId="14643"/>
    <cellStyle name="20% - Accent4 4 2 2 8 5" xfId="14644"/>
    <cellStyle name="20% - Accent4 4 2 2 9" xfId="14645"/>
    <cellStyle name="20% - Accent4 4 2 2 9 2" xfId="14646"/>
    <cellStyle name="20% - Accent4 4 2 2 9 3" xfId="14647"/>
    <cellStyle name="20% - Accent4 4 2 3" xfId="854"/>
    <cellStyle name="20% - Accent4 4 2 3 10" xfId="14648"/>
    <cellStyle name="20% - Accent4 4 2 3 10 2" xfId="14649"/>
    <cellStyle name="20% - Accent4 4 2 3 11" xfId="14650"/>
    <cellStyle name="20% - Accent4 4 2 3 12" xfId="14651"/>
    <cellStyle name="20% - Accent4 4 2 3 2" xfId="855"/>
    <cellStyle name="20% - Accent4 4 2 3 2 10" xfId="14652"/>
    <cellStyle name="20% - Accent4 4 2 3 2 2" xfId="856"/>
    <cellStyle name="20% - Accent4 4 2 3 2 2 2" xfId="857"/>
    <cellStyle name="20% - Accent4 4 2 3 2 2 2 2" xfId="14653"/>
    <cellStyle name="20% - Accent4 4 2 3 2 2 2 2 2" xfId="14654"/>
    <cellStyle name="20% - Accent4 4 2 3 2 2 2 2 3" xfId="14655"/>
    <cellStyle name="20% - Accent4 4 2 3 2 2 2 3" xfId="14656"/>
    <cellStyle name="20% - Accent4 4 2 3 2 2 2 3 2" xfId="14657"/>
    <cellStyle name="20% - Accent4 4 2 3 2 2 2 3 3" xfId="14658"/>
    <cellStyle name="20% - Accent4 4 2 3 2 2 2 4" xfId="14659"/>
    <cellStyle name="20% - Accent4 4 2 3 2 2 2 4 2" xfId="14660"/>
    <cellStyle name="20% - Accent4 4 2 3 2 2 2 5" xfId="14661"/>
    <cellStyle name="20% - Accent4 4 2 3 2 2 2 6" xfId="14662"/>
    <cellStyle name="20% - Accent4 4 2 3 2 2 3" xfId="14663"/>
    <cellStyle name="20% - Accent4 4 2 3 2 2 3 2" xfId="14664"/>
    <cellStyle name="20% - Accent4 4 2 3 2 2 3 2 2" xfId="14665"/>
    <cellStyle name="20% - Accent4 4 2 3 2 2 3 2 3" xfId="14666"/>
    <cellStyle name="20% - Accent4 4 2 3 2 2 3 3" xfId="14667"/>
    <cellStyle name="20% - Accent4 4 2 3 2 2 3 3 2" xfId="14668"/>
    <cellStyle name="20% - Accent4 4 2 3 2 2 3 3 3" xfId="14669"/>
    <cellStyle name="20% - Accent4 4 2 3 2 2 3 4" xfId="14670"/>
    <cellStyle name="20% - Accent4 4 2 3 2 2 3 4 2" xfId="14671"/>
    <cellStyle name="20% - Accent4 4 2 3 2 2 3 5" xfId="14672"/>
    <cellStyle name="20% - Accent4 4 2 3 2 2 3 6" xfId="14673"/>
    <cellStyle name="20% - Accent4 4 2 3 2 2 4" xfId="14674"/>
    <cellStyle name="20% - Accent4 4 2 3 2 2 4 2" xfId="14675"/>
    <cellStyle name="20% - Accent4 4 2 3 2 2 4 2 2" xfId="14676"/>
    <cellStyle name="20% - Accent4 4 2 3 2 2 4 2 3" xfId="14677"/>
    <cellStyle name="20% - Accent4 4 2 3 2 2 4 3" xfId="14678"/>
    <cellStyle name="20% - Accent4 4 2 3 2 2 4 3 2" xfId="14679"/>
    <cellStyle name="20% - Accent4 4 2 3 2 2 4 4" xfId="14680"/>
    <cellStyle name="20% - Accent4 4 2 3 2 2 4 5" xfId="14681"/>
    <cellStyle name="20% - Accent4 4 2 3 2 2 5" xfId="14682"/>
    <cellStyle name="20% - Accent4 4 2 3 2 2 5 2" xfId="14683"/>
    <cellStyle name="20% - Accent4 4 2 3 2 2 5 3" xfId="14684"/>
    <cellStyle name="20% - Accent4 4 2 3 2 2 6" xfId="14685"/>
    <cellStyle name="20% - Accent4 4 2 3 2 2 6 2" xfId="14686"/>
    <cellStyle name="20% - Accent4 4 2 3 2 2 6 3" xfId="14687"/>
    <cellStyle name="20% - Accent4 4 2 3 2 2 7" xfId="14688"/>
    <cellStyle name="20% - Accent4 4 2 3 2 2 7 2" xfId="14689"/>
    <cellStyle name="20% - Accent4 4 2 3 2 2 8" xfId="14690"/>
    <cellStyle name="20% - Accent4 4 2 3 2 2 9" xfId="14691"/>
    <cellStyle name="20% - Accent4 4 2 3 2 3" xfId="858"/>
    <cellStyle name="20% - Accent4 4 2 3 2 3 2" xfId="14692"/>
    <cellStyle name="20% - Accent4 4 2 3 2 3 2 2" xfId="14693"/>
    <cellStyle name="20% - Accent4 4 2 3 2 3 2 3" xfId="14694"/>
    <cellStyle name="20% - Accent4 4 2 3 2 3 3" xfId="14695"/>
    <cellStyle name="20% - Accent4 4 2 3 2 3 3 2" xfId="14696"/>
    <cellStyle name="20% - Accent4 4 2 3 2 3 3 3" xfId="14697"/>
    <cellStyle name="20% - Accent4 4 2 3 2 3 4" xfId="14698"/>
    <cellStyle name="20% - Accent4 4 2 3 2 3 4 2" xfId="14699"/>
    <cellStyle name="20% - Accent4 4 2 3 2 3 5" xfId="14700"/>
    <cellStyle name="20% - Accent4 4 2 3 2 3 6" xfId="14701"/>
    <cellStyle name="20% - Accent4 4 2 3 2 4" xfId="8920"/>
    <cellStyle name="20% - Accent4 4 2 3 2 4 2" xfId="14702"/>
    <cellStyle name="20% - Accent4 4 2 3 2 4 2 2" xfId="14703"/>
    <cellStyle name="20% - Accent4 4 2 3 2 4 2 3" xfId="14704"/>
    <cellStyle name="20% - Accent4 4 2 3 2 4 3" xfId="14705"/>
    <cellStyle name="20% - Accent4 4 2 3 2 4 3 2" xfId="14706"/>
    <cellStyle name="20% - Accent4 4 2 3 2 4 3 3" xfId="14707"/>
    <cellStyle name="20% - Accent4 4 2 3 2 4 4" xfId="14708"/>
    <cellStyle name="20% - Accent4 4 2 3 2 4 4 2" xfId="14709"/>
    <cellStyle name="20% - Accent4 4 2 3 2 4 5" xfId="14710"/>
    <cellStyle name="20% - Accent4 4 2 3 2 4 6" xfId="14711"/>
    <cellStyle name="20% - Accent4 4 2 3 2 5" xfId="14712"/>
    <cellStyle name="20% - Accent4 4 2 3 2 5 2" xfId="14713"/>
    <cellStyle name="20% - Accent4 4 2 3 2 5 2 2" xfId="14714"/>
    <cellStyle name="20% - Accent4 4 2 3 2 5 2 3" xfId="14715"/>
    <cellStyle name="20% - Accent4 4 2 3 2 5 3" xfId="14716"/>
    <cellStyle name="20% - Accent4 4 2 3 2 5 3 2" xfId="14717"/>
    <cellStyle name="20% - Accent4 4 2 3 2 5 4" xfId="14718"/>
    <cellStyle name="20% - Accent4 4 2 3 2 5 5" xfId="14719"/>
    <cellStyle name="20% - Accent4 4 2 3 2 6" xfId="14720"/>
    <cellStyle name="20% - Accent4 4 2 3 2 6 2" xfId="14721"/>
    <cellStyle name="20% - Accent4 4 2 3 2 6 3" xfId="14722"/>
    <cellStyle name="20% - Accent4 4 2 3 2 7" xfId="14723"/>
    <cellStyle name="20% - Accent4 4 2 3 2 7 2" xfId="14724"/>
    <cellStyle name="20% - Accent4 4 2 3 2 7 3" xfId="14725"/>
    <cellStyle name="20% - Accent4 4 2 3 2 8" xfId="14726"/>
    <cellStyle name="20% - Accent4 4 2 3 2 8 2" xfId="14727"/>
    <cellStyle name="20% - Accent4 4 2 3 2 9" xfId="14728"/>
    <cellStyle name="20% - Accent4 4 2 3 3" xfId="859"/>
    <cellStyle name="20% - Accent4 4 2 3 3 2" xfId="860"/>
    <cellStyle name="20% - Accent4 4 2 3 3 2 2" xfId="14729"/>
    <cellStyle name="20% - Accent4 4 2 3 3 2 2 2" xfId="14730"/>
    <cellStyle name="20% - Accent4 4 2 3 3 2 2 3" xfId="14731"/>
    <cellStyle name="20% - Accent4 4 2 3 3 2 3" xfId="14732"/>
    <cellStyle name="20% - Accent4 4 2 3 3 2 3 2" xfId="14733"/>
    <cellStyle name="20% - Accent4 4 2 3 3 2 3 3" xfId="14734"/>
    <cellStyle name="20% - Accent4 4 2 3 3 2 4" xfId="14735"/>
    <cellStyle name="20% - Accent4 4 2 3 3 2 4 2" xfId="14736"/>
    <cellStyle name="20% - Accent4 4 2 3 3 2 5" xfId="14737"/>
    <cellStyle name="20% - Accent4 4 2 3 3 2 6" xfId="14738"/>
    <cellStyle name="20% - Accent4 4 2 3 3 3" xfId="14739"/>
    <cellStyle name="20% - Accent4 4 2 3 3 3 2" xfId="14740"/>
    <cellStyle name="20% - Accent4 4 2 3 3 3 2 2" xfId="14741"/>
    <cellStyle name="20% - Accent4 4 2 3 3 3 2 3" xfId="14742"/>
    <cellStyle name="20% - Accent4 4 2 3 3 3 3" xfId="14743"/>
    <cellStyle name="20% - Accent4 4 2 3 3 3 3 2" xfId="14744"/>
    <cellStyle name="20% - Accent4 4 2 3 3 3 3 3" xfId="14745"/>
    <cellStyle name="20% - Accent4 4 2 3 3 3 4" xfId="14746"/>
    <cellStyle name="20% - Accent4 4 2 3 3 3 4 2" xfId="14747"/>
    <cellStyle name="20% - Accent4 4 2 3 3 3 5" xfId="14748"/>
    <cellStyle name="20% - Accent4 4 2 3 3 3 6" xfId="14749"/>
    <cellStyle name="20% - Accent4 4 2 3 3 4" xfId="14750"/>
    <cellStyle name="20% - Accent4 4 2 3 3 4 2" xfId="14751"/>
    <cellStyle name="20% - Accent4 4 2 3 3 4 2 2" xfId="14752"/>
    <cellStyle name="20% - Accent4 4 2 3 3 4 2 3" xfId="14753"/>
    <cellStyle name="20% - Accent4 4 2 3 3 4 3" xfId="14754"/>
    <cellStyle name="20% - Accent4 4 2 3 3 4 3 2" xfId="14755"/>
    <cellStyle name="20% - Accent4 4 2 3 3 4 4" xfId="14756"/>
    <cellStyle name="20% - Accent4 4 2 3 3 4 5" xfId="14757"/>
    <cellStyle name="20% - Accent4 4 2 3 3 5" xfId="14758"/>
    <cellStyle name="20% - Accent4 4 2 3 3 5 2" xfId="14759"/>
    <cellStyle name="20% - Accent4 4 2 3 3 5 3" xfId="14760"/>
    <cellStyle name="20% - Accent4 4 2 3 3 6" xfId="14761"/>
    <cellStyle name="20% - Accent4 4 2 3 3 6 2" xfId="14762"/>
    <cellStyle name="20% - Accent4 4 2 3 3 6 3" xfId="14763"/>
    <cellStyle name="20% - Accent4 4 2 3 3 7" xfId="14764"/>
    <cellStyle name="20% - Accent4 4 2 3 3 7 2" xfId="14765"/>
    <cellStyle name="20% - Accent4 4 2 3 3 8" xfId="14766"/>
    <cellStyle name="20% - Accent4 4 2 3 3 9" xfId="14767"/>
    <cellStyle name="20% - Accent4 4 2 3 4" xfId="861"/>
    <cellStyle name="20% - Accent4 4 2 3 4 2" xfId="14768"/>
    <cellStyle name="20% - Accent4 4 2 3 4 2 2" xfId="14769"/>
    <cellStyle name="20% - Accent4 4 2 3 4 2 2 2" xfId="14770"/>
    <cellStyle name="20% - Accent4 4 2 3 4 2 2 3" xfId="14771"/>
    <cellStyle name="20% - Accent4 4 2 3 4 2 3" xfId="14772"/>
    <cellStyle name="20% - Accent4 4 2 3 4 2 3 2" xfId="14773"/>
    <cellStyle name="20% - Accent4 4 2 3 4 2 3 3" xfId="14774"/>
    <cellStyle name="20% - Accent4 4 2 3 4 2 4" xfId="14775"/>
    <cellStyle name="20% - Accent4 4 2 3 4 2 4 2" xfId="14776"/>
    <cellStyle name="20% - Accent4 4 2 3 4 2 5" xfId="14777"/>
    <cellStyle name="20% - Accent4 4 2 3 4 2 6" xfId="14778"/>
    <cellStyle name="20% - Accent4 4 2 3 4 3" xfId="14779"/>
    <cellStyle name="20% - Accent4 4 2 3 4 3 2" xfId="14780"/>
    <cellStyle name="20% - Accent4 4 2 3 4 3 2 2" xfId="14781"/>
    <cellStyle name="20% - Accent4 4 2 3 4 3 2 3" xfId="14782"/>
    <cellStyle name="20% - Accent4 4 2 3 4 3 3" xfId="14783"/>
    <cellStyle name="20% - Accent4 4 2 3 4 3 3 2" xfId="14784"/>
    <cellStyle name="20% - Accent4 4 2 3 4 3 3 3" xfId="14785"/>
    <cellStyle name="20% - Accent4 4 2 3 4 3 4" xfId="14786"/>
    <cellStyle name="20% - Accent4 4 2 3 4 3 4 2" xfId="14787"/>
    <cellStyle name="20% - Accent4 4 2 3 4 3 5" xfId="14788"/>
    <cellStyle name="20% - Accent4 4 2 3 4 3 6" xfId="14789"/>
    <cellStyle name="20% - Accent4 4 2 3 4 4" xfId="14790"/>
    <cellStyle name="20% - Accent4 4 2 3 4 4 2" xfId="14791"/>
    <cellStyle name="20% - Accent4 4 2 3 4 4 2 2" xfId="14792"/>
    <cellStyle name="20% - Accent4 4 2 3 4 4 2 3" xfId="14793"/>
    <cellStyle name="20% - Accent4 4 2 3 4 4 3" xfId="14794"/>
    <cellStyle name="20% - Accent4 4 2 3 4 4 3 2" xfId="14795"/>
    <cellStyle name="20% - Accent4 4 2 3 4 4 4" xfId="14796"/>
    <cellStyle name="20% - Accent4 4 2 3 4 4 5" xfId="14797"/>
    <cellStyle name="20% - Accent4 4 2 3 4 5" xfId="14798"/>
    <cellStyle name="20% - Accent4 4 2 3 4 5 2" xfId="14799"/>
    <cellStyle name="20% - Accent4 4 2 3 4 5 3" xfId="14800"/>
    <cellStyle name="20% - Accent4 4 2 3 4 6" xfId="14801"/>
    <cellStyle name="20% - Accent4 4 2 3 4 6 2" xfId="14802"/>
    <cellStyle name="20% - Accent4 4 2 3 4 6 3" xfId="14803"/>
    <cellStyle name="20% - Accent4 4 2 3 4 7" xfId="14804"/>
    <cellStyle name="20% - Accent4 4 2 3 4 7 2" xfId="14805"/>
    <cellStyle name="20% - Accent4 4 2 3 4 8" xfId="14806"/>
    <cellStyle name="20% - Accent4 4 2 3 4 9" xfId="14807"/>
    <cellStyle name="20% - Accent4 4 2 3 5" xfId="862"/>
    <cellStyle name="20% - Accent4 4 2 3 5 2" xfId="14808"/>
    <cellStyle name="20% - Accent4 4 2 3 5 2 2" xfId="14809"/>
    <cellStyle name="20% - Accent4 4 2 3 5 2 3" xfId="14810"/>
    <cellStyle name="20% - Accent4 4 2 3 5 3" xfId="14811"/>
    <cellStyle name="20% - Accent4 4 2 3 5 3 2" xfId="14812"/>
    <cellStyle name="20% - Accent4 4 2 3 5 3 3" xfId="14813"/>
    <cellStyle name="20% - Accent4 4 2 3 5 4" xfId="14814"/>
    <cellStyle name="20% - Accent4 4 2 3 5 4 2" xfId="14815"/>
    <cellStyle name="20% - Accent4 4 2 3 5 5" xfId="14816"/>
    <cellStyle name="20% - Accent4 4 2 3 5 6" xfId="14817"/>
    <cellStyle name="20% - Accent4 4 2 3 6" xfId="8921"/>
    <cellStyle name="20% - Accent4 4 2 3 6 2" xfId="14818"/>
    <cellStyle name="20% - Accent4 4 2 3 6 2 2" xfId="14819"/>
    <cellStyle name="20% - Accent4 4 2 3 6 2 3" xfId="14820"/>
    <cellStyle name="20% - Accent4 4 2 3 6 3" xfId="14821"/>
    <cellStyle name="20% - Accent4 4 2 3 6 3 2" xfId="14822"/>
    <cellStyle name="20% - Accent4 4 2 3 6 3 3" xfId="14823"/>
    <cellStyle name="20% - Accent4 4 2 3 6 4" xfId="14824"/>
    <cellStyle name="20% - Accent4 4 2 3 6 4 2" xfId="14825"/>
    <cellStyle name="20% - Accent4 4 2 3 6 5" xfId="14826"/>
    <cellStyle name="20% - Accent4 4 2 3 6 6" xfId="14827"/>
    <cellStyle name="20% - Accent4 4 2 3 7" xfId="14828"/>
    <cellStyle name="20% - Accent4 4 2 3 7 2" xfId="14829"/>
    <cellStyle name="20% - Accent4 4 2 3 7 2 2" xfId="14830"/>
    <cellStyle name="20% - Accent4 4 2 3 7 2 3" xfId="14831"/>
    <cellStyle name="20% - Accent4 4 2 3 7 3" xfId="14832"/>
    <cellStyle name="20% - Accent4 4 2 3 7 3 2" xfId="14833"/>
    <cellStyle name="20% - Accent4 4 2 3 7 4" xfId="14834"/>
    <cellStyle name="20% - Accent4 4 2 3 7 5" xfId="14835"/>
    <cellStyle name="20% - Accent4 4 2 3 8" xfId="14836"/>
    <cellStyle name="20% - Accent4 4 2 3 8 2" xfId="14837"/>
    <cellStyle name="20% - Accent4 4 2 3 8 3" xfId="14838"/>
    <cellStyle name="20% - Accent4 4 2 3 9" xfId="14839"/>
    <cellStyle name="20% - Accent4 4 2 3 9 2" xfId="14840"/>
    <cellStyle name="20% - Accent4 4 2 3 9 3" xfId="14841"/>
    <cellStyle name="20% - Accent4 4 2 4" xfId="863"/>
    <cellStyle name="20% - Accent4 4 2 4 10" xfId="14842"/>
    <cellStyle name="20% - Accent4 4 2 4 2" xfId="864"/>
    <cellStyle name="20% - Accent4 4 2 4 2 2" xfId="865"/>
    <cellStyle name="20% - Accent4 4 2 4 2 2 2" xfId="14843"/>
    <cellStyle name="20% - Accent4 4 2 4 2 2 2 2" xfId="14844"/>
    <cellStyle name="20% - Accent4 4 2 4 2 2 2 3" xfId="14845"/>
    <cellStyle name="20% - Accent4 4 2 4 2 2 3" xfId="14846"/>
    <cellStyle name="20% - Accent4 4 2 4 2 2 3 2" xfId="14847"/>
    <cellStyle name="20% - Accent4 4 2 4 2 2 3 3" xfId="14848"/>
    <cellStyle name="20% - Accent4 4 2 4 2 2 4" xfId="14849"/>
    <cellStyle name="20% - Accent4 4 2 4 2 2 4 2" xfId="14850"/>
    <cellStyle name="20% - Accent4 4 2 4 2 2 5" xfId="14851"/>
    <cellStyle name="20% - Accent4 4 2 4 2 2 6" xfId="14852"/>
    <cellStyle name="20% - Accent4 4 2 4 2 3" xfId="14853"/>
    <cellStyle name="20% - Accent4 4 2 4 2 3 2" xfId="14854"/>
    <cellStyle name="20% - Accent4 4 2 4 2 3 2 2" xfId="14855"/>
    <cellStyle name="20% - Accent4 4 2 4 2 3 2 3" xfId="14856"/>
    <cellStyle name="20% - Accent4 4 2 4 2 3 3" xfId="14857"/>
    <cellStyle name="20% - Accent4 4 2 4 2 3 3 2" xfId="14858"/>
    <cellStyle name="20% - Accent4 4 2 4 2 3 3 3" xfId="14859"/>
    <cellStyle name="20% - Accent4 4 2 4 2 3 4" xfId="14860"/>
    <cellStyle name="20% - Accent4 4 2 4 2 3 4 2" xfId="14861"/>
    <cellStyle name="20% - Accent4 4 2 4 2 3 5" xfId="14862"/>
    <cellStyle name="20% - Accent4 4 2 4 2 3 6" xfId="14863"/>
    <cellStyle name="20% - Accent4 4 2 4 2 4" xfId="14864"/>
    <cellStyle name="20% - Accent4 4 2 4 2 4 2" xfId="14865"/>
    <cellStyle name="20% - Accent4 4 2 4 2 4 2 2" xfId="14866"/>
    <cellStyle name="20% - Accent4 4 2 4 2 4 2 3" xfId="14867"/>
    <cellStyle name="20% - Accent4 4 2 4 2 4 3" xfId="14868"/>
    <cellStyle name="20% - Accent4 4 2 4 2 4 3 2" xfId="14869"/>
    <cellStyle name="20% - Accent4 4 2 4 2 4 4" xfId="14870"/>
    <cellStyle name="20% - Accent4 4 2 4 2 4 5" xfId="14871"/>
    <cellStyle name="20% - Accent4 4 2 4 2 5" xfId="14872"/>
    <cellStyle name="20% - Accent4 4 2 4 2 5 2" xfId="14873"/>
    <cellStyle name="20% - Accent4 4 2 4 2 5 3" xfId="14874"/>
    <cellStyle name="20% - Accent4 4 2 4 2 6" xfId="14875"/>
    <cellStyle name="20% - Accent4 4 2 4 2 6 2" xfId="14876"/>
    <cellStyle name="20% - Accent4 4 2 4 2 6 3" xfId="14877"/>
    <cellStyle name="20% - Accent4 4 2 4 2 7" xfId="14878"/>
    <cellStyle name="20% - Accent4 4 2 4 2 7 2" xfId="14879"/>
    <cellStyle name="20% - Accent4 4 2 4 2 8" xfId="14880"/>
    <cellStyle name="20% - Accent4 4 2 4 2 9" xfId="14881"/>
    <cellStyle name="20% - Accent4 4 2 4 3" xfId="866"/>
    <cellStyle name="20% - Accent4 4 2 4 3 2" xfId="14882"/>
    <cellStyle name="20% - Accent4 4 2 4 3 2 2" xfId="14883"/>
    <cellStyle name="20% - Accent4 4 2 4 3 2 3" xfId="14884"/>
    <cellStyle name="20% - Accent4 4 2 4 3 3" xfId="14885"/>
    <cellStyle name="20% - Accent4 4 2 4 3 3 2" xfId="14886"/>
    <cellStyle name="20% - Accent4 4 2 4 3 3 3" xfId="14887"/>
    <cellStyle name="20% - Accent4 4 2 4 3 4" xfId="14888"/>
    <cellStyle name="20% - Accent4 4 2 4 3 4 2" xfId="14889"/>
    <cellStyle name="20% - Accent4 4 2 4 3 5" xfId="14890"/>
    <cellStyle name="20% - Accent4 4 2 4 3 6" xfId="14891"/>
    <cellStyle name="20% - Accent4 4 2 4 4" xfId="8922"/>
    <cellStyle name="20% - Accent4 4 2 4 4 2" xfId="14892"/>
    <cellStyle name="20% - Accent4 4 2 4 4 2 2" xfId="14893"/>
    <cellStyle name="20% - Accent4 4 2 4 4 2 3" xfId="14894"/>
    <cellStyle name="20% - Accent4 4 2 4 4 3" xfId="14895"/>
    <cellStyle name="20% - Accent4 4 2 4 4 3 2" xfId="14896"/>
    <cellStyle name="20% - Accent4 4 2 4 4 3 3" xfId="14897"/>
    <cellStyle name="20% - Accent4 4 2 4 4 4" xfId="14898"/>
    <cellStyle name="20% - Accent4 4 2 4 4 4 2" xfId="14899"/>
    <cellStyle name="20% - Accent4 4 2 4 4 5" xfId="14900"/>
    <cellStyle name="20% - Accent4 4 2 4 4 6" xfId="14901"/>
    <cellStyle name="20% - Accent4 4 2 4 5" xfId="14902"/>
    <cellStyle name="20% - Accent4 4 2 4 5 2" xfId="14903"/>
    <cellStyle name="20% - Accent4 4 2 4 5 2 2" xfId="14904"/>
    <cellStyle name="20% - Accent4 4 2 4 5 2 3" xfId="14905"/>
    <cellStyle name="20% - Accent4 4 2 4 5 3" xfId="14906"/>
    <cellStyle name="20% - Accent4 4 2 4 5 3 2" xfId="14907"/>
    <cellStyle name="20% - Accent4 4 2 4 5 4" xfId="14908"/>
    <cellStyle name="20% - Accent4 4 2 4 5 5" xfId="14909"/>
    <cellStyle name="20% - Accent4 4 2 4 6" xfId="14910"/>
    <cellStyle name="20% - Accent4 4 2 4 6 2" xfId="14911"/>
    <cellStyle name="20% - Accent4 4 2 4 6 3" xfId="14912"/>
    <cellStyle name="20% - Accent4 4 2 4 7" xfId="14913"/>
    <cellStyle name="20% - Accent4 4 2 4 7 2" xfId="14914"/>
    <cellStyle name="20% - Accent4 4 2 4 7 3" xfId="14915"/>
    <cellStyle name="20% - Accent4 4 2 4 8" xfId="14916"/>
    <cellStyle name="20% - Accent4 4 2 4 8 2" xfId="14917"/>
    <cellStyle name="20% - Accent4 4 2 4 9" xfId="14918"/>
    <cellStyle name="20% - Accent4 4 2 5" xfId="867"/>
    <cellStyle name="20% - Accent4 4 2 5 2" xfId="868"/>
    <cellStyle name="20% - Accent4 4 2 5 2 2" xfId="14919"/>
    <cellStyle name="20% - Accent4 4 2 5 2 2 2" xfId="14920"/>
    <cellStyle name="20% - Accent4 4 2 5 2 2 3" xfId="14921"/>
    <cellStyle name="20% - Accent4 4 2 5 2 3" xfId="14922"/>
    <cellStyle name="20% - Accent4 4 2 5 2 3 2" xfId="14923"/>
    <cellStyle name="20% - Accent4 4 2 5 2 3 3" xfId="14924"/>
    <cellStyle name="20% - Accent4 4 2 5 2 4" xfId="14925"/>
    <cellStyle name="20% - Accent4 4 2 5 2 4 2" xfId="14926"/>
    <cellStyle name="20% - Accent4 4 2 5 2 5" xfId="14927"/>
    <cellStyle name="20% - Accent4 4 2 5 2 6" xfId="14928"/>
    <cellStyle name="20% - Accent4 4 2 5 3" xfId="14929"/>
    <cellStyle name="20% - Accent4 4 2 5 3 2" xfId="14930"/>
    <cellStyle name="20% - Accent4 4 2 5 3 2 2" xfId="14931"/>
    <cellStyle name="20% - Accent4 4 2 5 3 2 3" xfId="14932"/>
    <cellStyle name="20% - Accent4 4 2 5 3 3" xfId="14933"/>
    <cellStyle name="20% - Accent4 4 2 5 3 3 2" xfId="14934"/>
    <cellStyle name="20% - Accent4 4 2 5 3 3 3" xfId="14935"/>
    <cellStyle name="20% - Accent4 4 2 5 3 4" xfId="14936"/>
    <cellStyle name="20% - Accent4 4 2 5 3 4 2" xfId="14937"/>
    <cellStyle name="20% - Accent4 4 2 5 3 5" xfId="14938"/>
    <cellStyle name="20% - Accent4 4 2 5 3 6" xfId="14939"/>
    <cellStyle name="20% - Accent4 4 2 5 4" xfId="14940"/>
    <cellStyle name="20% - Accent4 4 2 5 4 2" xfId="14941"/>
    <cellStyle name="20% - Accent4 4 2 5 4 2 2" xfId="14942"/>
    <cellStyle name="20% - Accent4 4 2 5 4 2 3" xfId="14943"/>
    <cellStyle name="20% - Accent4 4 2 5 4 3" xfId="14944"/>
    <cellStyle name="20% - Accent4 4 2 5 4 3 2" xfId="14945"/>
    <cellStyle name="20% - Accent4 4 2 5 4 4" xfId="14946"/>
    <cellStyle name="20% - Accent4 4 2 5 4 5" xfId="14947"/>
    <cellStyle name="20% - Accent4 4 2 5 5" xfId="14948"/>
    <cellStyle name="20% - Accent4 4 2 5 5 2" xfId="14949"/>
    <cellStyle name="20% - Accent4 4 2 5 5 3" xfId="14950"/>
    <cellStyle name="20% - Accent4 4 2 5 6" xfId="14951"/>
    <cellStyle name="20% - Accent4 4 2 5 6 2" xfId="14952"/>
    <cellStyle name="20% - Accent4 4 2 5 6 3" xfId="14953"/>
    <cellStyle name="20% - Accent4 4 2 5 7" xfId="14954"/>
    <cellStyle name="20% - Accent4 4 2 5 7 2" xfId="14955"/>
    <cellStyle name="20% - Accent4 4 2 5 8" xfId="14956"/>
    <cellStyle name="20% - Accent4 4 2 5 9" xfId="14957"/>
    <cellStyle name="20% - Accent4 4 2 6" xfId="869"/>
    <cellStyle name="20% - Accent4 4 2 6 2" xfId="14958"/>
    <cellStyle name="20% - Accent4 4 2 6 2 2" xfId="14959"/>
    <cellStyle name="20% - Accent4 4 2 6 2 2 2" xfId="14960"/>
    <cellStyle name="20% - Accent4 4 2 6 2 2 3" xfId="14961"/>
    <cellStyle name="20% - Accent4 4 2 6 2 3" xfId="14962"/>
    <cellStyle name="20% - Accent4 4 2 6 2 3 2" xfId="14963"/>
    <cellStyle name="20% - Accent4 4 2 6 2 3 3" xfId="14964"/>
    <cellStyle name="20% - Accent4 4 2 6 2 4" xfId="14965"/>
    <cellStyle name="20% - Accent4 4 2 6 2 4 2" xfId="14966"/>
    <cellStyle name="20% - Accent4 4 2 6 2 5" xfId="14967"/>
    <cellStyle name="20% - Accent4 4 2 6 2 6" xfId="14968"/>
    <cellStyle name="20% - Accent4 4 2 6 3" xfId="14969"/>
    <cellStyle name="20% - Accent4 4 2 6 3 2" xfId="14970"/>
    <cellStyle name="20% - Accent4 4 2 6 3 2 2" xfId="14971"/>
    <cellStyle name="20% - Accent4 4 2 6 3 2 3" xfId="14972"/>
    <cellStyle name="20% - Accent4 4 2 6 3 3" xfId="14973"/>
    <cellStyle name="20% - Accent4 4 2 6 3 3 2" xfId="14974"/>
    <cellStyle name="20% - Accent4 4 2 6 3 3 3" xfId="14975"/>
    <cellStyle name="20% - Accent4 4 2 6 3 4" xfId="14976"/>
    <cellStyle name="20% - Accent4 4 2 6 3 4 2" xfId="14977"/>
    <cellStyle name="20% - Accent4 4 2 6 3 5" xfId="14978"/>
    <cellStyle name="20% - Accent4 4 2 6 3 6" xfId="14979"/>
    <cellStyle name="20% - Accent4 4 2 6 4" xfId="14980"/>
    <cellStyle name="20% - Accent4 4 2 6 4 2" xfId="14981"/>
    <cellStyle name="20% - Accent4 4 2 6 4 2 2" xfId="14982"/>
    <cellStyle name="20% - Accent4 4 2 6 4 2 3" xfId="14983"/>
    <cellStyle name="20% - Accent4 4 2 6 4 3" xfId="14984"/>
    <cellStyle name="20% - Accent4 4 2 6 4 3 2" xfId="14985"/>
    <cellStyle name="20% - Accent4 4 2 6 4 4" xfId="14986"/>
    <cellStyle name="20% - Accent4 4 2 6 4 5" xfId="14987"/>
    <cellStyle name="20% - Accent4 4 2 6 5" xfId="14988"/>
    <cellStyle name="20% - Accent4 4 2 6 5 2" xfId="14989"/>
    <cellStyle name="20% - Accent4 4 2 6 5 3" xfId="14990"/>
    <cellStyle name="20% - Accent4 4 2 6 6" xfId="14991"/>
    <cellStyle name="20% - Accent4 4 2 6 6 2" xfId="14992"/>
    <cellStyle name="20% - Accent4 4 2 6 6 3" xfId="14993"/>
    <cellStyle name="20% - Accent4 4 2 6 7" xfId="14994"/>
    <cellStyle name="20% - Accent4 4 2 6 7 2" xfId="14995"/>
    <cellStyle name="20% - Accent4 4 2 6 8" xfId="14996"/>
    <cellStyle name="20% - Accent4 4 2 6 9" xfId="14997"/>
    <cellStyle name="20% - Accent4 4 2 7" xfId="870"/>
    <cellStyle name="20% - Accent4 4 2 7 2" xfId="14998"/>
    <cellStyle name="20% - Accent4 4 2 7 2 2" xfId="14999"/>
    <cellStyle name="20% - Accent4 4 2 7 2 3" xfId="15000"/>
    <cellStyle name="20% - Accent4 4 2 7 3" xfId="15001"/>
    <cellStyle name="20% - Accent4 4 2 7 3 2" xfId="15002"/>
    <cellStyle name="20% - Accent4 4 2 7 3 3" xfId="15003"/>
    <cellStyle name="20% - Accent4 4 2 7 4" xfId="15004"/>
    <cellStyle name="20% - Accent4 4 2 7 4 2" xfId="15005"/>
    <cellStyle name="20% - Accent4 4 2 7 5" xfId="15006"/>
    <cellStyle name="20% - Accent4 4 2 7 6" xfId="15007"/>
    <cellStyle name="20% - Accent4 4 2 8" xfId="8923"/>
    <cellStyle name="20% - Accent4 4 2 8 2" xfId="15008"/>
    <cellStyle name="20% - Accent4 4 2 8 2 2" xfId="15009"/>
    <cellStyle name="20% - Accent4 4 2 8 2 3" xfId="15010"/>
    <cellStyle name="20% - Accent4 4 2 8 3" xfId="15011"/>
    <cellStyle name="20% - Accent4 4 2 8 3 2" xfId="15012"/>
    <cellStyle name="20% - Accent4 4 2 8 3 3" xfId="15013"/>
    <cellStyle name="20% - Accent4 4 2 8 4" xfId="15014"/>
    <cellStyle name="20% - Accent4 4 2 8 4 2" xfId="15015"/>
    <cellStyle name="20% - Accent4 4 2 8 5" xfId="15016"/>
    <cellStyle name="20% - Accent4 4 2 8 6" xfId="15017"/>
    <cellStyle name="20% - Accent4 4 2 9" xfId="15018"/>
    <cellStyle name="20% - Accent4 4 2 9 2" xfId="15019"/>
    <cellStyle name="20% - Accent4 4 2 9 2 2" xfId="15020"/>
    <cellStyle name="20% - Accent4 4 2 9 2 3" xfId="15021"/>
    <cellStyle name="20% - Accent4 4 2 9 3" xfId="15022"/>
    <cellStyle name="20% - Accent4 4 2 9 3 2" xfId="15023"/>
    <cellStyle name="20% - Accent4 4 2 9 4" xfId="15024"/>
    <cellStyle name="20% - Accent4 4 2 9 5" xfId="15025"/>
    <cellStyle name="20% - Accent4 4 3" xfId="871"/>
    <cellStyle name="20% - Accent4 4 3 10" xfId="15026"/>
    <cellStyle name="20% - Accent4 4 3 10 2" xfId="15027"/>
    <cellStyle name="20% - Accent4 4 3 10 3" xfId="15028"/>
    <cellStyle name="20% - Accent4 4 3 11" xfId="15029"/>
    <cellStyle name="20% - Accent4 4 3 11 2" xfId="15030"/>
    <cellStyle name="20% - Accent4 4 3 12" xfId="15031"/>
    <cellStyle name="20% - Accent4 4 3 13" xfId="15032"/>
    <cellStyle name="20% - Accent4 4 3 14" xfId="15033"/>
    <cellStyle name="20% - Accent4 4 3 2" xfId="872"/>
    <cellStyle name="20% - Accent4 4 3 2 10" xfId="15034"/>
    <cellStyle name="20% - Accent4 4 3 2 10 2" xfId="15035"/>
    <cellStyle name="20% - Accent4 4 3 2 11" xfId="15036"/>
    <cellStyle name="20% - Accent4 4 3 2 12" xfId="15037"/>
    <cellStyle name="20% - Accent4 4 3 2 2" xfId="873"/>
    <cellStyle name="20% - Accent4 4 3 2 2 10" xfId="15038"/>
    <cellStyle name="20% - Accent4 4 3 2 2 2" xfId="874"/>
    <cellStyle name="20% - Accent4 4 3 2 2 2 2" xfId="875"/>
    <cellStyle name="20% - Accent4 4 3 2 2 2 2 2" xfId="15039"/>
    <cellStyle name="20% - Accent4 4 3 2 2 2 2 2 2" xfId="15040"/>
    <cellStyle name="20% - Accent4 4 3 2 2 2 2 2 3" xfId="15041"/>
    <cellStyle name="20% - Accent4 4 3 2 2 2 2 3" xfId="15042"/>
    <cellStyle name="20% - Accent4 4 3 2 2 2 2 3 2" xfId="15043"/>
    <cellStyle name="20% - Accent4 4 3 2 2 2 2 3 3" xfId="15044"/>
    <cellStyle name="20% - Accent4 4 3 2 2 2 2 4" xfId="15045"/>
    <cellStyle name="20% - Accent4 4 3 2 2 2 2 4 2" xfId="15046"/>
    <cellStyle name="20% - Accent4 4 3 2 2 2 2 5" xfId="15047"/>
    <cellStyle name="20% - Accent4 4 3 2 2 2 2 6" xfId="15048"/>
    <cellStyle name="20% - Accent4 4 3 2 2 2 3" xfId="8924"/>
    <cellStyle name="20% - Accent4 4 3 2 2 2 3 2" xfId="15049"/>
    <cellStyle name="20% - Accent4 4 3 2 2 2 3 2 2" xfId="15050"/>
    <cellStyle name="20% - Accent4 4 3 2 2 2 3 2 3" xfId="15051"/>
    <cellStyle name="20% - Accent4 4 3 2 2 2 3 3" xfId="15052"/>
    <cellStyle name="20% - Accent4 4 3 2 2 2 3 3 2" xfId="15053"/>
    <cellStyle name="20% - Accent4 4 3 2 2 2 3 3 3" xfId="15054"/>
    <cellStyle name="20% - Accent4 4 3 2 2 2 3 4" xfId="15055"/>
    <cellStyle name="20% - Accent4 4 3 2 2 2 3 4 2" xfId="15056"/>
    <cellStyle name="20% - Accent4 4 3 2 2 2 3 5" xfId="15057"/>
    <cellStyle name="20% - Accent4 4 3 2 2 2 3 6" xfId="15058"/>
    <cellStyle name="20% - Accent4 4 3 2 2 2 4" xfId="15059"/>
    <cellStyle name="20% - Accent4 4 3 2 2 2 4 2" xfId="15060"/>
    <cellStyle name="20% - Accent4 4 3 2 2 2 4 2 2" xfId="15061"/>
    <cellStyle name="20% - Accent4 4 3 2 2 2 4 2 3" xfId="15062"/>
    <cellStyle name="20% - Accent4 4 3 2 2 2 4 3" xfId="15063"/>
    <cellStyle name="20% - Accent4 4 3 2 2 2 4 3 2" xfId="15064"/>
    <cellStyle name="20% - Accent4 4 3 2 2 2 4 4" xfId="15065"/>
    <cellStyle name="20% - Accent4 4 3 2 2 2 4 5" xfId="15066"/>
    <cellStyle name="20% - Accent4 4 3 2 2 2 5" xfId="15067"/>
    <cellStyle name="20% - Accent4 4 3 2 2 2 5 2" xfId="15068"/>
    <cellStyle name="20% - Accent4 4 3 2 2 2 5 3" xfId="15069"/>
    <cellStyle name="20% - Accent4 4 3 2 2 2 6" xfId="15070"/>
    <cellStyle name="20% - Accent4 4 3 2 2 2 6 2" xfId="15071"/>
    <cellStyle name="20% - Accent4 4 3 2 2 2 6 3" xfId="15072"/>
    <cellStyle name="20% - Accent4 4 3 2 2 2 7" xfId="15073"/>
    <cellStyle name="20% - Accent4 4 3 2 2 2 7 2" xfId="15074"/>
    <cellStyle name="20% - Accent4 4 3 2 2 2 8" xfId="15075"/>
    <cellStyle name="20% - Accent4 4 3 2 2 2 9" xfId="15076"/>
    <cellStyle name="20% - Accent4 4 3 2 2 3" xfId="876"/>
    <cellStyle name="20% - Accent4 4 3 2 2 3 2" xfId="15077"/>
    <cellStyle name="20% - Accent4 4 3 2 2 3 2 2" xfId="15078"/>
    <cellStyle name="20% - Accent4 4 3 2 2 3 2 3" xfId="15079"/>
    <cellStyle name="20% - Accent4 4 3 2 2 3 3" xfId="15080"/>
    <cellStyle name="20% - Accent4 4 3 2 2 3 3 2" xfId="15081"/>
    <cellStyle name="20% - Accent4 4 3 2 2 3 3 3" xfId="15082"/>
    <cellStyle name="20% - Accent4 4 3 2 2 3 4" xfId="15083"/>
    <cellStyle name="20% - Accent4 4 3 2 2 3 4 2" xfId="15084"/>
    <cellStyle name="20% - Accent4 4 3 2 2 3 5" xfId="15085"/>
    <cellStyle name="20% - Accent4 4 3 2 2 3 6" xfId="15086"/>
    <cellStyle name="20% - Accent4 4 3 2 2 4" xfId="877"/>
    <cellStyle name="20% - Accent4 4 3 2 2 4 2" xfId="15087"/>
    <cellStyle name="20% - Accent4 4 3 2 2 4 2 2" xfId="15088"/>
    <cellStyle name="20% - Accent4 4 3 2 2 4 2 3" xfId="15089"/>
    <cellStyle name="20% - Accent4 4 3 2 2 4 3" xfId="15090"/>
    <cellStyle name="20% - Accent4 4 3 2 2 4 3 2" xfId="15091"/>
    <cellStyle name="20% - Accent4 4 3 2 2 4 3 3" xfId="15092"/>
    <cellStyle name="20% - Accent4 4 3 2 2 4 4" xfId="15093"/>
    <cellStyle name="20% - Accent4 4 3 2 2 4 4 2" xfId="15094"/>
    <cellStyle name="20% - Accent4 4 3 2 2 4 5" xfId="15095"/>
    <cellStyle name="20% - Accent4 4 3 2 2 4 6" xfId="15096"/>
    <cellStyle name="20% - Accent4 4 3 2 2 5" xfId="8925"/>
    <cellStyle name="20% - Accent4 4 3 2 2 5 2" xfId="15097"/>
    <cellStyle name="20% - Accent4 4 3 2 2 5 2 2" xfId="15098"/>
    <cellStyle name="20% - Accent4 4 3 2 2 5 2 3" xfId="15099"/>
    <cellStyle name="20% - Accent4 4 3 2 2 5 3" xfId="15100"/>
    <cellStyle name="20% - Accent4 4 3 2 2 5 3 2" xfId="15101"/>
    <cellStyle name="20% - Accent4 4 3 2 2 5 4" xfId="15102"/>
    <cellStyle name="20% - Accent4 4 3 2 2 5 5" xfId="15103"/>
    <cellStyle name="20% - Accent4 4 3 2 2 6" xfId="15104"/>
    <cellStyle name="20% - Accent4 4 3 2 2 6 2" xfId="15105"/>
    <cellStyle name="20% - Accent4 4 3 2 2 6 3" xfId="15106"/>
    <cellStyle name="20% - Accent4 4 3 2 2 7" xfId="15107"/>
    <cellStyle name="20% - Accent4 4 3 2 2 7 2" xfId="15108"/>
    <cellStyle name="20% - Accent4 4 3 2 2 7 3" xfId="15109"/>
    <cellStyle name="20% - Accent4 4 3 2 2 8" xfId="15110"/>
    <cellStyle name="20% - Accent4 4 3 2 2 8 2" xfId="15111"/>
    <cellStyle name="20% - Accent4 4 3 2 2 9" xfId="15112"/>
    <cellStyle name="20% - Accent4 4 3 2 3" xfId="878"/>
    <cellStyle name="20% - Accent4 4 3 2 3 2" xfId="879"/>
    <cellStyle name="20% - Accent4 4 3 2 3 2 2" xfId="15113"/>
    <cellStyle name="20% - Accent4 4 3 2 3 2 2 2" xfId="15114"/>
    <cellStyle name="20% - Accent4 4 3 2 3 2 2 3" xfId="15115"/>
    <cellStyle name="20% - Accent4 4 3 2 3 2 3" xfId="15116"/>
    <cellStyle name="20% - Accent4 4 3 2 3 2 3 2" xfId="15117"/>
    <cellStyle name="20% - Accent4 4 3 2 3 2 3 3" xfId="15118"/>
    <cellStyle name="20% - Accent4 4 3 2 3 2 4" xfId="15119"/>
    <cellStyle name="20% - Accent4 4 3 2 3 2 4 2" xfId="15120"/>
    <cellStyle name="20% - Accent4 4 3 2 3 2 5" xfId="15121"/>
    <cellStyle name="20% - Accent4 4 3 2 3 2 6" xfId="15122"/>
    <cellStyle name="20% - Accent4 4 3 2 3 3" xfId="8926"/>
    <cellStyle name="20% - Accent4 4 3 2 3 3 2" xfId="15123"/>
    <cellStyle name="20% - Accent4 4 3 2 3 3 2 2" xfId="15124"/>
    <cellStyle name="20% - Accent4 4 3 2 3 3 2 3" xfId="15125"/>
    <cellStyle name="20% - Accent4 4 3 2 3 3 3" xfId="15126"/>
    <cellStyle name="20% - Accent4 4 3 2 3 3 3 2" xfId="15127"/>
    <cellStyle name="20% - Accent4 4 3 2 3 3 3 3" xfId="15128"/>
    <cellStyle name="20% - Accent4 4 3 2 3 3 4" xfId="15129"/>
    <cellStyle name="20% - Accent4 4 3 2 3 3 4 2" xfId="15130"/>
    <cellStyle name="20% - Accent4 4 3 2 3 3 5" xfId="15131"/>
    <cellStyle name="20% - Accent4 4 3 2 3 3 6" xfId="15132"/>
    <cellStyle name="20% - Accent4 4 3 2 3 4" xfId="15133"/>
    <cellStyle name="20% - Accent4 4 3 2 3 4 2" xfId="15134"/>
    <cellStyle name="20% - Accent4 4 3 2 3 4 2 2" xfId="15135"/>
    <cellStyle name="20% - Accent4 4 3 2 3 4 2 3" xfId="15136"/>
    <cellStyle name="20% - Accent4 4 3 2 3 4 3" xfId="15137"/>
    <cellStyle name="20% - Accent4 4 3 2 3 4 3 2" xfId="15138"/>
    <cellStyle name="20% - Accent4 4 3 2 3 4 4" xfId="15139"/>
    <cellStyle name="20% - Accent4 4 3 2 3 4 5" xfId="15140"/>
    <cellStyle name="20% - Accent4 4 3 2 3 5" xfId="15141"/>
    <cellStyle name="20% - Accent4 4 3 2 3 5 2" xfId="15142"/>
    <cellStyle name="20% - Accent4 4 3 2 3 5 3" xfId="15143"/>
    <cellStyle name="20% - Accent4 4 3 2 3 6" xfId="15144"/>
    <cellStyle name="20% - Accent4 4 3 2 3 6 2" xfId="15145"/>
    <cellStyle name="20% - Accent4 4 3 2 3 6 3" xfId="15146"/>
    <cellStyle name="20% - Accent4 4 3 2 3 7" xfId="15147"/>
    <cellStyle name="20% - Accent4 4 3 2 3 7 2" xfId="15148"/>
    <cellStyle name="20% - Accent4 4 3 2 3 8" xfId="15149"/>
    <cellStyle name="20% - Accent4 4 3 2 3 9" xfId="15150"/>
    <cellStyle name="20% - Accent4 4 3 2 4" xfId="880"/>
    <cellStyle name="20% - Accent4 4 3 2 4 2" xfId="15151"/>
    <cellStyle name="20% - Accent4 4 3 2 4 2 2" xfId="15152"/>
    <cellStyle name="20% - Accent4 4 3 2 4 2 2 2" xfId="15153"/>
    <cellStyle name="20% - Accent4 4 3 2 4 2 2 3" xfId="15154"/>
    <cellStyle name="20% - Accent4 4 3 2 4 2 3" xfId="15155"/>
    <cellStyle name="20% - Accent4 4 3 2 4 2 3 2" xfId="15156"/>
    <cellStyle name="20% - Accent4 4 3 2 4 2 3 3" xfId="15157"/>
    <cellStyle name="20% - Accent4 4 3 2 4 2 4" xfId="15158"/>
    <cellStyle name="20% - Accent4 4 3 2 4 2 4 2" xfId="15159"/>
    <cellStyle name="20% - Accent4 4 3 2 4 2 5" xfId="15160"/>
    <cellStyle name="20% - Accent4 4 3 2 4 2 6" xfId="15161"/>
    <cellStyle name="20% - Accent4 4 3 2 4 3" xfId="15162"/>
    <cellStyle name="20% - Accent4 4 3 2 4 3 2" xfId="15163"/>
    <cellStyle name="20% - Accent4 4 3 2 4 3 2 2" xfId="15164"/>
    <cellStyle name="20% - Accent4 4 3 2 4 3 2 3" xfId="15165"/>
    <cellStyle name="20% - Accent4 4 3 2 4 3 3" xfId="15166"/>
    <cellStyle name="20% - Accent4 4 3 2 4 3 3 2" xfId="15167"/>
    <cellStyle name="20% - Accent4 4 3 2 4 3 3 3" xfId="15168"/>
    <cellStyle name="20% - Accent4 4 3 2 4 3 4" xfId="15169"/>
    <cellStyle name="20% - Accent4 4 3 2 4 3 4 2" xfId="15170"/>
    <cellStyle name="20% - Accent4 4 3 2 4 3 5" xfId="15171"/>
    <cellStyle name="20% - Accent4 4 3 2 4 3 6" xfId="15172"/>
    <cellStyle name="20% - Accent4 4 3 2 4 4" xfId="15173"/>
    <cellStyle name="20% - Accent4 4 3 2 4 4 2" xfId="15174"/>
    <cellStyle name="20% - Accent4 4 3 2 4 4 2 2" xfId="15175"/>
    <cellStyle name="20% - Accent4 4 3 2 4 4 2 3" xfId="15176"/>
    <cellStyle name="20% - Accent4 4 3 2 4 4 3" xfId="15177"/>
    <cellStyle name="20% - Accent4 4 3 2 4 4 3 2" xfId="15178"/>
    <cellStyle name="20% - Accent4 4 3 2 4 4 4" xfId="15179"/>
    <cellStyle name="20% - Accent4 4 3 2 4 4 5" xfId="15180"/>
    <cellStyle name="20% - Accent4 4 3 2 4 5" xfId="15181"/>
    <cellStyle name="20% - Accent4 4 3 2 4 5 2" xfId="15182"/>
    <cellStyle name="20% - Accent4 4 3 2 4 5 3" xfId="15183"/>
    <cellStyle name="20% - Accent4 4 3 2 4 6" xfId="15184"/>
    <cellStyle name="20% - Accent4 4 3 2 4 6 2" xfId="15185"/>
    <cellStyle name="20% - Accent4 4 3 2 4 6 3" xfId="15186"/>
    <cellStyle name="20% - Accent4 4 3 2 4 7" xfId="15187"/>
    <cellStyle name="20% - Accent4 4 3 2 4 7 2" xfId="15188"/>
    <cellStyle name="20% - Accent4 4 3 2 4 8" xfId="15189"/>
    <cellStyle name="20% - Accent4 4 3 2 4 9" xfId="15190"/>
    <cellStyle name="20% - Accent4 4 3 2 5" xfId="881"/>
    <cellStyle name="20% - Accent4 4 3 2 5 2" xfId="15191"/>
    <cellStyle name="20% - Accent4 4 3 2 5 2 2" xfId="15192"/>
    <cellStyle name="20% - Accent4 4 3 2 5 2 3" xfId="15193"/>
    <cellStyle name="20% - Accent4 4 3 2 5 3" xfId="15194"/>
    <cellStyle name="20% - Accent4 4 3 2 5 3 2" xfId="15195"/>
    <cellStyle name="20% - Accent4 4 3 2 5 3 3" xfId="15196"/>
    <cellStyle name="20% - Accent4 4 3 2 5 4" xfId="15197"/>
    <cellStyle name="20% - Accent4 4 3 2 5 4 2" xfId="15198"/>
    <cellStyle name="20% - Accent4 4 3 2 5 5" xfId="15199"/>
    <cellStyle name="20% - Accent4 4 3 2 5 6" xfId="15200"/>
    <cellStyle name="20% - Accent4 4 3 2 6" xfId="8927"/>
    <cellStyle name="20% - Accent4 4 3 2 6 2" xfId="15201"/>
    <cellStyle name="20% - Accent4 4 3 2 6 2 2" xfId="15202"/>
    <cellStyle name="20% - Accent4 4 3 2 6 2 3" xfId="15203"/>
    <cellStyle name="20% - Accent4 4 3 2 6 3" xfId="15204"/>
    <cellStyle name="20% - Accent4 4 3 2 6 3 2" xfId="15205"/>
    <cellStyle name="20% - Accent4 4 3 2 6 3 3" xfId="15206"/>
    <cellStyle name="20% - Accent4 4 3 2 6 4" xfId="15207"/>
    <cellStyle name="20% - Accent4 4 3 2 6 4 2" xfId="15208"/>
    <cellStyle name="20% - Accent4 4 3 2 6 5" xfId="15209"/>
    <cellStyle name="20% - Accent4 4 3 2 6 6" xfId="15210"/>
    <cellStyle name="20% - Accent4 4 3 2 7" xfId="15211"/>
    <cellStyle name="20% - Accent4 4 3 2 7 2" xfId="15212"/>
    <cellStyle name="20% - Accent4 4 3 2 7 2 2" xfId="15213"/>
    <cellStyle name="20% - Accent4 4 3 2 7 2 3" xfId="15214"/>
    <cellStyle name="20% - Accent4 4 3 2 7 3" xfId="15215"/>
    <cellStyle name="20% - Accent4 4 3 2 7 3 2" xfId="15216"/>
    <cellStyle name="20% - Accent4 4 3 2 7 4" xfId="15217"/>
    <cellStyle name="20% - Accent4 4 3 2 7 5" xfId="15218"/>
    <cellStyle name="20% - Accent4 4 3 2 8" xfId="15219"/>
    <cellStyle name="20% - Accent4 4 3 2 8 2" xfId="15220"/>
    <cellStyle name="20% - Accent4 4 3 2 8 3" xfId="15221"/>
    <cellStyle name="20% - Accent4 4 3 2 9" xfId="15222"/>
    <cellStyle name="20% - Accent4 4 3 2 9 2" xfId="15223"/>
    <cellStyle name="20% - Accent4 4 3 2 9 3" xfId="15224"/>
    <cellStyle name="20% - Accent4 4 3 3" xfId="882"/>
    <cellStyle name="20% - Accent4 4 3 3 10" xfId="15225"/>
    <cellStyle name="20% - Accent4 4 3 3 2" xfId="883"/>
    <cellStyle name="20% - Accent4 4 3 3 2 2" xfId="884"/>
    <cellStyle name="20% - Accent4 4 3 3 2 2 2" xfId="15226"/>
    <cellStyle name="20% - Accent4 4 3 3 2 2 2 2" xfId="15227"/>
    <cellStyle name="20% - Accent4 4 3 3 2 2 2 3" xfId="15228"/>
    <cellStyle name="20% - Accent4 4 3 3 2 2 3" xfId="15229"/>
    <cellStyle name="20% - Accent4 4 3 3 2 2 3 2" xfId="15230"/>
    <cellStyle name="20% - Accent4 4 3 3 2 2 3 3" xfId="15231"/>
    <cellStyle name="20% - Accent4 4 3 3 2 2 4" xfId="15232"/>
    <cellStyle name="20% - Accent4 4 3 3 2 2 4 2" xfId="15233"/>
    <cellStyle name="20% - Accent4 4 3 3 2 2 5" xfId="15234"/>
    <cellStyle name="20% - Accent4 4 3 3 2 2 6" xfId="15235"/>
    <cellStyle name="20% - Accent4 4 3 3 2 3" xfId="8928"/>
    <cellStyle name="20% - Accent4 4 3 3 2 3 2" xfId="15236"/>
    <cellStyle name="20% - Accent4 4 3 3 2 3 2 2" xfId="15237"/>
    <cellStyle name="20% - Accent4 4 3 3 2 3 2 3" xfId="15238"/>
    <cellStyle name="20% - Accent4 4 3 3 2 3 3" xfId="15239"/>
    <cellStyle name="20% - Accent4 4 3 3 2 3 3 2" xfId="15240"/>
    <cellStyle name="20% - Accent4 4 3 3 2 3 3 3" xfId="15241"/>
    <cellStyle name="20% - Accent4 4 3 3 2 3 4" xfId="15242"/>
    <cellStyle name="20% - Accent4 4 3 3 2 3 4 2" xfId="15243"/>
    <cellStyle name="20% - Accent4 4 3 3 2 3 5" xfId="15244"/>
    <cellStyle name="20% - Accent4 4 3 3 2 3 6" xfId="15245"/>
    <cellStyle name="20% - Accent4 4 3 3 2 4" xfId="15246"/>
    <cellStyle name="20% - Accent4 4 3 3 2 4 2" xfId="15247"/>
    <cellStyle name="20% - Accent4 4 3 3 2 4 2 2" xfId="15248"/>
    <cellStyle name="20% - Accent4 4 3 3 2 4 2 3" xfId="15249"/>
    <cellStyle name="20% - Accent4 4 3 3 2 4 3" xfId="15250"/>
    <cellStyle name="20% - Accent4 4 3 3 2 4 3 2" xfId="15251"/>
    <cellStyle name="20% - Accent4 4 3 3 2 4 4" xfId="15252"/>
    <cellStyle name="20% - Accent4 4 3 3 2 4 5" xfId="15253"/>
    <cellStyle name="20% - Accent4 4 3 3 2 5" xfId="15254"/>
    <cellStyle name="20% - Accent4 4 3 3 2 5 2" xfId="15255"/>
    <cellStyle name="20% - Accent4 4 3 3 2 5 3" xfId="15256"/>
    <cellStyle name="20% - Accent4 4 3 3 2 6" xfId="15257"/>
    <cellStyle name="20% - Accent4 4 3 3 2 6 2" xfId="15258"/>
    <cellStyle name="20% - Accent4 4 3 3 2 6 3" xfId="15259"/>
    <cellStyle name="20% - Accent4 4 3 3 2 7" xfId="15260"/>
    <cellStyle name="20% - Accent4 4 3 3 2 7 2" xfId="15261"/>
    <cellStyle name="20% - Accent4 4 3 3 2 8" xfId="15262"/>
    <cellStyle name="20% - Accent4 4 3 3 2 9" xfId="15263"/>
    <cellStyle name="20% - Accent4 4 3 3 3" xfId="885"/>
    <cellStyle name="20% - Accent4 4 3 3 3 2" xfId="15264"/>
    <cellStyle name="20% - Accent4 4 3 3 3 2 2" xfId="15265"/>
    <cellStyle name="20% - Accent4 4 3 3 3 2 3" xfId="15266"/>
    <cellStyle name="20% - Accent4 4 3 3 3 3" xfId="15267"/>
    <cellStyle name="20% - Accent4 4 3 3 3 3 2" xfId="15268"/>
    <cellStyle name="20% - Accent4 4 3 3 3 3 3" xfId="15269"/>
    <cellStyle name="20% - Accent4 4 3 3 3 4" xfId="15270"/>
    <cellStyle name="20% - Accent4 4 3 3 3 4 2" xfId="15271"/>
    <cellStyle name="20% - Accent4 4 3 3 3 5" xfId="15272"/>
    <cellStyle name="20% - Accent4 4 3 3 3 6" xfId="15273"/>
    <cellStyle name="20% - Accent4 4 3 3 4" xfId="886"/>
    <cellStyle name="20% - Accent4 4 3 3 4 2" xfId="15274"/>
    <cellStyle name="20% - Accent4 4 3 3 4 2 2" xfId="15275"/>
    <cellStyle name="20% - Accent4 4 3 3 4 2 3" xfId="15276"/>
    <cellStyle name="20% - Accent4 4 3 3 4 3" xfId="15277"/>
    <cellStyle name="20% - Accent4 4 3 3 4 3 2" xfId="15278"/>
    <cellStyle name="20% - Accent4 4 3 3 4 3 3" xfId="15279"/>
    <cellStyle name="20% - Accent4 4 3 3 4 4" xfId="15280"/>
    <cellStyle name="20% - Accent4 4 3 3 4 4 2" xfId="15281"/>
    <cellStyle name="20% - Accent4 4 3 3 4 5" xfId="15282"/>
    <cellStyle name="20% - Accent4 4 3 3 4 6" xfId="15283"/>
    <cellStyle name="20% - Accent4 4 3 3 5" xfId="8929"/>
    <cellStyle name="20% - Accent4 4 3 3 5 2" xfId="15284"/>
    <cellStyle name="20% - Accent4 4 3 3 5 2 2" xfId="15285"/>
    <cellStyle name="20% - Accent4 4 3 3 5 2 3" xfId="15286"/>
    <cellStyle name="20% - Accent4 4 3 3 5 3" xfId="15287"/>
    <cellStyle name="20% - Accent4 4 3 3 5 3 2" xfId="15288"/>
    <cellStyle name="20% - Accent4 4 3 3 5 4" xfId="15289"/>
    <cellStyle name="20% - Accent4 4 3 3 5 5" xfId="15290"/>
    <cellStyle name="20% - Accent4 4 3 3 6" xfId="15291"/>
    <cellStyle name="20% - Accent4 4 3 3 6 2" xfId="15292"/>
    <cellStyle name="20% - Accent4 4 3 3 6 3" xfId="15293"/>
    <cellStyle name="20% - Accent4 4 3 3 7" xfId="15294"/>
    <cellStyle name="20% - Accent4 4 3 3 7 2" xfId="15295"/>
    <cellStyle name="20% - Accent4 4 3 3 7 3" xfId="15296"/>
    <cellStyle name="20% - Accent4 4 3 3 8" xfId="15297"/>
    <cellStyle name="20% - Accent4 4 3 3 8 2" xfId="15298"/>
    <cellStyle name="20% - Accent4 4 3 3 9" xfId="15299"/>
    <cellStyle name="20% - Accent4 4 3 4" xfId="887"/>
    <cellStyle name="20% - Accent4 4 3 4 2" xfId="888"/>
    <cellStyle name="20% - Accent4 4 3 4 2 2" xfId="15300"/>
    <cellStyle name="20% - Accent4 4 3 4 2 2 2" xfId="15301"/>
    <cellStyle name="20% - Accent4 4 3 4 2 2 3" xfId="15302"/>
    <cellStyle name="20% - Accent4 4 3 4 2 3" xfId="15303"/>
    <cellStyle name="20% - Accent4 4 3 4 2 3 2" xfId="15304"/>
    <cellStyle name="20% - Accent4 4 3 4 2 3 3" xfId="15305"/>
    <cellStyle name="20% - Accent4 4 3 4 2 4" xfId="15306"/>
    <cellStyle name="20% - Accent4 4 3 4 2 4 2" xfId="15307"/>
    <cellStyle name="20% - Accent4 4 3 4 2 5" xfId="15308"/>
    <cellStyle name="20% - Accent4 4 3 4 2 6" xfId="15309"/>
    <cellStyle name="20% - Accent4 4 3 4 3" xfId="8930"/>
    <cellStyle name="20% - Accent4 4 3 4 3 2" xfId="15310"/>
    <cellStyle name="20% - Accent4 4 3 4 3 2 2" xfId="15311"/>
    <cellStyle name="20% - Accent4 4 3 4 3 2 3" xfId="15312"/>
    <cellStyle name="20% - Accent4 4 3 4 3 3" xfId="15313"/>
    <cellStyle name="20% - Accent4 4 3 4 3 3 2" xfId="15314"/>
    <cellStyle name="20% - Accent4 4 3 4 3 3 3" xfId="15315"/>
    <cellStyle name="20% - Accent4 4 3 4 3 4" xfId="15316"/>
    <cellStyle name="20% - Accent4 4 3 4 3 4 2" xfId="15317"/>
    <cellStyle name="20% - Accent4 4 3 4 3 5" xfId="15318"/>
    <cellStyle name="20% - Accent4 4 3 4 3 6" xfId="15319"/>
    <cellStyle name="20% - Accent4 4 3 4 4" xfId="15320"/>
    <cellStyle name="20% - Accent4 4 3 4 4 2" xfId="15321"/>
    <cellStyle name="20% - Accent4 4 3 4 4 2 2" xfId="15322"/>
    <cellStyle name="20% - Accent4 4 3 4 4 2 3" xfId="15323"/>
    <cellStyle name="20% - Accent4 4 3 4 4 3" xfId="15324"/>
    <cellStyle name="20% - Accent4 4 3 4 4 3 2" xfId="15325"/>
    <cellStyle name="20% - Accent4 4 3 4 4 4" xfId="15326"/>
    <cellStyle name="20% - Accent4 4 3 4 4 5" xfId="15327"/>
    <cellStyle name="20% - Accent4 4 3 4 5" xfId="15328"/>
    <cellStyle name="20% - Accent4 4 3 4 5 2" xfId="15329"/>
    <cellStyle name="20% - Accent4 4 3 4 5 3" xfId="15330"/>
    <cellStyle name="20% - Accent4 4 3 4 6" xfId="15331"/>
    <cellStyle name="20% - Accent4 4 3 4 6 2" xfId="15332"/>
    <cellStyle name="20% - Accent4 4 3 4 6 3" xfId="15333"/>
    <cellStyle name="20% - Accent4 4 3 4 7" xfId="15334"/>
    <cellStyle name="20% - Accent4 4 3 4 7 2" xfId="15335"/>
    <cellStyle name="20% - Accent4 4 3 4 8" xfId="15336"/>
    <cellStyle name="20% - Accent4 4 3 4 9" xfId="15337"/>
    <cellStyle name="20% - Accent4 4 3 5" xfId="889"/>
    <cellStyle name="20% - Accent4 4 3 5 2" xfId="15338"/>
    <cellStyle name="20% - Accent4 4 3 5 2 2" xfId="15339"/>
    <cellStyle name="20% - Accent4 4 3 5 2 2 2" xfId="15340"/>
    <cellStyle name="20% - Accent4 4 3 5 2 2 3" xfId="15341"/>
    <cellStyle name="20% - Accent4 4 3 5 2 3" xfId="15342"/>
    <cellStyle name="20% - Accent4 4 3 5 2 3 2" xfId="15343"/>
    <cellStyle name="20% - Accent4 4 3 5 2 3 3" xfId="15344"/>
    <cellStyle name="20% - Accent4 4 3 5 2 4" xfId="15345"/>
    <cellStyle name="20% - Accent4 4 3 5 2 4 2" xfId="15346"/>
    <cellStyle name="20% - Accent4 4 3 5 2 5" xfId="15347"/>
    <cellStyle name="20% - Accent4 4 3 5 2 6" xfId="15348"/>
    <cellStyle name="20% - Accent4 4 3 5 3" xfId="15349"/>
    <cellStyle name="20% - Accent4 4 3 5 3 2" xfId="15350"/>
    <cellStyle name="20% - Accent4 4 3 5 3 2 2" xfId="15351"/>
    <cellStyle name="20% - Accent4 4 3 5 3 2 3" xfId="15352"/>
    <cellStyle name="20% - Accent4 4 3 5 3 3" xfId="15353"/>
    <cellStyle name="20% - Accent4 4 3 5 3 3 2" xfId="15354"/>
    <cellStyle name="20% - Accent4 4 3 5 3 3 3" xfId="15355"/>
    <cellStyle name="20% - Accent4 4 3 5 3 4" xfId="15356"/>
    <cellStyle name="20% - Accent4 4 3 5 3 4 2" xfId="15357"/>
    <cellStyle name="20% - Accent4 4 3 5 3 5" xfId="15358"/>
    <cellStyle name="20% - Accent4 4 3 5 3 6" xfId="15359"/>
    <cellStyle name="20% - Accent4 4 3 5 4" xfId="15360"/>
    <cellStyle name="20% - Accent4 4 3 5 4 2" xfId="15361"/>
    <cellStyle name="20% - Accent4 4 3 5 4 2 2" xfId="15362"/>
    <cellStyle name="20% - Accent4 4 3 5 4 2 3" xfId="15363"/>
    <cellStyle name="20% - Accent4 4 3 5 4 3" xfId="15364"/>
    <cellStyle name="20% - Accent4 4 3 5 4 3 2" xfId="15365"/>
    <cellStyle name="20% - Accent4 4 3 5 4 4" xfId="15366"/>
    <cellStyle name="20% - Accent4 4 3 5 4 5" xfId="15367"/>
    <cellStyle name="20% - Accent4 4 3 5 5" xfId="15368"/>
    <cellStyle name="20% - Accent4 4 3 5 5 2" xfId="15369"/>
    <cellStyle name="20% - Accent4 4 3 5 5 3" xfId="15370"/>
    <cellStyle name="20% - Accent4 4 3 5 6" xfId="15371"/>
    <cellStyle name="20% - Accent4 4 3 5 6 2" xfId="15372"/>
    <cellStyle name="20% - Accent4 4 3 5 6 3" xfId="15373"/>
    <cellStyle name="20% - Accent4 4 3 5 7" xfId="15374"/>
    <cellStyle name="20% - Accent4 4 3 5 7 2" xfId="15375"/>
    <cellStyle name="20% - Accent4 4 3 5 8" xfId="15376"/>
    <cellStyle name="20% - Accent4 4 3 5 9" xfId="15377"/>
    <cellStyle name="20% - Accent4 4 3 6" xfId="890"/>
    <cellStyle name="20% - Accent4 4 3 6 2" xfId="15378"/>
    <cellStyle name="20% - Accent4 4 3 6 2 2" xfId="15379"/>
    <cellStyle name="20% - Accent4 4 3 6 2 3" xfId="15380"/>
    <cellStyle name="20% - Accent4 4 3 6 3" xfId="15381"/>
    <cellStyle name="20% - Accent4 4 3 6 3 2" xfId="15382"/>
    <cellStyle name="20% - Accent4 4 3 6 3 3" xfId="15383"/>
    <cellStyle name="20% - Accent4 4 3 6 4" xfId="15384"/>
    <cellStyle name="20% - Accent4 4 3 6 4 2" xfId="15385"/>
    <cellStyle name="20% - Accent4 4 3 6 5" xfId="15386"/>
    <cellStyle name="20% - Accent4 4 3 6 6" xfId="15387"/>
    <cellStyle name="20% - Accent4 4 3 7" xfId="8931"/>
    <cellStyle name="20% - Accent4 4 3 7 2" xfId="15388"/>
    <cellStyle name="20% - Accent4 4 3 7 2 2" xfId="15389"/>
    <cellStyle name="20% - Accent4 4 3 7 2 3" xfId="15390"/>
    <cellStyle name="20% - Accent4 4 3 7 3" xfId="15391"/>
    <cellStyle name="20% - Accent4 4 3 7 3 2" xfId="15392"/>
    <cellStyle name="20% - Accent4 4 3 7 3 3" xfId="15393"/>
    <cellStyle name="20% - Accent4 4 3 7 4" xfId="15394"/>
    <cellStyle name="20% - Accent4 4 3 7 4 2" xfId="15395"/>
    <cellStyle name="20% - Accent4 4 3 7 5" xfId="15396"/>
    <cellStyle name="20% - Accent4 4 3 7 6" xfId="15397"/>
    <cellStyle name="20% - Accent4 4 3 8" xfId="15398"/>
    <cellStyle name="20% - Accent4 4 3 8 2" xfId="15399"/>
    <cellStyle name="20% - Accent4 4 3 8 2 2" xfId="15400"/>
    <cellStyle name="20% - Accent4 4 3 8 2 3" xfId="15401"/>
    <cellStyle name="20% - Accent4 4 3 8 3" xfId="15402"/>
    <cellStyle name="20% - Accent4 4 3 8 3 2" xfId="15403"/>
    <cellStyle name="20% - Accent4 4 3 8 4" xfId="15404"/>
    <cellStyle name="20% - Accent4 4 3 8 5" xfId="15405"/>
    <cellStyle name="20% - Accent4 4 3 9" xfId="15406"/>
    <cellStyle name="20% - Accent4 4 3 9 2" xfId="15407"/>
    <cellStyle name="20% - Accent4 4 3 9 3" xfId="15408"/>
    <cellStyle name="20% - Accent4 4 4" xfId="891"/>
    <cellStyle name="20% - Accent4 4 4 10" xfId="15409"/>
    <cellStyle name="20% - Accent4 4 4 10 2" xfId="15410"/>
    <cellStyle name="20% - Accent4 4 4 11" xfId="15411"/>
    <cellStyle name="20% - Accent4 4 4 12" xfId="15412"/>
    <cellStyle name="20% - Accent4 4 4 2" xfId="892"/>
    <cellStyle name="20% - Accent4 4 4 2 10" xfId="15413"/>
    <cellStyle name="20% - Accent4 4 4 2 2" xfId="893"/>
    <cellStyle name="20% - Accent4 4 4 2 2 2" xfId="894"/>
    <cellStyle name="20% - Accent4 4 4 2 2 2 2" xfId="8932"/>
    <cellStyle name="20% - Accent4 4 4 2 2 2 2 2" xfId="15414"/>
    <cellStyle name="20% - Accent4 4 4 2 2 2 2 3" xfId="15415"/>
    <cellStyle name="20% - Accent4 4 4 2 2 2 3" xfId="15416"/>
    <cellStyle name="20% - Accent4 4 4 2 2 2 3 2" xfId="15417"/>
    <cellStyle name="20% - Accent4 4 4 2 2 2 3 3" xfId="15418"/>
    <cellStyle name="20% - Accent4 4 4 2 2 2 4" xfId="15419"/>
    <cellStyle name="20% - Accent4 4 4 2 2 2 4 2" xfId="15420"/>
    <cellStyle name="20% - Accent4 4 4 2 2 2 5" xfId="15421"/>
    <cellStyle name="20% - Accent4 4 4 2 2 2 6" xfId="15422"/>
    <cellStyle name="20% - Accent4 4 4 2 2 3" xfId="895"/>
    <cellStyle name="20% - Accent4 4 4 2 2 3 2" xfId="15423"/>
    <cellStyle name="20% - Accent4 4 4 2 2 3 2 2" xfId="15424"/>
    <cellStyle name="20% - Accent4 4 4 2 2 3 2 3" xfId="15425"/>
    <cellStyle name="20% - Accent4 4 4 2 2 3 3" xfId="15426"/>
    <cellStyle name="20% - Accent4 4 4 2 2 3 3 2" xfId="15427"/>
    <cellStyle name="20% - Accent4 4 4 2 2 3 3 3" xfId="15428"/>
    <cellStyle name="20% - Accent4 4 4 2 2 3 4" xfId="15429"/>
    <cellStyle name="20% - Accent4 4 4 2 2 3 4 2" xfId="15430"/>
    <cellStyle name="20% - Accent4 4 4 2 2 3 5" xfId="15431"/>
    <cellStyle name="20% - Accent4 4 4 2 2 3 6" xfId="15432"/>
    <cellStyle name="20% - Accent4 4 4 2 2 4" xfId="8933"/>
    <cellStyle name="20% - Accent4 4 4 2 2 4 2" xfId="15433"/>
    <cellStyle name="20% - Accent4 4 4 2 2 4 2 2" xfId="15434"/>
    <cellStyle name="20% - Accent4 4 4 2 2 4 2 3" xfId="15435"/>
    <cellStyle name="20% - Accent4 4 4 2 2 4 3" xfId="15436"/>
    <cellStyle name="20% - Accent4 4 4 2 2 4 3 2" xfId="15437"/>
    <cellStyle name="20% - Accent4 4 4 2 2 4 4" xfId="15438"/>
    <cellStyle name="20% - Accent4 4 4 2 2 4 5" xfId="15439"/>
    <cellStyle name="20% - Accent4 4 4 2 2 5" xfId="15440"/>
    <cellStyle name="20% - Accent4 4 4 2 2 5 2" xfId="15441"/>
    <cellStyle name="20% - Accent4 4 4 2 2 5 3" xfId="15442"/>
    <cellStyle name="20% - Accent4 4 4 2 2 6" xfId="15443"/>
    <cellStyle name="20% - Accent4 4 4 2 2 6 2" xfId="15444"/>
    <cellStyle name="20% - Accent4 4 4 2 2 6 3" xfId="15445"/>
    <cellStyle name="20% - Accent4 4 4 2 2 7" xfId="15446"/>
    <cellStyle name="20% - Accent4 4 4 2 2 7 2" xfId="15447"/>
    <cellStyle name="20% - Accent4 4 4 2 2 8" xfId="15448"/>
    <cellStyle name="20% - Accent4 4 4 2 2 9" xfId="15449"/>
    <cellStyle name="20% - Accent4 4 4 2 3" xfId="896"/>
    <cellStyle name="20% - Accent4 4 4 2 3 2" xfId="8934"/>
    <cellStyle name="20% - Accent4 4 4 2 3 2 2" xfId="15450"/>
    <cellStyle name="20% - Accent4 4 4 2 3 2 3" xfId="15451"/>
    <cellStyle name="20% - Accent4 4 4 2 3 3" xfId="15452"/>
    <cellStyle name="20% - Accent4 4 4 2 3 3 2" xfId="15453"/>
    <cellStyle name="20% - Accent4 4 4 2 3 3 3" xfId="15454"/>
    <cellStyle name="20% - Accent4 4 4 2 3 4" xfId="15455"/>
    <cellStyle name="20% - Accent4 4 4 2 3 4 2" xfId="15456"/>
    <cellStyle name="20% - Accent4 4 4 2 3 5" xfId="15457"/>
    <cellStyle name="20% - Accent4 4 4 2 3 6" xfId="15458"/>
    <cellStyle name="20% - Accent4 4 4 2 4" xfId="897"/>
    <cellStyle name="20% - Accent4 4 4 2 4 2" xfId="15459"/>
    <cellStyle name="20% - Accent4 4 4 2 4 2 2" xfId="15460"/>
    <cellStyle name="20% - Accent4 4 4 2 4 2 3" xfId="15461"/>
    <cellStyle name="20% - Accent4 4 4 2 4 3" xfId="15462"/>
    <cellStyle name="20% - Accent4 4 4 2 4 3 2" xfId="15463"/>
    <cellStyle name="20% - Accent4 4 4 2 4 3 3" xfId="15464"/>
    <cellStyle name="20% - Accent4 4 4 2 4 4" xfId="15465"/>
    <cellStyle name="20% - Accent4 4 4 2 4 4 2" xfId="15466"/>
    <cellStyle name="20% - Accent4 4 4 2 4 5" xfId="15467"/>
    <cellStyle name="20% - Accent4 4 4 2 4 6" xfId="15468"/>
    <cellStyle name="20% - Accent4 4 4 2 5" xfId="8935"/>
    <cellStyle name="20% - Accent4 4 4 2 5 2" xfId="15469"/>
    <cellStyle name="20% - Accent4 4 4 2 5 2 2" xfId="15470"/>
    <cellStyle name="20% - Accent4 4 4 2 5 2 3" xfId="15471"/>
    <cellStyle name="20% - Accent4 4 4 2 5 3" xfId="15472"/>
    <cellStyle name="20% - Accent4 4 4 2 5 3 2" xfId="15473"/>
    <cellStyle name="20% - Accent4 4 4 2 5 4" xfId="15474"/>
    <cellStyle name="20% - Accent4 4 4 2 5 5" xfId="15475"/>
    <cellStyle name="20% - Accent4 4 4 2 6" xfId="15476"/>
    <cellStyle name="20% - Accent4 4 4 2 6 2" xfId="15477"/>
    <cellStyle name="20% - Accent4 4 4 2 6 3" xfId="15478"/>
    <cellStyle name="20% - Accent4 4 4 2 7" xfId="15479"/>
    <cellStyle name="20% - Accent4 4 4 2 7 2" xfId="15480"/>
    <cellStyle name="20% - Accent4 4 4 2 7 3" xfId="15481"/>
    <cellStyle name="20% - Accent4 4 4 2 8" xfId="15482"/>
    <cellStyle name="20% - Accent4 4 4 2 8 2" xfId="15483"/>
    <cellStyle name="20% - Accent4 4 4 2 9" xfId="15484"/>
    <cellStyle name="20% - Accent4 4 4 3" xfId="898"/>
    <cellStyle name="20% - Accent4 4 4 3 2" xfId="899"/>
    <cellStyle name="20% - Accent4 4 4 3 2 2" xfId="8936"/>
    <cellStyle name="20% - Accent4 4 4 3 2 2 2" xfId="15485"/>
    <cellStyle name="20% - Accent4 4 4 3 2 2 3" xfId="15486"/>
    <cellStyle name="20% - Accent4 4 4 3 2 3" xfId="15487"/>
    <cellStyle name="20% - Accent4 4 4 3 2 3 2" xfId="15488"/>
    <cellStyle name="20% - Accent4 4 4 3 2 3 3" xfId="15489"/>
    <cellStyle name="20% - Accent4 4 4 3 2 4" xfId="15490"/>
    <cellStyle name="20% - Accent4 4 4 3 2 4 2" xfId="15491"/>
    <cellStyle name="20% - Accent4 4 4 3 2 5" xfId="15492"/>
    <cellStyle name="20% - Accent4 4 4 3 2 6" xfId="15493"/>
    <cellStyle name="20% - Accent4 4 4 3 3" xfId="900"/>
    <cellStyle name="20% - Accent4 4 4 3 3 2" xfId="15494"/>
    <cellStyle name="20% - Accent4 4 4 3 3 2 2" xfId="15495"/>
    <cellStyle name="20% - Accent4 4 4 3 3 2 3" xfId="15496"/>
    <cellStyle name="20% - Accent4 4 4 3 3 3" xfId="15497"/>
    <cellStyle name="20% - Accent4 4 4 3 3 3 2" xfId="15498"/>
    <cellStyle name="20% - Accent4 4 4 3 3 3 3" xfId="15499"/>
    <cellStyle name="20% - Accent4 4 4 3 3 4" xfId="15500"/>
    <cellStyle name="20% - Accent4 4 4 3 3 4 2" xfId="15501"/>
    <cellStyle name="20% - Accent4 4 4 3 3 5" xfId="15502"/>
    <cellStyle name="20% - Accent4 4 4 3 3 6" xfId="15503"/>
    <cellStyle name="20% - Accent4 4 4 3 4" xfId="8937"/>
    <cellStyle name="20% - Accent4 4 4 3 4 2" xfId="15504"/>
    <cellStyle name="20% - Accent4 4 4 3 4 2 2" xfId="15505"/>
    <cellStyle name="20% - Accent4 4 4 3 4 2 3" xfId="15506"/>
    <cellStyle name="20% - Accent4 4 4 3 4 3" xfId="15507"/>
    <cellStyle name="20% - Accent4 4 4 3 4 3 2" xfId="15508"/>
    <cellStyle name="20% - Accent4 4 4 3 4 4" xfId="15509"/>
    <cellStyle name="20% - Accent4 4 4 3 4 5" xfId="15510"/>
    <cellStyle name="20% - Accent4 4 4 3 5" xfId="15511"/>
    <cellStyle name="20% - Accent4 4 4 3 5 2" xfId="15512"/>
    <cellStyle name="20% - Accent4 4 4 3 5 3" xfId="15513"/>
    <cellStyle name="20% - Accent4 4 4 3 6" xfId="15514"/>
    <cellStyle name="20% - Accent4 4 4 3 6 2" xfId="15515"/>
    <cellStyle name="20% - Accent4 4 4 3 6 3" xfId="15516"/>
    <cellStyle name="20% - Accent4 4 4 3 7" xfId="15517"/>
    <cellStyle name="20% - Accent4 4 4 3 7 2" xfId="15518"/>
    <cellStyle name="20% - Accent4 4 4 3 8" xfId="15519"/>
    <cellStyle name="20% - Accent4 4 4 3 9" xfId="15520"/>
    <cellStyle name="20% - Accent4 4 4 4" xfId="901"/>
    <cellStyle name="20% - Accent4 4 4 4 2" xfId="8938"/>
    <cellStyle name="20% - Accent4 4 4 4 2 2" xfId="15521"/>
    <cellStyle name="20% - Accent4 4 4 4 2 2 2" xfId="15522"/>
    <cellStyle name="20% - Accent4 4 4 4 2 2 3" xfId="15523"/>
    <cellStyle name="20% - Accent4 4 4 4 2 3" xfId="15524"/>
    <cellStyle name="20% - Accent4 4 4 4 2 3 2" xfId="15525"/>
    <cellStyle name="20% - Accent4 4 4 4 2 3 3" xfId="15526"/>
    <cellStyle name="20% - Accent4 4 4 4 2 4" xfId="15527"/>
    <cellStyle name="20% - Accent4 4 4 4 2 4 2" xfId="15528"/>
    <cellStyle name="20% - Accent4 4 4 4 2 5" xfId="15529"/>
    <cellStyle name="20% - Accent4 4 4 4 2 6" xfId="15530"/>
    <cellStyle name="20% - Accent4 4 4 4 3" xfId="15531"/>
    <cellStyle name="20% - Accent4 4 4 4 3 2" xfId="15532"/>
    <cellStyle name="20% - Accent4 4 4 4 3 2 2" xfId="15533"/>
    <cellStyle name="20% - Accent4 4 4 4 3 2 3" xfId="15534"/>
    <cellStyle name="20% - Accent4 4 4 4 3 3" xfId="15535"/>
    <cellStyle name="20% - Accent4 4 4 4 3 3 2" xfId="15536"/>
    <cellStyle name="20% - Accent4 4 4 4 3 3 3" xfId="15537"/>
    <cellStyle name="20% - Accent4 4 4 4 3 4" xfId="15538"/>
    <cellStyle name="20% - Accent4 4 4 4 3 4 2" xfId="15539"/>
    <cellStyle name="20% - Accent4 4 4 4 3 5" xfId="15540"/>
    <cellStyle name="20% - Accent4 4 4 4 3 6" xfId="15541"/>
    <cellStyle name="20% - Accent4 4 4 4 4" xfId="15542"/>
    <cellStyle name="20% - Accent4 4 4 4 4 2" xfId="15543"/>
    <cellStyle name="20% - Accent4 4 4 4 4 2 2" xfId="15544"/>
    <cellStyle name="20% - Accent4 4 4 4 4 2 3" xfId="15545"/>
    <cellStyle name="20% - Accent4 4 4 4 4 3" xfId="15546"/>
    <cellStyle name="20% - Accent4 4 4 4 4 3 2" xfId="15547"/>
    <cellStyle name="20% - Accent4 4 4 4 4 4" xfId="15548"/>
    <cellStyle name="20% - Accent4 4 4 4 4 5" xfId="15549"/>
    <cellStyle name="20% - Accent4 4 4 4 5" xfId="15550"/>
    <cellStyle name="20% - Accent4 4 4 4 5 2" xfId="15551"/>
    <cellStyle name="20% - Accent4 4 4 4 5 3" xfId="15552"/>
    <cellStyle name="20% - Accent4 4 4 4 6" xfId="15553"/>
    <cellStyle name="20% - Accent4 4 4 4 6 2" xfId="15554"/>
    <cellStyle name="20% - Accent4 4 4 4 6 3" xfId="15555"/>
    <cellStyle name="20% - Accent4 4 4 4 7" xfId="15556"/>
    <cellStyle name="20% - Accent4 4 4 4 7 2" xfId="15557"/>
    <cellStyle name="20% - Accent4 4 4 4 8" xfId="15558"/>
    <cellStyle name="20% - Accent4 4 4 4 9" xfId="15559"/>
    <cellStyle name="20% - Accent4 4 4 5" xfId="902"/>
    <cellStyle name="20% - Accent4 4 4 5 2" xfId="15560"/>
    <cellStyle name="20% - Accent4 4 4 5 2 2" xfId="15561"/>
    <cellStyle name="20% - Accent4 4 4 5 2 3" xfId="15562"/>
    <cellStyle name="20% - Accent4 4 4 5 3" xfId="15563"/>
    <cellStyle name="20% - Accent4 4 4 5 3 2" xfId="15564"/>
    <cellStyle name="20% - Accent4 4 4 5 3 3" xfId="15565"/>
    <cellStyle name="20% - Accent4 4 4 5 4" xfId="15566"/>
    <cellStyle name="20% - Accent4 4 4 5 4 2" xfId="15567"/>
    <cellStyle name="20% - Accent4 4 4 5 5" xfId="15568"/>
    <cellStyle name="20% - Accent4 4 4 5 6" xfId="15569"/>
    <cellStyle name="20% - Accent4 4 4 6" xfId="8939"/>
    <cellStyle name="20% - Accent4 4 4 6 2" xfId="15570"/>
    <cellStyle name="20% - Accent4 4 4 6 2 2" xfId="15571"/>
    <cellStyle name="20% - Accent4 4 4 6 2 3" xfId="15572"/>
    <cellStyle name="20% - Accent4 4 4 6 3" xfId="15573"/>
    <cellStyle name="20% - Accent4 4 4 6 3 2" xfId="15574"/>
    <cellStyle name="20% - Accent4 4 4 6 3 3" xfId="15575"/>
    <cellStyle name="20% - Accent4 4 4 6 4" xfId="15576"/>
    <cellStyle name="20% - Accent4 4 4 6 4 2" xfId="15577"/>
    <cellStyle name="20% - Accent4 4 4 6 5" xfId="15578"/>
    <cellStyle name="20% - Accent4 4 4 6 6" xfId="15579"/>
    <cellStyle name="20% - Accent4 4 4 7" xfId="15580"/>
    <cellStyle name="20% - Accent4 4 4 7 2" xfId="15581"/>
    <cellStyle name="20% - Accent4 4 4 7 2 2" xfId="15582"/>
    <cellStyle name="20% - Accent4 4 4 7 2 3" xfId="15583"/>
    <cellStyle name="20% - Accent4 4 4 7 3" xfId="15584"/>
    <cellStyle name="20% - Accent4 4 4 7 3 2" xfId="15585"/>
    <cellStyle name="20% - Accent4 4 4 7 4" xfId="15586"/>
    <cellStyle name="20% - Accent4 4 4 7 5" xfId="15587"/>
    <cellStyle name="20% - Accent4 4 4 8" xfId="15588"/>
    <cellStyle name="20% - Accent4 4 4 8 2" xfId="15589"/>
    <cellStyle name="20% - Accent4 4 4 8 3" xfId="15590"/>
    <cellStyle name="20% - Accent4 4 4 9" xfId="15591"/>
    <cellStyle name="20% - Accent4 4 4 9 2" xfId="15592"/>
    <cellStyle name="20% - Accent4 4 4 9 3" xfId="15593"/>
    <cellStyle name="20% - Accent4 4 5" xfId="903"/>
    <cellStyle name="20% - Accent4 4 5 10" xfId="15594"/>
    <cellStyle name="20% - Accent4 4 5 2" xfId="904"/>
    <cellStyle name="20% - Accent4 4 5 2 2" xfId="905"/>
    <cellStyle name="20% - Accent4 4 5 2 2 2" xfId="8940"/>
    <cellStyle name="20% - Accent4 4 5 2 2 2 2" xfId="15595"/>
    <cellStyle name="20% - Accent4 4 5 2 2 2 3" xfId="15596"/>
    <cellStyle name="20% - Accent4 4 5 2 2 3" xfId="15597"/>
    <cellStyle name="20% - Accent4 4 5 2 2 3 2" xfId="15598"/>
    <cellStyle name="20% - Accent4 4 5 2 2 3 3" xfId="15599"/>
    <cellStyle name="20% - Accent4 4 5 2 2 4" xfId="15600"/>
    <cellStyle name="20% - Accent4 4 5 2 2 4 2" xfId="15601"/>
    <cellStyle name="20% - Accent4 4 5 2 2 5" xfId="15602"/>
    <cellStyle name="20% - Accent4 4 5 2 2 6" xfId="15603"/>
    <cellStyle name="20% - Accent4 4 5 2 3" xfId="906"/>
    <cellStyle name="20% - Accent4 4 5 2 3 2" xfId="15604"/>
    <cellStyle name="20% - Accent4 4 5 2 3 2 2" xfId="15605"/>
    <cellStyle name="20% - Accent4 4 5 2 3 2 3" xfId="15606"/>
    <cellStyle name="20% - Accent4 4 5 2 3 3" xfId="15607"/>
    <cellStyle name="20% - Accent4 4 5 2 3 3 2" xfId="15608"/>
    <cellStyle name="20% - Accent4 4 5 2 3 3 3" xfId="15609"/>
    <cellStyle name="20% - Accent4 4 5 2 3 4" xfId="15610"/>
    <cellStyle name="20% - Accent4 4 5 2 3 4 2" xfId="15611"/>
    <cellStyle name="20% - Accent4 4 5 2 3 5" xfId="15612"/>
    <cellStyle name="20% - Accent4 4 5 2 3 6" xfId="15613"/>
    <cellStyle name="20% - Accent4 4 5 2 4" xfId="8941"/>
    <cellStyle name="20% - Accent4 4 5 2 4 2" xfId="15614"/>
    <cellStyle name="20% - Accent4 4 5 2 4 2 2" xfId="15615"/>
    <cellStyle name="20% - Accent4 4 5 2 4 2 3" xfId="15616"/>
    <cellStyle name="20% - Accent4 4 5 2 4 3" xfId="15617"/>
    <cellStyle name="20% - Accent4 4 5 2 4 3 2" xfId="15618"/>
    <cellStyle name="20% - Accent4 4 5 2 4 4" xfId="15619"/>
    <cellStyle name="20% - Accent4 4 5 2 4 5" xfId="15620"/>
    <cellStyle name="20% - Accent4 4 5 2 5" xfId="15621"/>
    <cellStyle name="20% - Accent4 4 5 2 5 2" xfId="15622"/>
    <cellStyle name="20% - Accent4 4 5 2 5 3" xfId="15623"/>
    <cellStyle name="20% - Accent4 4 5 2 6" xfId="15624"/>
    <cellStyle name="20% - Accent4 4 5 2 6 2" xfId="15625"/>
    <cellStyle name="20% - Accent4 4 5 2 6 3" xfId="15626"/>
    <cellStyle name="20% - Accent4 4 5 2 7" xfId="15627"/>
    <cellStyle name="20% - Accent4 4 5 2 7 2" xfId="15628"/>
    <cellStyle name="20% - Accent4 4 5 2 8" xfId="15629"/>
    <cellStyle name="20% - Accent4 4 5 2 9" xfId="15630"/>
    <cellStyle name="20% - Accent4 4 5 3" xfId="907"/>
    <cellStyle name="20% - Accent4 4 5 3 2" xfId="8942"/>
    <cellStyle name="20% - Accent4 4 5 3 2 2" xfId="15631"/>
    <cellStyle name="20% - Accent4 4 5 3 2 3" xfId="15632"/>
    <cellStyle name="20% - Accent4 4 5 3 3" xfId="15633"/>
    <cellStyle name="20% - Accent4 4 5 3 3 2" xfId="15634"/>
    <cellStyle name="20% - Accent4 4 5 3 3 3" xfId="15635"/>
    <cellStyle name="20% - Accent4 4 5 3 4" xfId="15636"/>
    <cellStyle name="20% - Accent4 4 5 3 4 2" xfId="15637"/>
    <cellStyle name="20% - Accent4 4 5 3 5" xfId="15638"/>
    <cellStyle name="20% - Accent4 4 5 3 6" xfId="15639"/>
    <cellStyle name="20% - Accent4 4 5 4" xfId="908"/>
    <cellStyle name="20% - Accent4 4 5 4 2" xfId="15640"/>
    <cellStyle name="20% - Accent4 4 5 4 2 2" xfId="15641"/>
    <cellStyle name="20% - Accent4 4 5 4 2 3" xfId="15642"/>
    <cellStyle name="20% - Accent4 4 5 4 3" xfId="15643"/>
    <cellStyle name="20% - Accent4 4 5 4 3 2" xfId="15644"/>
    <cellStyle name="20% - Accent4 4 5 4 3 3" xfId="15645"/>
    <cellStyle name="20% - Accent4 4 5 4 4" xfId="15646"/>
    <cellStyle name="20% - Accent4 4 5 4 4 2" xfId="15647"/>
    <cellStyle name="20% - Accent4 4 5 4 5" xfId="15648"/>
    <cellStyle name="20% - Accent4 4 5 4 6" xfId="15649"/>
    <cellStyle name="20% - Accent4 4 5 5" xfId="8943"/>
    <cellStyle name="20% - Accent4 4 5 5 2" xfId="15650"/>
    <cellStyle name="20% - Accent4 4 5 5 2 2" xfId="15651"/>
    <cellStyle name="20% - Accent4 4 5 5 2 3" xfId="15652"/>
    <cellStyle name="20% - Accent4 4 5 5 3" xfId="15653"/>
    <cellStyle name="20% - Accent4 4 5 5 3 2" xfId="15654"/>
    <cellStyle name="20% - Accent4 4 5 5 4" xfId="15655"/>
    <cellStyle name="20% - Accent4 4 5 5 5" xfId="15656"/>
    <cellStyle name="20% - Accent4 4 5 6" xfId="15657"/>
    <cellStyle name="20% - Accent4 4 5 6 2" xfId="15658"/>
    <cellStyle name="20% - Accent4 4 5 6 3" xfId="15659"/>
    <cellStyle name="20% - Accent4 4 5 7" xfId="15660"/>
    <cellStyle name="20% - Accent4 4 5 7 2" xfId="15661"/>
    <cellStyle name="20% - Accent4 4 5 7 3" xfId="15662"/>
    <cellStyle name="20% - Accent4 4 5 8" xfId="15663"/>
    <cellStyle name="20% - Accent4 4 5 8 2" xfId="15664"/>
    <cellStyle name="20% - Accent4 4 5 9" xfId="15665"/>
    <cellStyle name="20% - Accent4 4 6" xfId="909"/>
    <cellStyle name="20% - Accent4 4 6 2" xfId="910"/>
    <cellStyle name="20% - Accent4 4 6 2 2" xfId="8944"/>
    <cellStyle name="20% - Accent4 4 6 2 2 2" xfId="15666"/>
    <cellStyle name="20% - Accent4 4 6 2 2 3" xfId="15667"/>
    <cellStyle name="20% - Accent4 4 6 2 3" xfId="15668"/>
    <cellStyle name="20% - Accent4 4 6 2 3 2" xfId="15669"/>
    <cellStyle name="20% - Accent4 4 6 2 3 3" xfId="15670"/>
    <cellStyle name="20% - Accent4 4 6 2 4" xfId="15671"/>
    <cellStyle name="20% - Accent4 4 6 2 4 2" xfId="15672"/>
    <cellStyle name="20% - Accent4 4 6 2 5" xfId="15673"/>
    <cellStyle name="20% - Accent4 4 6 2 6" xfId="15674"/>
    <cellStyle name="20% - Accent4 4 6 3" xfId="911"/>
    <cellStyle name="20% - Accent4 4 6 3 2" xfId="15675"/>
    <cellStyle name="20% - Accent4 4 6 3 2 2" xfId="15676"/>
    <cellStyle name="20% - Accent4 4 6 3 2 3" xfId="15677"/>
    <cellStyle name="20% - Accent4 4 6 3 3" xfId="15678"/>
    <cellStyle name="20% - Accent4 4 6 3 3 2" xfId="15679"/>
    <cellStyle name="20% - Accent4 4 6 3 3 3" xfId="15680"/>
    <cellStyle name="20% - Accent4 4 6 3 4" xfId="15681"/>
    <cellStyle name="20% - Accent4 4 6 3 4 2" xfId="15682"/>
    <cellStyle name="20% - Accent4 4 6 3 5" xfId="15683"/>
    <cellStyle name="20% - Accent4 4 6 3 6" xfId="15684"/>
    <cellStyle name="20% - Accent4 4 6 4" xfId="8945"/>
    <cellStyle name="20% - Accent4 4 6 4 2" xfId="15685"/>
    <cellStyle name="20% - Accent4 4 6 4 2 2" xfId="15686"/>
    <cellStyle name="20% - Accent4 4 6 4 2 3" xfId="15687"/>
    <cellStyle name="20% - Accent4 4 6 4 3" xfId="15688"/>
    <cellStyle name="20% - Accent4 4 6 4 3 2" xfId="15689"/>
    <cellStyle name="20% - Accent4 4 6 4 4" xfId="15690"/>
    <cellStyle name="20% - Accent4 4 6 4 5" xfId="15691"/>
    <cellStyle name="20% - Accent4 4 6 5" xfId="15692"/>
    <cellStyle name="20% - Accent4 4 6 5 2" xfId="15693"/>
    <cellStyle name="20% - Accent4 4 6 5 3" xfId="15694"/>
    <cellStyle name="20% - Accent4 4 6 6" xfId="15695"/>
    <cellStyle name="20% - Accent4 4 6 6 2" xfId="15696"/>
    <cellStyle name="20% - Accent4 4 6 6 3" xfId="15697"/>
    <cellStyle name="20% - Accent4 4 6 7" xfId="15698"/>
    <cellStyle name="20% - Accent4 4 6 7 2" xfId="15699"/>
    <cellStyle name="20% - Accent4 4 6 8" xfId="15700"/>
    <cellStyle name="20% - Accent4 4 6 9" xfId="15701"/>
    <cellStyle name="20% - Accent4 4 7" xfId="912"/>
    <cellStyle name="20% - Accent4 4 7 2" xfId="8946"/>
    <cellStyle name="20% - Accent4 4 7 2 2" xfId="15702"/>
    <cellStyle name="20% - Accent4 4 7 2 2 2" xfId="15703"/>
    <cellStyle name="20% - Accent4 4 7 2 2 3" xfId="15704"/>
    <cellStyle name="20% - Accent4 4 7 2 3" xfId="15705"/>
    <cellStyle name="20% - Accent4 4 7 2 3 2" xfId="15706"/>
    <cellStyle name="20% - Accent4 4 7 2 3 3" xfId="15707"/>
    <cellStyle name="20% - Accent4 4 7 2 4" xfId="15708"/>
    <cellStyle name="20% - Accent4 4 7 2 4 2" xfId="15709"/>
    <cellStyle name="20% - Accent4 4 7 2 5" xfId="15710"/>
    <cellStyle name="20% - Accent4 4 7 2 6" xfId="15711"/>
    <cellStyle name="20% - Accent4 4 7 3" xfId="15712"/>
    <cellStyle name="20% - Accent4 4 7 3 2" xfId="15713"/>
    <cellStyle name="20% - Accent4 4 7 3 2 2" xfId="15714"/>
    <cellStyle name="20% - Accent4 4 7 3 2 3" xfId="15715"/>
    <cellStyle name="20% - Accent4 4 7 3 3" xfId="15716"/>
    <cellStyle name="20% - Accent4 4 7 3 3 2" xfId="15717"/>
    <cellStyle name="20% - Accent4 4 7 3 3 3" xfId="15718"/>
    <cellStyle name="20% - Accent4 4 7 3 4" xfId="15719"/>
    <cellStyle name="20% - Accent4 4 7 3 4 2" xfId="15720"/>
    <cellStyle name="20% - Accent4 4 7 3 5" xfId="15721"/>
    <cellStyle name="20% - Accent4 4 7 3 6" xfId="15722"/>
    <cellStyle name="20% - Accent4 4 7 4" xfId="15723"/>
    <cellStyle name="20% - Accent4 4 7 4 2" xfId="15724"/>
    <cellStyle name="20% - Accent4 4 7 4 2 2" xfId="15725"/>
    <cellStyle name="20% - Accent4 4 7 4 2 3" xfId="15726"/>
    <cellStyle name="20% - Accent4 4 7 4 3" xfId="15727"/>
    <cellStyle name="20% - Accent4 4 7 4 3 2" xfId="15728"/>
    <cellStyle name="20% - Accent4 4 7 4 4" xfId="15729"/>
    <cellStyle name="20% - Accent4 4 7 4 5" xfId="15730"/>
    <cellStyle name="20% - Accent4 4 7 5" xfId="15731"/>
    <cellStyle name="20% - Accent4 4 7 5 2" xfId="15732"/>
    <cellStyle name="20% - Accent4 4 7 5 3" xfId="15733"/>
    <cellStyle name="20% - Accent4 4 7 6" xfId="15734"/>
    <cellStyle name="20% - Accent4 4 7 6 2" xfId="15735"/>
    <cellStyle name="20% - Accent4 4 7 6 3" xfId="15736"/>
    <cellStyle name="20% - Accent4 4 7 7" xfId="15737"/>
    <cellStyle name="20% - Accent4 4 7 7 2" xfId="15738"/>
    <cellStyle name="20% - Accent4 4 7 8" xfId="15739"/>
    <cellStyle name="20% - Accent4 4 7 9" xfId="15740"/>
    <cellStyle name="20% - Accent4 4 8" xfId="913"/>
    <cellStyle name="20% - Accent4 4 8 2" xfId="15741"/>
    <cellStyle name="20% - Accent4 4 8 2 2" xfId="15742"/>
    <cellStyle name="20% - Accent4 4 8 2 3" xfId="15743"/>
    <cellStyle name="20% - Accent4 4 8 3" xfId="15744"/>
    <cellStyle name="20% - Accent4 4 8 3 2" xfId="15745"/>
    <cellStyle name="20% - Accent4 4 8 3 3" xfId="15746"/>
    <cellStyle name="20% - Accent4 4 8 4" xfId="15747"/>
    <cellStyle name="20% - Accent4 4 8 4 2" xfId="15748"/>
    <cellStyle name="20% - Accent4 4 8 5" xfId="15749"/>
    <cellStyle name="20% - Accent4 4 8 6" xfId="15750"/>
    <cellStyle name="20% - Accent4 4 9" xfId="8947"/>
    <cellStyle name="20% - Accent4 4 9 2" xfId="15751"/>
    <cellStyle name="20% - Accent4 4 9 2 2" xfId="15752"/>
    <cellStyle name="20% - Accent4 4 9 2 3" xfId="15753"/>
    <cellStyle name="20% - Accent4 4 9 3" xfId="15754"/>
    <cellStyle name="20% - Accent4 4 9 3 2" xfId="15755"/>
    <cellStyle name="20% - Accent4 4 9 3 3" xfId="15756"/>
    <cellStyle name="20% - Accent4 4 9 4" xfId="15757"/>
    <cellStyle name="20% - Accent4 4 9 4 2" xfId="15758"/>
    <cellStyle name="20% - Accent4 4 9 5" xfId="15759"/>
    <cellStyle name="20% - Accent4 4 9 6" xfId="15760"/>
    <cellStyle name="20% - Accent4 5" xfId="914"/>
    <cellStyle name="20% - Accent4 5 2" xfId="915"/>
    <cellStyle name="20% - Accent4 5 2 2" xfId="916"/>
    <cellStyle name="20% - Accent4 5 2 2 2" xfId="917"/>
    <cellStyle name="20% - Accent4 5 2 2 2 2" xfId="918"/>
    <cellStyle name="20% - Accent4 5 2 2 2 2 2" xfId="919"/>
    <cellStyle name="20% - Accent4 5 2 2 2 3" xfId="920"/>
    <cellStyle name="20% - Accent4 5 2 2 3" xfId="921"/>
    <cellStyle name="20% - Accent4 5 2 2 3 2" xfId="922"/>
    <cellStyle name="20% - Accent4 5 2 2 4" xfId="923"/>
    <cellStyle name="20% - Accent4 5 2 3" xfId="924"/>
    <cellStyle name="20% - Accent4 5 2 3 2" xfId="925"/>
    <cellStyle name="20% - Accent4 5 2 3 2 2" xfId="926"/>
    <cellStyle name="20% - Accent4 5 2 3 3" xfId="927"/>
    <cellStyle name="20% - Accent4 5 2 4" xfId="928"/>
    <cellStyle name="20% - Accent4 5 2 4 2" xfId="929"/>
    <cellStyle name="20% - Accent4 5 2 5" xfId="930"/>
    <cellStyle name="20% - Accent4 5 2 6" xfId="58109"/>
    <cellStyle name="20% - Accent4 5 3" xfId="931"/>
    <cellStyle name="20% - Accent4 5 3 2" xfId="932"/>
    <cellStyle name="20% - Accent4 5 3 2 2" xfId="933"/>
    <cellStyle name="20% - Accent4 5 3 2 2 2" xfId="934"/>
    <cellStyle name="20% - Accent4 5 3 2 3" xfId="935"/>
    <cellStyle name="20% - Accent4 5 3 3" xfId="936"/>
    <cellStyle name="20% - Accent4 5 3 3 2" xfId="937"/>
    <cellStyle name="20% - Accent4 5 3 4" xfId="938"/>
    <cellStyle name="20% - Accent4 5 4" xfId="939"/>
    <cellStyle name="20% - Accent4 5 4 2" xfId="940"/>
    <cellStyle name="20% - Accent4 5 4 2 2" xfId="941"/>
    <cellStyle name="20% - Accent4 5 4 3" xfId="942"/>
    <cellStyle name="20% - Accent4 5 5" xfId="943"/>
    <cellStyle name="20% - Accent4 5 5 2" xfId="944"/>
    <cellStyle name="20% - Accent4 5 6" xfId="945"/>
    <cellStyle name="20% - Accent4 5 7" xfId="946"/>
    <cellStyle name="20% - Accent4 5 8" xfId="58110"/>
    <cellStyle name="20% - Accent4 6" xfId="947"/>
    <cellStyle name="20% - Accent4 6 2" xfId="948"/>
    <cellStyle name="20% - Accent4 6 2 2" xfId="949"/>
    <cellStyle name="20% - Accent4 6 2 2 2" xfId="950"/>
    <cellStyle name="20% - Accent4 6 2 2 2 2" xfId="951"/>
    <cellStyle name="20% - Accent4 6 2 2 2 3" xfId="8948"/>
    <cellStyle name="20% - Accent4 6 2 2 3" xfId="952"/>
    <cellStyle name="20% - Accent4 6 2 2 4" xfId="8949"/>
    <cellStyle name="20% - Accent4 6 2 3" xfId="953"/>
    <cellStyle name="20% - Accent4 6 2 3 2" xfId="954"/>
    <cellStyle name="20% - Accent4 6 2 3 3" xfId="8950"/>
    <cellStyle name="20% - Accent4 6 2 4" xfId="955"/>
    <cellStyle name="20% - Accent4 6 2 5" xfId="8951"/>
    <cellStyle name="20% - Accent4 6 3" xfId="956"/>
    <cellStyle name="20% - Accent4 6 3 2" xfId="957"/>
    <cellStyle name="20% - Accent4 6 3 2 2" xfId="958"/>
    <cellStyle name="20% - Accent4 6 3 2 3" xfId="8952"/>
    <cellStyle name="20% - Accent4 6 3 3" xfId="959"/>
    <cellStyle name="20% - Accent4 6 3 4" xfId="8953"/>
    <cellStyle name="20% - Accent4 6 4" xfId="960"/>
    <cellStyle name="20% - Accent4 6 4 2" xfId="961"/>
    <cellStyle name="20% - Accent4 6 4 3" xfId="8954"/>
    <cellStyle name="20% - Accent4 6 5" xfId="962"/>
    <cellStyle name="20% - Accent4 6 6" xfId="8955"/>
    <cellStyle name="20% - Accent4 7" xfId="963"/>
    <cellStyle name="20% - Accent4 7 2" xfId="964"/>
    <cellStyle name="20% - Accent4 7 2 2" xfId="965"/>
    <cellStyle name="20% - Accent4 7 2 2 2" xfId="966"/>
    <cellStyle name="20% - Accent4 7 2 3" xfId="967"/>
    <cellStyle name="20% - Accent4 7 3" xfId="968"/>
    <cellStyle name="20% - Accent4 7 3 2" xfId="969"/>
    <cellStyle name="20% - Accent4 7 4" xfId="970"/>
    <cellStyle name="20% - Accent4 7 5" xfId="8956"/>
    <cellStyle name="20% - Accent4 8" xfId="971"/>
    <cellStyle name="20% - Accent4 8 2" xfId="972"/>
    <cellStyle name="20% - Accent4 8 2 2" xfId="973"/>
    <cellStyle name="20% - Accent4 8 2 2 2" xfId="974"/>
    <cellStyle name="20% - Accent4 8 2 3" xfId="975"/>
    <cellStyle name="20% - Accent4 8 3" xfId="976"/>
    <cellStyle name="20% - Accent4 8 3 2" xfId="977"/>
    <cellStyle name="20% - Accent4 8 4" xfId="978"/>
    <cellStyle name="20% - Accent4 8 5" xfId="8957"/>
    <cellStyle name="20% - Accent4 9" xfId="979"/>
    <cellStyle name="20% - Accent4 9 2" xfId="980"/>
    <cellStyle name="20% - Accent4 9 2 2" xfId="981"/>
    <cellStyle name="20% - Accent4 9 2 2 2" xfId="982"/>
    <cellStyle name="20% - Accent4 9 2 3" xfId="983"/>
    <cellStyle name="20% - Accent4 9 3" xfId="984"/>
    <cellStyle name="20% - Accent4 9 3 2" xfId="985"/>
    <cellStyle name="20% - Accent4 9 4" xfId="986"/>
    <cellStyle name="20% - Accent4 9 5" xfId="58111"/>
    <cellStyle name="20% - Accent5 10" xfId="987"/>
    <cellStyle name="20% - Accent5 10 2" xfId="988"/>
    <cellStyle name="20% - Accent5 10 2 2" xfId="989"/>
    <cellStyle name="20% - Accent5 10 3" xfId="990"/>
    <cellStyle name="20% - Accent5 10 4" xfId="58112"/>
    <cellStyle name="20% - Accent5 11" xfId="991"/>
    <cellStyle name="20% - Accent5 11 2" xfId="992"/>
    <cellStyle name="20% - Accent5 11 2 2" xfId="993"/>
    <cellStyle name="20% - Accent5 11 3" xfId="994"/>
    <cellStyle name="20% - Accent5 11 4" xfId="58113"/>
    <cellStyle name="20% - Accent5 12" xfId="995"/>
    <cellStyle name="20% - Accent5 12 2" xfId="996"/>
    <cellStyle name="20% - Accent5 12 3" xfId="58114"/>
    <cellStyle name="20% - Accent5 13" xfId="997"/>
    <cellStyle name="20% - Accent5 13 2" xfId="58115"/>
    <cellStyle name="20% - Accent5 14" xfId="8958"/>
    <cellStyle name="20% - Accent5 15" xfId="15761"/>
    <cellStyle name="20% - Accent5 16" xfId="15762"/>
    <cellStyle name="20% - Accent5 17" xfId="15763"/>
    <cellStyle name="20% - Accent5 18" xfId="58116"/>
    <cellStyle name="20% - Accent5 19" xfId="58117"/>
    <cellStyle name="20% - Accent5 2" xfId="998"/>
    <cellStyle name="20% - Accent5 2 2" xfId="999"/>
    <cellStyle name="20% - Accent5 2 2 2" xfId="1000"/>
    <cellStyle name="20% - Accent5 2 2 2 2" xfId="1001"/>
    <cellStyle name="20% - Accent5 2 2 2 2 2" xfId="1002"/>
    <cellStyle name="20% - Accent5 2 2 2 2 2 2" xfId="1003"/>
    <cellStyle name="20% - Accent5 2 2 2 2 2 2 2" xfId="1004"/>
    <cellStyle name="20% - Accent5 2 2 2 2 2 3" xfId="1005"/>
    <cellStyle name="20% - Accent5 2 2 2 2 3" xfId="1006"/>
    <cellStyle name="20% - Accent5 2 2 2 2 3 2" xfId="1007"/>
    <cellStyle name="20% - Accent5 2 2 2 2 4" xfId="1008"/>
    <cellStyle name="20% - Accent5 2 2 2 2 5" xfId="58118"/>
    <cellStyle name="20% - Accent5 2 2 2 3" xfId="1009"/>
    <cellStyle name="20% - Accent5 2 2 2 3 2" xfId="1010"/>
    <cellStyle name="20% - Accent5 2 2 2 3 2 2" xfId="1011"/>
    <cellStyle name="20% - Accent5 2 2 2 3 3" xfId="1012"/>
    <cellStyle name="20% - Accent5 2 2 2 4" xfId="1013"/>
    <cellStyle name="20% - Accent5 2 2 2 4 2" xfId="1014"/>
    <cellStyle name="20% - Accent5 2 2 2 5" xfId="1015"/>
    <cellStyle name="20% - Accent5 2 2 2 6" xfId="58119"/>
    <cellStyle name="20% - Accent5 2 2 3" xfId="1016"/>
    <cellStyle name="20% - Accent5 2 2 3 2" xfId="1017"/>
    <cellStyle name="20% - Accent5 2 2 3 2 2" xfId="1018"/>
    <cellStyle name="20% - Accent5 2 2 3 2 2 2" xfId="1019"/>
    <cellStyle name="20% - Accent5 2 2 3 2 3" xfId="1020"/>
    <cellStyle name="20% - Accent5 2 2 3 3" xfId="1021"/>
    <cellStyle name="20% - Accent5 2 2 3 3 2" xfId="1022"/>
    <cellStyle name="20% - Accent5 2 2 3 4" xfId="1023"/>
    <cellStyle name="20% - Accent5 2 2 3 5" xfId="58120"/>
    <cellStyle name="20% - Accent5 2 2 4" xfId="1024"/>
    <cellStyle name="20% - Accent5 2 2 4 2" xfId="1025"/>
    <cellStyle name="20% - Accent5 2 2 4 2 2" xfId="1026"/>
    <cellStyle name="20% - Accent5 2 2 4 3" xfId="1027"/>
    <cellStyle name="20% - Accent5 2 2 5" xfId="1028"/>
    <cellStyle name="20% - Accent5 2 2 5 2" xfId="1029"/>
    <cellStyle name="20% - Accent5 2 2 6" xfId="1030"/>
    <cellStyle name="20% - Accent5 2 2 7" xfId="58121"/>
    <cellStyle name="20% - Accent5 2 3" xfId="1031"/>
    <cellStyle name="20% - Accent5 2 3 2" xfId="1032"/>
    <cellStyle name="20% - Accent5 2 3 2 2" xfId="1033"/>
    <cellStyle name="20% - Accent5 2 3 2 2 2" xfId="1034"/>
    <cellStyle name="20% - Accent5 2 3 2 2 2 2" xfId="1035"/>
    <cellStyle name="20% - Accent5 2 3 2 2 3" xfId="1036"/>
    <cellStyle name="20% - Accent5 2 3 2 3" xfId="1037"/>
    <cellStyle name="20% - Accent5 2 3 2 3 2" xfId="1038"/>
    <cellStyle name="20% - Accent5 2 3 2 4" xfId="1039"/>
    <cellStyle name="20% - Accent5 2 3 3" xfId="1040"/>
    <cellStyle name="20% - Accent5 2 3 3 2" xfId="1041"/>
    <cellStyle name="20% - Accent5 2 3 3 2 2" xfId="1042"/>
    <cellStyle name="20% - Accent5 2 3 3 3" xfId="1043"/>
    <cellStyle name="20% - Accent5 2 3 4" xfId="1044"/>
    <cellStyle name="20% - Accent5 2 3 4 2" xfId="1045"/>
    <cellStyle name="20% - Accent5 2 3 5" xfId="1046"/>
    <cellStyle name="20% - Accent5 2 3 6" xfId="58122"/>
    <cellStyle name="20% - Accent5 2 4" xfId="1047"/>
    <cellStyle name="20% - Accent5 2 4 2" xfId="1048"/>
    <cellStyle name="20% - Accent5 2 4 2 2" xfId="1049"/>
    <cellStyle name="20% - Accent5 2 4 2 2 2" xfId="1050"/>
    <cellStyle name="20% - Accent5 2 4 2 3" xfId="1051"/>
    <cellStyle name="20% - Accent5 2 4 3" xfId="1052"/>
    <cellStyle name="20% - Accent5 2 4 3 2" xfId="1053"/>
    <cellStyle name="20% - Accent5 2 4 4" xfId="1054"/>
    <cellStyle name="20% - Accent5 2 4 5" xfId="58123"/>
    <cellStyle name="20% - Accent5 2 5" xfId="1055"/>
    <cellStyle name="20% - Accent5 2 5 2" xfId="1056"/>
    <cellStyle name="20% - Accent5 2 5 2 2" xfId="1057"/>
    <cellStyle name="20% - Accent5 2 5 3" xfId="1058"/>
    <cellStyle name="20% - Accent5 2 5 4" xfId="58124"/>
    <cellStyle name="20% - Accent5 2 6" xfId="1059"/>
    <cellStyle name="20% - Accent5 2 6 2" xfId="1060"/>
    <cellStyle name="20% - Accent5 2 6 3" xfId="58125"/>
    <cellStyle name="20% - Accent5 2 7" xfId="1061"/>
    <cellStyle name="20% - Accent5 2 8" xfId="1062"/>
    <cellStyle name="20% - Accent5 2 9" xfId="58126"/>
    <cellStyle name="20% - Accent5 20" xfId="58127"/>
    <cellStyle name="20% - Accent5 21" xfId="58128"/>
    <cellStyle name="20% - Accent5 3" xfId="1063"/>
    <cellStyle name="20% - Accent5 3 2" xfId="1064"/>
    <cellStyle name="20% - Accent5 3 2 2" xfId="1065"/>
    <cellStyle name="20% - Accent5 3 2 2 2" xfId="1066"/>
    <cellStyle name="20% - Accent5 3 2 2 2 2" xfId="1067"/>
    <cellStyle name="20% - Accent5 3 2 2 2 2 2" xfId="1068"/>
    <cellStyle name="20% - Accent5 3 2 2 2 2 2 2" xfId="1069"/>
    <cellStyle name="20% - Accent5 3 2 2 2 2 3" xfId="1070"/>
    <cellStyle name="20% - Accent5 3 2 2 2 3" xfId="1071"/>
    <cellStyle name="20% - Accent5 3 2 2 2 3 2" xfId="1072"/>
    <cellStyle name="20% - Accent5 3 2 2 2 4" xfId="1073"/>
    <cellStyle name="20% - Accent5 3 2 2 2 5" xfId="8959"/>
    <cellStyle name="20% - Accent5 3 2 2 3" xfId="1074"/>
    <cellStyle name="20% - Accent5 3 2 2 3 2" xfId="1075"/>
    <cellStyle name="20% - Accent5 3 2 2 3 2 2" xfId="1076"/>
    <cellStyle name="20% - Accent5 3 2 2 3 3" xfId="1077"/>
    <cellStyle name="20% - Accent5 3 2 2 4" xfId="1078"/>
    <cellStyle name="20% - Accent5 3 2 2 4 2" xfId="1079"/>
    <cellStyle name="20% - Accent5 3 2 2 5" xfId="1080"/>
    <cellStyle name="20% - Accent5 3 2 2 6" xfId="8960"/>
    <cellStyle name="20% - Accent5 3 2 3" xfId="1081"/>
    <cellStyle name="20% - Accent5 3 2 3 2" xfId="1082"/>
    <cellStyle name="20% - Accent5 3 2 3 2 2" xfId="1083"/>
    <cellStyle name="20% - Accent5 3 2 3 2 2 2" xfId="1084"/>
    <cellStyle name="20% - Accent5 3 2 3 2 3" xfId="1085"/>
    <cellStyle name="20% - Accent5 3 2 3 3" xfId="1086"/>
    <cellStyle name="20% - Accent5 3 2 3 3 2" xfId="1087"/>
    <cellStyle name="20% - Accent5 3 2 3 4" xfId="1088"/>
    <cellStyle name="20% - Accent5 3 2 3 5" xfId="8961"/>
    <cellStyle name="20% - Accent5 3 2 4" xfId="1089"/>
    <cellStyle name="20% - Accent5 3 2 4 2" xfId="1090"/>
    <cellStyle name="20% - Accent5 3 2 4 2 2" xfId="1091"/>
    <cellStyle name="20% - Accent5 3 2 4 3" xfId="1092"/>
    <cellStyle name="20% - Accent5 3 2 5" xfId="1093"/>
    <cellStyle name="20% - Accent5 3 2 5 2" xfId="1094"/>
    <cellStyle name="20% - Accent5 3 2 6" xfId="1095"/>
    <cellStyle name="20% - Accent5 3 2 7" xfId="8962"/>
    <cellStyle name="20% - Accent5 3 3" xfId="1096"/>
    <cellStyle name="20% - Accent5 3 3 2" xfId="1097"/>
    <cellStyle name="20% - Accent5 3 3 2 2" xfId="1098"/>
    <cellStyle name="20% - Accent5 3 3 2 2 2" xfId="1099"/>
    <cellStyle name="20% - Accent5 3 3 2 2 2 2" xfId="1100"/>
    <cellStyle name="20% - Accent5 3 3 2 2 3" xfId="1101"/>
    <cellStyle name="20% - Accent5 3 3 2 3" xfId="1102"/>
    <cellStyle name="20% - Accent5 3 3 2 3 2" xfId="1103"/>
    <cellStyle name="20% - Accent5 3 3 2 4" xfId="1104"/>
    <cellStyle name="20% - Accent5 3 3 2 5" xfId="8963"/>
    <cellStyle name="20% - Accent5 3 3 3" xfId="1105"/>
    <cellStyle name="20% - Accent5 3 3 3 2" xfId="1106"/>
    <cellStyle name="20% - Accent5 3 3 3 2 2" xfId="1107"/>
    <cellStyle name="20% - Accent5 3 3 3 3" xfId="1108"/>
    <cellStyle name="20% - Accent5 3 3 4" xfId="1109"/>
    <cellStyle name="20% - Accent5 3 3 4 2" xfId="1110"/>
    <cellStyle name="20% - Accent5 3 3 5" xfId="1111"/>
    <cellStyle name="20% - Accent5 3 3 6" xfId="8964"/>
    <cellStyle name="20% - Accent5 3 4" xfId="1112"/>
    <cellStyle name="20% - Accent5 3 4 2" xfId="1113"/>
    <cellStyle name="20% - Accent5 3 4 2 2" xfId="1114"/>
    <cellStyle name="20% - Accent5 3 4 2 2 2" xfId="1115"/>
    <cellStyle name="20% - Accent5 3 4 2 3" xfId="1116"/>
    <cellStyle name="20% - Accent5 3 4 3" xfId="1117"/>
    <cellStyle name="20% - Accent5 3 4 3 2" xfId="1118"/>
    <cellStyle name="20% - Accent5 3 4 4" xfId="1119"/>
    <cellStyle name="20% - Accent5 3 4 5" xfId="8965"/>
    <cellStyle name="20% - Accent5 3 5" xfId="1120"/>
    <cellStyle name="20% - Accent5 3 5 2" xfId="1121"/>
    <cellStyle name="20% - Accent5 3 5 2 2" xfId="1122"/>
    <cellStyle name="20% - Accent5 3 5 3" xfId="1123"/>
    <cellStyle name="20% - Accent5 3 6" xfId="1124"/>
    <cellStyle name="20% - Accent5 3 6 2" xfId="1125"/>
    <cellStyle name="20% - Accent5 3 7" xfId="1126"/>
    <cellStyle name="20% - Accent5 3 8" xfId="1127"/>
    <cellStyle name="20% - Accent5 3 9" xfId="8966"/>
    <cellStyle name="20% - Accent5 4" xfId="1128"/>
    <cellStyle name="20% - Accent5 4 10" xfId="15764"/>
    <cellStyle name="20% - Accent5 4 10 2" xfId="15765"/>
    <cellStyle name="20% - Accent5 4 10 2 2" xfId="15766"/>
    <cellStyle name="20% - Accent5 4 10 2 3" xfId="15767"/>
    <cellStyle name="20% - Accent5 4 10 3" xfId="15768"/>
    <cellStyle name="20% - Accent5 4 10 3 2" xfId="15769"/>
    <cellStyle name="20% - Accent5 4 10 4" xfId="15770"/>
    <cellStyle name="20% - Accent5 4 10 5" xfId="15771"/>
    <cellStyle name="20% - Accent5 4 11" xfId="15772"/>
    <cellStyle name="20% - Accent5 4 11 2" xfId="15773"/>
    <cellStyle name="20% - Accent5 4 11 3" xfId="15774"/>
    <cellStyle name="20% - Accent5 4 12" xfId="15775"/>
    <cellStyle name="20% - Accent5 4 12 2" xfId="15776"/>
    <cellStyle name="20% - Accent5 4 12 3" xfId="15777"/>
    <cellStyle name="20% - Accent5 4 13" xfId="15778"/>
    <cellStyle name="20% - Accent5 4 13 2" xfId="15779"/>
    <cellStyle name="20% - Accent5 4 14" xfId="15780"/>
    <cellStyle name="20% - Accent5 4 15" xfId="15781"/>
    <cellStyle name="20% - Accent5 4 16" xfId="15782"/>
    <cellStyle name="20% - Accent5 4 2" xfId="1129"/>
    <cellStyle name="20% - Accent5 4 2 10" xfId="15783"/>
    <cellStyle name="20% - Accent5 4 2 10 2" xfId="15784"/>
    <cellStyle name="20% - Accent5 4 2 10 3" xfId="15785"/>
    <cellStyle name="20% - Accent5 4 2 11" xfId="15786"/>
    <cellStyle name="20% - Accent5 4 2 11 2" xfId="15787"/>
    <cellStyle name="20% - Accent5 4 2 11 3" xfId="15788"/>
    <cellStyle name="20% - Accent5 4 2 12" xfId="15789"/>
    <cellStyle name="20% - Accent5 4 2 12 2" xfId="15790"/>
    <cellStyle name="20% - Accent5 4 2 13" xfId="15791"/>
    <cellStyle name="20% - Accent5 4 2 14" xfId="15792"/>
    <cellStyle name="20% - Accent5 4 2 15" xfId="15793"/>
    <cellStyle name="20% - Accent5 4 2 2" xfId="1130"/>
    <cellStyle name="20% - Accent5 4 2 2 10" xfId="15794"/>
    <cellStyle name="20% - Accent5 4 2 2 10 2" xfId="15795"/>
    <cellStyle name="20% - Accent5 4 2 2 10 3" xfId="15796"/>
    <cellStyle name="20% - Accent5 4 2 2 11" xfId="15797"/>
    <cellStyle name="20% - Accent5 4 2 2 11 2" xfId="15798"/>
    <cellStyle name="20% - Accent5 4 2 2 12" xfId="15799"/>
    <cellStyle name="20% - Accent5 4 2 2 13" xfId="15800"/>
    <cellStyle name="20% - Accent5 4 2 2 2" xfId="1131"/>
    <cellStyle name="20% - Accent5 4 2 2 2 10" xfId="15801"/>
    <cellStyle name="20% - Accent5 4 2 2 2 10 2" xfId="15802"/>
    <cellStyle name="20% - Accent5 4 2 2 2 11" xfId="15803"/>
    <cellStyle name="20% - Accent5 4 2 2 2 12" xfId="15804"/>
    <cellStyle name="20% - Accent5 4 2 2 2 2" xfId="1132"/>
    <cellStyle name="20% - Accent5 4 2 2 2 2 10" xfId="15805"/>
    <cellStyle name="20% - Accent5 4 2 2 2 2 2" xfId="1133"/>
    <cellStyle name="20% - Accent5 4 2 2 2 2 2 2" xfId="15806"/>
    <cellStyle name="20% - Accent5 4 2 2 2 2 2 2 2" xfId="15807"/>
    <cellStyle name="20% - Accent5 4 2 2 2 2 2 2 2 2" xfId="15808"/>
    <cellStyle name="20% - Accent5 4 2 2 2 2 2 2 2 3" xfId="15809"/>
    <cellStyle name="20% - Accent5 4 2 2 2 2 2 2 3" xfId="15810"/>
    <cellStyle name="20% - Accent5 4 2 2 2 2 2 2 3 2" xfId="15811"/>
    <cellStyle name="20% - Accent5 4 2 2 2 2 2 2 3 3" xfId="15812"/>
    <cellStyle name="20% - Accent5 4 2 2 2 2 2 2 4" xfId="15813"/>
    <cellStyle name="20% - Accent5 4 2 2 2 2 2 2 4 2" xfId="15814"/>
    <cellStyle name="20% - Accent5 4 2 2 2 2 2 2 5" xfId="15815"/>
    <cellStyle name="20% - Accent5 4 2 2 2 2 2 2 6" xfId="15816"/>
    <cellStyle name="20% - Accent5 4 2 2 2 2 2 3" xfId="15817"/>
    <cellStyle name="20% - Accent5 4 2 2 2 2 2 3 2" xfId="15818"/>
    <cellStyle name="20% - Accent5 4 2 2 2 2 2 3 2 2" xfId="15819"/>
    <cellStyle name="20% - Accent5 4 2 2 2 2 2 3 2 3" xfId="15820"/>
    <cellStyle name="20% - Accent5 4 2 2 2 2 2 3 3" xfId="15821"/>
    <cellStyle name="20% - Accent5 4 2 2 2 2 2 3 3 2" xfId="15822"/>
    <cellStyle name="20% - Accent5 4 2 2 2 2 2 3 3 3" xfId="15823"/>
    <cellStyle name="20% - Accent5 4 2 2 2 2 2 3 4" xfId="15824"/>
    <cellStyle name="20% - Accent5 4 2 2 2 2 2 3 4 2" xfId="15825"/>
    <cellStyle name="20% - Accent5 4 2 2 2 2 2 3 5" xfId="15826"/>
    <cellStyle name="20% - Accent5 4 2 2 2 2 2 3 6" xfId="15827"/>
    <cellStyle name="20% - Accent5 4 2 2 2 2 2 4" xfId="15828"/>
    <cellStyle name="20% - Accent5 4 2 2 2 2 2 4 2" xfId="15829"/>
    <cellStyle name="20% - Accent5 4 2 2 2 2 2 4 2 2" xfId="15830"/>
    <cellStyle name="20% - Accent5 4 2 2 2 2 2 4 2 3" xfId="15831"/>
    <cellStyle name="20% - Accent5 4 2 2 2 2 2 4 3" xfId="15832"/>
    <cellStyle name="20% - Accent5 4 2 2 2 2 2 4 3 2" xfId="15833"/>
    <cellStyle name="20% - Accent5 4 2 2 2 2 2 4 4" xfId="15834"/>
    <cellStyle name="20% - Accent5 4 2 2 2 2 2 4 5" xfId="15835"/>
    <cellStyle name="20% - Accent5 4 2 2 2 2 2 5" xfId="15836"/>
    <cellStyle name="20% - Accent5 4 2 2 2 2 2 5 2" xfId="15837"/>
    <cellStyle name="20% - Accent5 4 2 2 2 2 2 5 3" xfId="15838"/>
    <cellStyle name="20% - Accent5 4 2 2 2 2 2 6" xfId="15839"/>
    <cellStyle name="20% - Accent5 4 2 2 2 2 2 6 2" xfId="15840"/>
    <cellStyle name="20% - Accent5 4 2 2 2 2 2 6 3" xfId="15841"/>
    <cellStyle name="20% - Accent5 4 2 2 2 2 2 7" xfId="15842"/>
    <cellStyle name="20% - Accent5 4 2 2 2 2 2 7 2" xfId="15843"/>
    <cellStyle name="20% - Accent5 4 2 2 2 2 2 8" xfId="15844"/>
    <cellStyle name="20% - Accent5 4 2 2 2 2 2 9" xfId="15845"/>
    <cellStyle name="20% - Accent5 4 2 2 2 2 3" xfId="15846"/>
    <cellStyle name="20% - Accent5 4 2 2 2 2 3 2" xfId="15847"/>
    <cellStyle name="20% - Accent5 4 2 2 2 2 3 2 2" xfId="15848"/>
    <cellStyle name="20% - Accent5 4 2 2 2 2 3 2 3" xfId="15849"/>
    <cellStyle name="20% - Accent5 4 2 2 2 2 3 3" xfId="15850"/>
    <cellStyle name="20% - Accent5 4 2 2 2 2 3 3 2" xfId="15851"/>
    <cellStyle name="20% - Accent5 4 2 2 2 2 3 3 3" xfId="15852"/>
    <cellStyle name="20% - Accent5 4 2 2 2 2 3 4" xfId="15853"/>
    <cellStyle name="20% - Accent5 4 2 2 2 2 3 4 2" xfId="15854"/>
    <cellStyle name="20% - Accent5 4 2 2 2 2 3 5" xfId="15855"/>
    <cellStyle name="20% - Accent5 4 2 2 2 2 3 6" xfId="15856"/>
    <cellStyle name="20% - Accent5 4 2 2 2 2 4" xfId="15857"/>
    <cellStyle name="20% - Accent5 4 2 2 2 2 4 2" xfId="15858"/>
    <cellStyle name="20% - Accent5 4 2 2 2 2 4 2 2" xfId="15859"/>
    <cellStyle name="20% - Accent5 4 2 2 2 2 4 2 3" xfId="15860"/>
    <cellStyle name="20% - Accent5 4 2 2 2 2 4 3" xfId="15861"/>
    <cellStyle name="20% - Accent5 4 2 2 2 2 4 3 2" xfId="15862"/>
    <cellStyle name="20% - Accent5 4 2 2 2 2 4 3 3" xfId="15863"/>
    <cellStyle name="20% - Accent5 4 2 2 2 2 4 4" xfId="15864"/>
    <cellStyle name="20% - Accent5 4 2 2 2 2 4 4 2" xfId="15865"/>
    <cellStyle name="20% - Accent5 4 2 2 2 2 4 5" xfId="15866"/>
    <cellStyle name="20% - Accent5 4 2 2 2 2 4 6" xfId="15867"/>
    <cellStyle name="20% - Accent5 4 2 2 2 2 5" xfId="15868"/>
    <cellStyle name="20% - Accent5 4 2 2 2 2 5 2" xfId="15869"/>
    <cellStyle name="20% - Accent5 4 2 2 2 2 5 2 2" xfId="15870"/>
    <cellStyle name="20% - Accent5 4 2 2 2 2 5 2 3" xfId="15871"/>
    <cellStyle name="20% - Accent5 4 2 2 2 2 5 3" xfId="15872"/>
    <cellStyle name="20% - Accent5 4 2 2 2 2 5 3 2" xfId="15873"/>
    <cellStyle name="20% - Accent5 4 2 2 2 2 5 4" xfId="15874"/>
    <cellStyle name="20% - Accent5 4 2 2 2 2 5 5" xfId="15875"/>
    <cellStyle name="20% - Accent5 4 2 2 2 2 6" xfId="15876"/>
    <cellStyle name="20% - Accent5 4 2 2 2 2 6 2" xfId="15877"/>
    <cellStyle name="20% - Accent5 4 2 2 2 2 6 3" xfId="15878"/>
    <cellStyle name="20% - Accent5 4 2 2 2 2 7" xfId="15879"/>
    <cellStyle name="20% - Accent5 4 2 2 2 2 7 2" xfId="15880"/>
    <cellStyle name="20% - Accent5 4 2 2 2 2 7 3" xfId="15881"/>
    <cellStyle name="20% - Accent5 4 2 2 2 2 8" xfId="15882"/>
    <cellStyle name="20% - Accent5 4 2 2 2 2 8 2" xfId="15883"/>
    <cellStyle name="20% - Accent5 4 2 2 2 2 9" xfId="15884"/>
    <cellStyle name="20% - Accent5 4 2 2 2 3" xfId="1134"/>
    <cellStyle name="20% - Accent5 4 2 2 2 3 2" xfId="15885"/>
    <cellStyle name="20% - Accent5 4 2 2 2 3 2 2" xfId="15886"/>
    <cellStyle name="20% - Accent5 4 2 2 2 3 2 2 2" xfId="15887"/>
    <cellStyle name="20% - Accent5 4 2 2 2 3 2 2 3" xfId="15888"/>
    <cellStyle name="20% - Accent5 4 2 2 2 3 2 3" xfId="15889"/>
    <cellStyle name="20% - Accent5 4 2 2 2 3 2 3 2" xfId="15890"/>
    <cellStyle name="20% - Accent5 4 2 2 2 3 2 3 3" xfId="15891"/>
    <cellStyle name="20% - Accent5 4 2 2 2 3 2 4" xfId="15892"/>
    <cellStyle name="20% - Accent5 4 2 2 2 3 2 4 2" xfId="15893"/>
    <cellStyle name="20% - Accent5 4 2 2 2 3 2 5" xfId="15894"/>
    <cellStyle name="20% - Accent5 4 2 2 2 3 2 6" xfId="15895"/>
    <cellStyle name="20% - Accent5 4 2 2 2 3 3" xfId="15896"/>
    <cellStyle name="20% - Accent5 4 2 2 2 3 3 2" xfId="15897"/>
    <cellStyle name="20% - Accent5 4 2 2 2 3 3 2 2" xfId="15898"/>
    <cellStyle name="20% - Accent5 4 2 2 2 3 3 2 3" xfId="15899"/>
    <cellStyle name="20% - Accent5 4 2 2 2 3 3 3" xfId="15900"/>
    <cellStyle name="20% - Accent5 4 2 2 2 3 3 3 2" xfId="15901"/>
    <cellStyle name="20% - Accent5 4 2 2 2 3 3 3 3" xfId="15902"/>
    <cellStyle name="20% - Accent5 4 2 2 2 3 3 4" xfId="15903"/>
    <cellStyle name="20% - Accent5 4 2 2 2 3 3 4 2" xfId="15904"/>
    <cellStyle name="20% - Accent5 4 2 2 2 3 3 5" xfId="15905"/>
    <cellStyle name="20% - Accent5 4 2 2 2 3 3 6" xfId="15906"/>
    <cellStyle name="20% - Accent5 4 2 2 2 3 4" xfId="15907"/>
    <cellStyle name="20% - Accent5 4 2 2 2 3 4 2" xfId="15908"/>
    <cellStyle name="20% - Accent5 4 2 2 2 3 4 2 2" xfId="15909"/>
    <cellStyle name="20% - Accent5 4 2 2 2 3 4 2 3" xfId="15910"/>
    <cellStyle name="20% - Accent5 4 2 2 2 3 4 3" xfId="15911"/>
    <cellStyle name="20% - Accent5 4 2 2 2 3 4 3 2" xfId="15912"/>
    <cellStyle name="20% - Accent5 4 2 2 2 3 4 4" xfId="15913"/>
    <cellStyle name="20% - Accent5 4 2 2 2 3 4 5" xfId="15914"/>
    <cellStyle name="20% - Accent5 4 2 2 2 3 5" xfId="15915"/>
    <cellStyle name="20% - Accent5 4 2 2 2 3 5 2" xfId="15916"/>
    <cellStyle name="20% - Accent5 4 2 2 2 3 5 3" xfId="15917"/>
    <cellStyle name="20% - Accent5 4 2 2 2 3 6" xfId="15918"/>
    <cellStyle name="20% - Accent5 4 2 2 2 3 6 2" xfId="15919"/>
    <cellStyle name="20% - Accent5 4 2 2 2 3 6 3" xfId="15920"/>
    <cellStyle name="20% - Accent5 4 2 2 2 3 7" xfId="15921"/>
    <cellStyle name="20% - Accent5 4 2 2 2 3 7 2" xfId="15922"/>
    <cellStyle name="20% - Accent5 4 2 2 2 3 8" xfId="15923"/>
    <cellStyle name="20% - Accent5 4 2 2 2 3 9" xfId="15924"/>
    <cellStyle name="20% - Accent5 4 2 2 2 4" xfId="15925"/>
    <cellStyle name="20% - Accent5 4 2 2 2 4 2" xfId="15926"/>
    <cellStyle name="20% - Accent5 4 2 2 2 4 2 2" xfId="15927"/>
    <cellStyle name="20% - Accent5 4 2 2 2 4 2 2 2" xfId="15928"/>
    <cellStyle name="20% - Accent5 4 2 2 2 4 2 2 3" xfId="15929"/>
    <cellStyle name="20% - Accent5 4 2 2 2 4 2 3" xfId="15930"/>
    <cellStyle name="20% - Accent5 4 2 2 2 4 2 3 2" xfId="15931"/>
    <cellStyle name="20% - Accent5 4 2 2 2 4 2 3 3" xfId="15932"/>
    <cellStyle name="20% - Accent5 4 2 2 2 4 2 4" xfId="15933"/>
    <cellStyle name="20% - Accent5 4 2 2 2 4 2 4 2" xfId="15934"/>
    <cellStyle name="20% - Accent5 4 2 2 2 4 2 5" xfId="15935"/>
    <cellStyle name="20% - Accent5 4 2 2 2 4 2 6" xfId="15936"/>
    <cellStyle name="20% - Accent5 4 2 2 2 4 3" xfId="15937"/>
    <cellStyle name="20% - Accent5 4 2 2 2 4 3 2" xfId="15938"/>
    <cellStyle name="20% - Accent5 4 2 2 2 4 3 2 2" xfId="15939"/>
    <cellStyle name="20% - Accent5 4 2 2 2 4 3 2 3" xfId="15940"/>
    <cellStyle name="20% - Accent5 4 2 2 2 4 3 3" xfId="15941"/>
    <cellStyle name="20% - Accent5 4 2 2 2 4 3 3 2" xfId="15942"/>
    <cellStyle name="20% - Accent5 4 2 2 2 4 3 3 3" xfId="15943"/>
    <cellStyle name="20% - Accent5 4 2 2 2 4 3 4" xfId="15944"/>
    <cellStyle name="20% - Accent5 4 2 2 2 4 3 4 2" xfId="15945"/>
    <cellStyle name="20% - Accent5 4 2 2 2 4 3 5" xfId="15946"/>
    <cellStyle name="20% - Accent5 4 2 2 2 4 3 6" xfId="15947"/>
    <cellStyle name="20% - Accent5 4 2 2 2 4 4" xfId="15948"/>
    <cellStyle name="20% - Accent5 4 2 2 2 4 4 2" xfId="15949"/>
    <cellStyle name="20% - Accent5 4 2 2 2 4 4 2 2" xfId="15950"/>
    <cellStyle name="20% - Accent5 4 2 2 2 4 4 2 3" xfId="15951"/>
    <cellStyle name="20% - Accent5 4 2 2 2 4 4 3" xfId="15952"/>
    <cellStyle name="20% - Accent5 4 2 2 2 4 4 3 2" xfId="15953"/>
    <cellStyle name="20% - Accent5 4 2 2 2 4 4 4" xfId="15954"/>
    <cellStyle name="20% - Accent5 4 2 2 2 4 4 5" xfId="15955"/>
    <cellStyle name="20% - Accent5 4 2 2 2 4 5" xfId="15956"/>
    <cellStyle name="20% - Accent5 4 2 2 2 4 5 2" xfId="15957"/>
    <cellStyle name="20% - Accent5 4 2 2 2 4 5 3" xfId="15958"/>
    <cellStyle name="20% - Accent5 4 2 2 2 4 6" xfId="15959"/>
    <cellStyle name="20% - Accent5 4 2 2 2 4 6 2" xfId="15960"/>
    <cellStyle name="20% - Accent5 4 2 2 2 4 6 3" xfId="15961"/>
    <cellStyle name="20% - Accent5 4 2 2 2 4 7" xfId="15962"/>
    <cellStyle name="20% - Accent5 4 2 2 2 4 7 2" xfId="15963"/>
    <cellStyle name="20% - Accent5 4 2 2 2 4 8" xfId="15964"/>
    <cellStyle name="20% - Accent5 4 2 2 2 4 9" xfId="15965"/>
    <cellStyle name="20% - Accent5 4 2 2 2 5" xfId="15966"/>
    <cellStyle name="20% - Accent5 4 2 2 2 5 2" xfId="15967"/>
    <cellStyle name="20% - Accent5 4 2 2 2 5 2 2" xfId="15968"/>
    <cellStyle name="20% - Accent5 4 2 2 2 5 2 3" xfId="15969"/>
    <cellStyle name="20% - Accent5 4 2 2 2 5 3" xfId="15970"/>
    <cellStyle name="20% - Accent5 4 2 2 2 5 3 2" xfId="15971"/>
    <cellStyle name="20% - Accent5 4 2 2 2 5 3 3" xfId="15972"/>
    <cellStyle name="20% - Accent5 4 2 2 2 5 4" xfId="15973"/>
    <cellStyle name="20% - Accent5 4 2 2 2 5 4 2" xfId="15974"/>
    <cellStyle name="20% - Accent5 4 2 2 2 5 5" xfId="15975"/>
    <cellStyle name="20% - Accent5 4 2 2 2 5 6" xfId="15976"/>
    <cellStyle name="20% - Accent5 4 2 2 2 6" xfId="15977"/>
    <cellStyle name="20% - Accent5 4 2 2 2 6 2" xfId="15978"/>
    <cellStyle name="20% - Accent5 4 2 2 2 6 2 2" xfId="15979"/>
    <cellStyle name="20% - Accent5 4 2 2 2 6 2 3" xfId="15980"/>
    <cellStyle name="20% - Accent5 4 2 2 2 6 3" xfId="15981"/>
    <cellStyle name="20% - Accent5 4 2 2 2 6 3 2" xfId="15982"/>
    <cellStyle name="20% - Accent5 4 2 2 2 6 3 3" xfId="15983"/>
    <cellStyle name="20% - Accent5 4 2 2 2 6 4" xfId="15984"/>
    <cellStyle name="20% - Accent5 4 2 2 2 6 4 2" xfId="15985"/>
    <cellStyle name="20% - Accent5 4 2 2 2 6 5" xfId="15986"/>
    <cellStyle name="20% - Accent5 4 2 2 2 6 6" xfId="15987"/>
    <cellStyle name="20% - Accent5 4 2 2 2 7" xfId="15988"/>
    <cellStyle name="20% - Accent5 4 2 2 2 7 2" xfId="15989"/>
    <cellStyle name="20% - Accent5 4 2 2 2 7 2 2" xfId="15990"/>
    <cellStyle name="20% - Accent5 4 2 2 2 7 2 3" xfId="15991"/>
    <cellStyle name="20% - Accent5 4 2 2 2 7 3" xfId="15992"/>
    <cellStyle name="20% - Accent5 4 2 2 2 7 3 2" xfId="15993"/>
    <cellStyle name="20% - Accent5 4 2 2 2 7 4" xfId="15994"/>
    <cellStyle name="20% - Accent5 4 2 2 2 7 5" xfId="15995"/>
    <cellStyle name="20% - Accent5 4 2 2 2 8" xfId="15996"/>
    <cellStyle name="20% - Accent5 4 2 2 2 8 2" xfId="15997"/>
    <cellStyle name="20% - Accent5 4 2 2 2 8 3" xfId="15998"/>
    <cellStyle name="20% - Accent5 4 2 2 2 9" xfId="15999"/>
    <cellStyle name="20% - Accent5 4 2 2 2 9 2" xfId="16000"/>
    <cellStyle name="20% - Accent5 4 2 2 2 9 3" xfId="16001"/>
    <cellStyle name="20% - Accent5 4 2 2 3" xfId="1135"/>
    <cellStyle name="20% - Accent5 4 2 2 3 10" xfId="16002"/>
    <cellStyle name="20% - Accent5 4 2 2 3 2" xfId="1136"/>
    <cellStyle name="20% - Accent5 4 2 2 3 2 2" xfId="16003"/>
    <cellStyle name="20% - Accent5 4 2 2 3 2 2 2" xfId="16004"/>
    <cellStyle name="20% - Accent5 4 2 2 3 2 2 2 2" xfId="16005"/>
    <cellStyle name="20% - Accent5 4 2 2 3 2 2 2 3" xfId="16006"/>
    <cellStyle name="20% - Accent5 4 2 2 3 2 2 3" xfId="16007"/>
    <cellStyle name="20% - Accent5 4 2 2 3 2 2 3 2" xfId="16008"/>
    <cellStyle name="20% - Accent5 4 2 2 3 2 2 3 3" xfId="16009"/>
    <cellStyle name="20% - Accent5 4 2 2 3 2 2 4" xfId="16010"/>
    <cellStyle name="20% - Accent5 4 2 2 3 2 2 4 2" xfId="16011"/>
    <cellStyle name="20% - Accent5 4 2 2 3 2 2 5" xfId="16012"/>
    <cellStyle name="20% - Accent5 4 2 2 3 2 2 6" xfId="16013"/>
    <cellStyle name="20% - Accent5 4 2 2 3 2 3" xfId="16014"/>
    <cellStyle name="20% - Accent5 4 2 2 3 2 3 2" xfId="16015"/>
    <cellStyle name="20% - Accent5 4 2 2 3 2 3 2 2" xfId="16016"/>
    <cellStyle name="20% - Accent5 4 2 2 3 2 3 2 3" xfId="16017"/>
    <cellStyle name="20% - Accent5 4 2 2 3 2 3 3" xfId="16018"/>
    <cellStyle name="20% - Accent5 4 2 2 3 2 3 3 2" xfId="16019"/>
    <cellStyle name="20% - Accent5 4 2 2 3 2 3 3 3" xfId="16020"/>
    <cellStyle name="20% - Accent5 4 2 2 3 2 3 4" xfId="16021"/>
    <cellStyle name="20% - Accent5 4 2 2 3 2 3 4 2" xfId="16022"/>
    <cellStyle name="20% - Accent5 4 2 2 3 2 3 5" xfId="16023"/>
    <cellStyle name="20% - Accent5 4 2 2 3 2 3 6" xfId="16024"/>
    <cellStyle name="20% - Accent5 4 2 2 3 2 4" xfId="16025"/>
    <cellStyle name="20% - Accent5 4 2 2 3 2 4 2" xfId="16026"/>
    <cellStyle name="20% - Accent5 4 2 2 3 2 4 2 2" xfId="16027"/>
    <cellStyle name="20% - Accent5 4 2 2 3 2 4 2 3" xfId="16028"/>
    <cellStyle name="20% - Accent5 4 2 2 3 2 4 3" xfId="16029"/>
    <cellStyle name="20% - Accent5 4 2 2 3 2 4 3 2" xfId="16030"/>
    <cellStyle name="20% - Accent5 4 2 2 3 2 4 4" xfId="16031"/>
    <cellStyle name="20% - Accent5 4 2 2 3 2 4 5" xfId="16032"/>
    <cellStyle name="20% - Accent5 4 2 2 3 2 5" xfId="16033"/>
    <cellStyle name="20% - Accent5 4 2 2 3 2 5 2" xfId="16034"/>
    <cellStyle name="20% - Accent5 4 2 2 3 2 5 3" xfId="16035"/>
    <cellStyle name="20% - Accent5 4 2 2 3 2 6" xfId="16036"/>
    <cellStyle name="20% - Accent5 4 2 2 3 2 6 2" xfId="16037"/>
    <cellStyle name="20% - Accent5 4 2 2 3 2 6 3" xfId="16038"/>
    <cellStyle name="20% - Accent5 4 2 2 3 2 7" xfId="16039"/>
    <cellStyle name="20% - Accent5 4 2 2 3 2 7 2" xfId="16040"/>
    <cellStyle name="20% - Accent5 4 2 2 3 2 8" xfId="16041"/>
    <cellStyle name="20% - Accent5 4 2 2 3 2 9" xfId="16042"/>
    <cellStyle name="20% - Accent5 4 2 2 3 3" xfId="16043"/>
    <cellStyle name="20% - Accent5 4 2 2 3 3 2" xfId="16044"/>
    <cellStyle name="20% - Accent5 4 2 2 3 3 2 2" xfId="16045"/>
    <cellStyle name="20% - Accent5 4 2 2 3 3 2 3" xfId="16046"/>
    <cellStyle name="20% - Accent5 4 2 2 3 3 3" xfId="16047"/>
    <cellStyle name="20% - Accent5 4 2 2 3 3 3 2" xfId="16048"/>
    <cellStyle name="20% - Accent5 4 2 2 3 3 3 3" xfId="16049"/>
    <cellStyle name="20% - Accent5 4 2 2 3 3 4" xfId="16050"/>
    <cellStyle name="20% - Accent5 4 2 2 3 3 4 2" xfId="16051"/>
    <cellStyle name="20% - Accent5 4 2 2 3 3 5" xfId="16052"/>
    <cellStyle name="20% - Accent5 4 2 2 3 3 6" xfId="16053"/>
    <cellStyle name="20% - Accent5 4 2 2 3 4" xfId="16054"/>
    <cellStyle name="20% - Accent5 4 2 2 3 4 2" xfId="16055"/>
    <cellStyle name="20% - Accent5 4 2 2 3 4 2 2" xfId="16056"/>
    <cellStyle name="20% - Accent5 4 2 2 3 4 2 3" xfId="16057"/>
    <cellStyle name="20% - Accent5 4 2 2 3 4 3" xfId="16058"/>
    <cellStyle name="20% - Accent5 4 2 2 3 4 3 2" xfId="16059"/>
    <cellStyle name="20% - Accent5 4 2 2 3 4 3 3" xfId="16060"/>
    <cellStyle name="20% - Accent5 4 2 2 3 4 4" xfId="16061"/>
    <cellStyle name="20% - Accent5 4 2 2 3 4 4 2" xfId="16062"/>
    <cellStyle name="20% - Accent5 4 2 2 3 4 5" xfId="16063"/>
    <cellStyle name="20% - Accent5 4 2 2 3 4 6" xfId="16064"/>
    <cellStyle name="20% - Accent5 4 2 2 3 5" xfId="16065"/>
    <cellStyle name="20% - Accent5 4 2 2 3 5 2" xfId="16066"/>
    <cellStyle name="20% - Accent5 4 2 2 3 5 2 2" xfId="16067"/>
    <cellStyle name="20% - Accent5 4 2 2 3 5 2 3" xfId="16068"/>
    <cellStyle name="20% - Accent5 4 2 2 3 5 3" xfId="16069"/>
    <cellStyle name="20% - Accent5 4 2 2 3 5 3 2" xfId="16070"/>
    <cellStyle name="20% - Accent5 4 2 2 3 5 4" xfId="16071"/>
    <cellStyle name="20% - Accent5 4 2 2 3 5 5" xfId="16072"/>
    <cellStyle name="20% - Accent5 4 2 2 3 6" xfId="16073"/>
    <cellStyle name="20% - Accent5 4 2 2 3 6 2" xfId="16074"/>
    <cellStyle name="20% - Accent5 4 2 2 3 6 3" xfId="16075"/>
    <cellStyle name="20% - Accent5 4 2 2 3 7" xfId="16076"/>
    <cellStyle name="20% - Accent5 4 2 2 3 7 2" xfId="16077"/>
    <cellStyle name="20% - Accent5 4 2 2 3 7 3" xfId="16078"/>
    <cellStyle name="20% - Accent5 4 2 2 3 8" xfId="16079"/>
    <cellStyle name="20% - Accent5 4 2 2 3 8 2" xfId="16080"/>
    <cellStyle name="20% - Accent5 4 2 2 3 9" xfId="16081"/>
    <cellStyle name="20% - Accent5 4 2 2 4" xfId="1137"/>
    <cellStyle name="20% - Accent5 4 2 2 4 2" xfId="16082"/>
    <cellStyle name="20% - Accent5 4 2 2 4 2 2" xfId="16083"/>
    <cellStyle name="20% - Accent5 4 2 2 4 2 2 2" xfId="16084"/>
    <cellStyle name="20% - Accent5 4 2 2 4 2 2 3" xfId="16085"/>
    <cellStyle name="20% - Accent5 4 2 2 4 2 3" xfId="16086"/>
    <cellStyle name="20% - Accent5 4 2 2 4 2 3 2" xfId="16087"/>
    <cellStyle name="20% - Accent5 4 2 2 4 2 3 3" xfId="16088"/>
    <cellStyle name="20% - Accent5 4 2 2 4 2 4" xfId="16089"/>
    <cellStyle name="20% - Accent5 4 2 2 4 2 4 2" xfId="16090"/>
    <cellStyle name="20% - Accent5 4 2 2 4 2 5" xfId="16091"/>
    <cellStyle name="20% - Accent5 4 2 2 4 2 6" xfId="16092"/>
    <cellStyle name="20% - Accent5 4 2 2 4 3" xfId="16093"/>
    <cellStyle name="20% - Accent5 4 2 2 4 3 2" xfId="16094"/>
    <cellStyle name="20% - Accent5 4 2 2 4 3 2 2" xfId="16095"/>
    <cellStyle name="20% - Accent5 4 2 2 4 3 2 3" xfId="16096"/>
    <cellStyle name="20% - Accent5 4 2 2 4 3 3" xfId="16097"/>
    <cellStyle name="20% - Accent5 4 2 2 4 3 3 2" xfId="16098"/>
    <cellStyle name="20% - Accent5 4 2 2 4 3 3 3" xfId="16099"/>
    <cellStyle name="20% - Accent5 4 2 2 4 3 4" xfId="16100"/>
    <cellStyle name="20% - Accent5 4 2 2 4 3 4 2" xfId="16101"/>
    <cellStyle name="20% - Accent5 4 2 2 4 3 5" xfId="16102"/>
    <cellStyle name="20% - Accent5 4 2 2 4 3 6" xfId="16103"/>
    <cellStyle name="20% - Accent5 4 2 2 4 4" xfId="16104"/>
    <cellStyle name="20% - Accent5 4 2 2 4 4 2" xfId="16105"/>
    <cellStyle name="20% - Accent5 4 2 2 4 4 2 2" xfId="16106"/>
    <cellStyle name="20% - Accent5 4 2 2 4 4 2 3" xfId="16107"/>
    <cellStyle name="20% - Accent5 4 2 2 4 4 3" xfId="16108"/>
    <cellStyle name="20% - Accent5 4 2 2 4 4 3 2" xfId="16109"/>
    <cellStyle name="20% - Accent5 4 2 2 4 4 4" xfId="16110"/>
    <cellStyle name="20% - Accent5 4 2 2 4 4 5" xfId="16111"/>
    <cellStyle name="20% - Accent5 4 2 2 4 5" xfId="16112"/>
    <cellStyle name="20% - Accent5 4 2 2 4 5 2" xfId="16113"/>
    <cellStyle name="20% - Accent5 4 2 2 4 5 3" xfId="16114"/>
    <cellStyle name="20% - Accent5 4 2 2 4 6" xfId="16115"/>
    <cellStyle name="20% - Accent5 4 2 2 4 6 2" xfId="16116"/>
    <cellStyle name="20% - Accent5 4 2 2 4 6 3" xfId="16117"/>
    <cellStyle name="20% - Accent5 4 2 2 4 7" xfId="16118"/>
    <cellStyle name="20% - Accent5 4 2 2 4 7 2" xfId="16119"/>
    <cellStyle name="20% - Accent5 4 2 2 4 8" xfId="16120"/>
    <cellStyle name="20% - Accent5 4 2 2 4 9" xfId="16121"/>
    <cellStyle name="20% - Accent5 4 2 2 5" xfId="16122"/>
    <cellStyle name="20% - Accent5 4 2 2 5 2" xfId="16123"/>
    <cellStyle name="20% - Accent5 4 2 2 5 2 2" xfId="16124"/>
    <cellStyle name="20% - Accent5 4 2 2 5 2 2 2" xfId="16125"/>
    <cellStyle name="20% - Accent5 4 2 2 5 2 2 3" xfId="16126"/>
    <cellStyle name="20% - Accent5 4 2 2 5 2 3" xfId="16127"/>
    <cellStyle name="20% - Accent5 4 2 2 5 2 3 2" xfId="16128"/>
    <cellStyle name="20% - Accent5 4 2 2 5 2 3 3" xfId="16129"/>
    <cellStyle name="20% - Accent5 4 2 2 5 2 4" xfId="16130"/>
    <cellStyle name="20% - Accent5 4 2 2 5 2 4 2" xfId="16131"/>
    <cellStyle name="20% - Accent5 4 2 2 5 2 5" xfId="16132"/>
    <cellStyle name="20% - Accent5 4 2 2 5 2 6" xfId="16133"/>
    <cellStyle name="20% - Accent5 4 2 2 5 3" xfId="16134"/>
    <cellStyle name="20% - Accent5 4 2 2 5 3 2" xfId="16135"/>
    <cellStyle name="20% - Accent5 4 2 2 5 3 2 2" xfId="16136"/>
    <cellStyle name="20% - Accent5 4 2 2 5 3 2 3" xfId="16137"/>
    <cellStyle name="20% - Accent5 4 2 2 5 3 3" xfId="16138"/>
    <cellStyle name="20% - Accent5 4 2 2 5 3 3 2" xfId="16139"/>
    <cellStyle name="20% - Accent5 4 2 2 5 3 3 3" xfId="16140"/>
    <cellStyle name="20% - Accent5 4 2 2 5 3 4" xfId="16141"/>
    <cellStyle name="20% - Accent5 4 2 2 5 3 4 2" xfId="16142"/>
    <cellStyle name="20% - Accent5 4 2 2 5 3 5" xfId="16143"/>
    <cellStyle name="20% - Accent5 4 2 2 5 3 6" xfId="16144"/>
    <cellStyle name="20% - Accent5 4 2 2 5 4" xfId="16145"/>
    <cellStyle name="20% - Accent5 4 2 2 5 4 2" xfId="16146"/>
    <cellStyle name="20% - Accent5 4 2 2 5 4 2 2" xfId="16147"/>
    <cellStyle name="20% - Accent5 4 2 2 5 4 2 3" xfId="16148"/>
    <cellStyle name="20% - Accent5 4 2 2 5 4 3" xfId="16149"/>
    <cellStyle name="20% - Accent5 4 2 2 5 4 3 2" xfId="16150"/>
    <cellStyle name="20% - Accent5 4 2 2 5 4 4" xfId="16151"/>
    <cellStyle name="20% - Accent5 4 2 2 5 4 5" xfId="16152"/>
    <cellStyle name="20% - Accent5 4 2 2 5 5" xfId="16153"/>
    <cellStyle name="20% - Accent5 4 2 2 5 5 2" xfId="16154"/>
    <cellStyle name="20% - Accent5 4 2 2 5 5 3" xfId="16155"/>
    <cellStyle name="20% - Accent5 4 2 2 5 6" xfId="16156"/>
    <cellStyle name="20% - Accent5 4 2 2 5 6 2" xfId="16157"/>
    <cellStyle name="20% - Accent5 4 2 2 5 6 3" xfId="16158"/>
    <cellStyle name="20% - Accent5 4 2 2 5 7" xfId="16159"/>
    <cellStyle name="20% - Accent5 4 2 2 5 7 2" xfId="16160"/>
    <cellStyle name="20% - Accent5 4 2 2 5 8" xfId="16161"/>
    <cellStyle name="20% - Accent5 4 2 2 5 9" xfId="16162"/>
    <cellStyle name="20% - Accent5 4 2 2 6" xfId="16163"/>
    <cellStyle name="20% - Accent5 4 2 2 6 2" xfId="16164"/>
    <cellStyle name="20% - Accent5 4 2 2 6 2 2" xfId="16165"/>
    <cellStyle name="20% - Accent5 4 2 2 6 2 3" xfId="16166"/>
    <cellStyle name="20% - Accent5 4 2 2 6 3" xfId="16167"/>
    <cellStyle name="20% - Accent5 4 2 2 6 3 2" xfId="16168"/>
    <cellStyle name="20% - Accent5 4 2 2 6 3 3" xfId="16169"/>
    <cellStyle name="20% - Accent5 4 2 2 6 4" xfId="16170"/>
    <cellStyle name="20% - Accent5 4 2 2 6 4 2" xfId="16171"/>
    <cellStyle name="20% - Accent5 4 2 2 6 5" xfId="16172"/>
    <cellStyle name="20% - Accent5 4 2 2 6 6" xfId="16173"/>
    <cellStyle name="20% - Accent5 4 2 2 7" xfId="16174"/>
    <cellStyle name="20% - Accent5 4 2 2 7 2" xfId="16175"/>
    <cellStyle name="20% - Accent5 4 2 2 7 2 2" xfId="16176"/>
    <cellStyle name="20% - Accent5 4 2 2 7 2 3" xfId="16177"/>
    <cellStyle name="20% - Accent5 4 2 2 7 3" xfId="16178"/>
    <cellStyle name="20% - Accent5 4 2 2 7 3 2" xfId="16179"/>
    <cellStyle name="20% - Accent5 4 2 2 7 3 3" xfId="16180"/>
    <cellStyle name="20% - Accent5 4 2 2 7 4" xfId="16181"/>
    <cellStyle name="20% - Accent5 4 2 2 7 4 2" xfId="16182"/>
    <cellStyle name="20% - Accent5 4 2 2 7 5" xfId="16183"/>
    <cellStyle name="20% - Accent5 4 2 2 7 6" xfId="16184"/>
    <cellStyle name="20% - Accent5 4 2 2 8" xfId="16185"/>
    <cellStyle name="20% - Accent5 4 2 2 8 2" xfId="16186"/>
    <cellStyle name="20% - Accent5 4 2 2 8 2 2" xfId="16187"/>
    <cellStyle name="20% - Accent5 4 2 2 8 2 3" xfId="16188"/>
    <cellStyle name="20% - Accent5 4 2 2 8 3" xfId="16189"/>
    <cellStyle name="20% - Accent5 4 2 2 8 3 2" xfId="16190"/>
    <cellStyle name="20% - Accent5 4 2 2 8 4" xfId="16191"/>
    <cellStyle name="20% - Accent5 4 2 2 8 5" xfId="16192"/>
    <cellStyle name="20% - Accent5 4 2 2 9" xfId="16193"/>
    <cellStyle name="20% - Accent5 4 2 2 9 2" xfId="16194"/>
    <cellStyle name="20% - Accent5 4 2 2 9 3" xfId="16195"/>
    <cellStyle name="20% - Accent5 4 2 3" xfId="1138"/>
    <cellStyle name="20% - Accent5 4 2 3 10" xfId="16196"/>
    <cellStyle name="20% - Accent5 4 2 3 10 2" xfId="16197"/>
    <cellStyle name="20% - Accent5 4 2 3 11" xfId="16198"/>
    <cellStyle name="20% - Accent5 4 2 3 12" xfId="16199"/>
    <cellStyle name="20% - Accent5 4 2 3 2" xfId="1139"/>
    <cellStyle name="20% - Accent5 4 2 3 2 10" xfId="16200"/>
    <cellStyle name="20% - Accent5 4 2 3 2 2" xfId="1140"/>
    <cellStyle name="20% - Accent5 4 2 3 2 2 2" xfId="16201"/>
    <cellStyle name="20% - Accent5 4 2 3 2 2 2 2" xfId="16202"/>
    <cellStyle name="20% - Accent5 4 2 3 2 2 2 2 2" xfId="16203"/>
    <cellStyle name="20% - Accent5 4 2 3 2 2 2 2 3" xfId="16204"/>
    <cellStyle name="20% - Accent5 4 2 3 2 2 2 3" xfId="16205"/>
    <cellStyle name="20% - Accent5 4 2 3 2 2 2 3 2" xfId="16206"/>
    <cellStyle name="20% - Accent5 4 2 3 2 2 2 3 3" xfId="16207"/>
    <cellStyle name="20% - Accent5 4 2 3 2 2 2 4" xfId="16208"/>
    <cellStyle name="20% - Accent5 4 2 3 2 2 2 4 2" xfId="16209"/>
    <cellStyle name="20% - Accent5 4 2 3 2 2 2 5" xfId="16210"/>
    <cellStyle name="20% - Accent5 4 2 3 2 2 2 6" xfId="16211"/>
    <cellStyle name="20% - Accent5 4 2 3 2 2 3" xfId="16212"/>
    <cellStyle name="20% - Accent5 4 2 3 2 2 3 2" xfId="16213"/>
    <cellStyle name="20% - Accent5 4 2 3 2 2 3 2 2" xfId="16214"/>
    <cellStyle name="20% - Accent5 4 2 3 2 2 3 2 3" xfId="16215"/>
    <cellStyle name="20% - Accent5 4 2 3 2 2 3 3" xfId="16216"/>
    <cellStyle name="20% - Accent5 4 2 3 2 2 3 3 2" xfId="16217"/>
    <cellStyle name="20% - Accent5 4 2 3 2 2 3 3 3" xfId="16218"/>
    <cellStyle name="20% - Accent5 4 2 3 2 2 3 4" xfId="16219"/>
    <cellStyle name="20% - Accent5 4 2 3 2 2 3 4 2" xfId="16220"/>
    <cellStyle name="20% - Accent5 4 2 3 2 2 3 5" xfId="16221"/>
    <cellStyle name="20% - Accent5 4 2 3 2 2 3 6" xfId="16222"/>
    <cellStyle name="20% - Accent5 4 2 3 2 2 4" xfId="16223"/>
    <cellStyle name="20% - Accent5 4 2 3 2 2 4 2" xfId="16224"/>
    <cellStyle name="20% - Accent5 4 2 3 2 2 4 2 2" xfId="16225"/>
    <cellStyle name="20% - Accent5 4 2 3 2 2 4 2 3" xfId="16226"/>
    <cellStyle name="20% - Accent5 4 2 3 2 2 4 3" xfId="16227"/>
    <cellStyle name="20% - Accent5 4 2 3 2 2 4 3 2" xfId="16228"/>
    <cellStyle name="20% - Accent5 4 2 3 2 2 4 4" xfId="16229"/>
    <cellStyle name="20% - Accent5 4 2 3 2 2 4 5" xfId="16230"/>
    <cellStyle name="20% - Accent5 4 2 3 2 2 5" xfId="16231"/>
    <cellStyle name="20% - Accent5 4 2 3 2 2 5 2" xfId="16232"/>
    <cellStyle name="20% - Accent5 4 2 3 2 2 5 3" xfId="16233"/>
    <cellStyle name="20% - Accent5 4 2 3 2 2 6" xfId="16234"/>
    <cellStyle name="20% - Accent5 4 2 3 2 2 6 2" xfId="16235"/>
    <cellStyle name="20% - Accent5 4 2 3 2 2 6 3" xfId="16236"/>
    <cellStyle name="20% - Accent5 4 2 3 2 2 7" xfId="16237"/>
    <cellStyle name="20% - Accent5 4 2 3 2 2 7 2" xfId="16238"/>
    <cellStyle name="20% - Accent5 4 2 3 2 2 8" xfId="16239"/>
    <cellStyle name="20% - Accent5 4 2 3 2 2 9" xfId="16240"/>
    <cellStyle name="20% - Accent5 4 2 3 2 3" xfId="16241"/>
    <cellStyle name="20% - Accent5 4 2 3 2 3 2" xfId="16242"/>
    <cellStyle name="20% - Accent5 4 2 3 2 3 2 2" xfId="16243"/>
    <cellStyle name="20% - Accent5 4 2 3 2 3 2 3" xfId="16244"/>
    <cellStyle name="20% - Accent5 4 2 3 2 3 3" xfId="16245"/>
    <cellStyle name="20% - Accent5 4 2 3 2 3 3 2" xfId="16246"/>
    <cellStyle name="20% - Accent5 4 2 3 2 3 3 3" xfId="16247"/>
    <cellStyle name="20% - Accent5 4 2 3 2 3 4" xfId="16248"/>
    <cellStyle name="20% - Accent5 4 2 3 2 3 4 2" xfId="16249"/>
    <cellStyle name="20% - Accent5 4 2 3 2 3 5" xfId="16250"/>
    <cellStyle name="20% - Accent5 4 2 3 2 3 6" xfId="16251"/>
    <cellStyle name="20% - Accent5 4 2 3 2 4" xfId="16252"/>
    <cellStyle name="20% - Accent5 4 2 3 2 4 2" xfId="16253"/>
    <cellStyle name="20% - Accent5 4 2 3 2 4 2 2" xfId="16254"/>
    <cellStyle name="20% - Accent5 4 2 3 2 4 2 3" xfId="16255"/>
    <cellStyle name="20% - Accent5 4 2 3 2 4 3" xfId="16256"/>
    <cellStyle name="20% - Accent5 4 2 3 2 4 3 2" xfId="16257"/>
    <cellStyle name="20% - Accent5 4 2 3 2 4 3 3" xfId="16258"/>
    <cellStyle name="20% - Accent5 4 2 3 2 4 4" xfId="16259"/>
    <cellStyle name="20% - Accent5 4 2 3 2 4 4 2" xfId="16260"/>
    <cellStyle name="20% - Accent5 4 2 3 2 4 5" xfId="16261"/>
    <cellStyle name="20% - Accent5 4 2 3 2 4 6" xfId="16262"/>
    <cellStyle name="20% - Accent5 4 2 3 2 5" xfId="16263"/>
    <cellStyle name="20% - Accent5 4 2 3 2 5 2" xfId="16264"/>
    <cellStyle name="20% - Accent5 4 2 3 2 5 2 2" xfId="16265"/>
    <cellStyle name="20% - Accent5 4 2 3 2 5 2 3" xfId="16266"/>
    <cellStyle name="20% - Accent5 4 2 3 2 5 3" xfId="16267"/>
    <cellStyle name="20% - Accent5 4 2 3 2 5 3 2" xfId="16268"/>
    <cellStyle name="20% - Accent5 4 2 3 2 5 4" xfId="16269"/>
    <cellStyle name="20% - Accent5 4 2 3 2 5 5" xfId="16270"/>
    <cellStyle name="20% - Accent5 4 2 3 2 6" xfId="16271"/>
    <cellStyle name="20% - Accent5 4 2 3 2 6 2" xfId="16272"/>
    <cellStyle name="20% - Accent5 4 2 3 2 6 3" xfId="16273"/>
    <cellStyle name="20% - Accent5 4 2 3 2 7" xfId="16274"/>
    <cellStyle name="20% - Accent5 4 2 3 2 7 2" xfId="16275"/>
    <cellStyle name="20% - Accent5 4 2 3 2 7 3" xfId="16276"/>
    <cellStyle name="20% - Accent5 4 2 3 2 8" xfId="16277"/>
    <cellStyle name="20% - Accent5 4 2 3 2 8 2" xfId="16278"/>
    <cellStyle name="20% - Accent5 4 2 3 2 9" xfId="16279"/>
    <cellStyle name="20% - Accent5 4 2 3 3" xfId="1141"/>
    <cellStyle name="20% - Accent5 4 2 3 3 2" xfId="16280"/>
    <cellStyle name="20% - Accent5 4 2 3 3 2 2" xfId="16281"/>
    <cellStyle name="20% - Accent5 4 2 3 3 2 2 2" xfId="16282"/>
    <cellStyle name="20% - Accent5 4 2 3 3 2 2 3" xfId="16283"/>
    <cellStyle name="20% - Accent5 4 2 3 3 2 3" xfId="16284"/>
    <cellStyle name="20% - Accent5 4 2 3 3 2 3 2" xfId="16285"/>
    <cellStyle name="20% - Accent5 4 2 3 3 2 3 3" xfId="16286"/>
    <cellStyle name="20% - Accent5 4 2 3 3 2 4" xfId="16287"/>
    <cellStyle name="20% - Accent5 4 2 3 3 2 4 2" xfId="16288"/>
    <cellStyle name="20% - Accent5 4 2 3 3 2 5" xfId="16289"/>
    <cellStyle name="20% - Accent5 4 2 3 3 2 6" xfId="16290"/>
    <cellStyle name="20% - Accent5 4 2 3 3 3" xfId="16291"/>
    <cellStyle name="20% - Accent5 4 2 3 3 3 2" xfId="16292"/>
    <cellStyle name="20% - Accent5 4 2 3 3 3 2 2" xfId="16293"/>
    <cellStyle name="20% - Accent5 4 2 3 3 3 2 3" xfId="16294"/>
    <cellStyle name="20% - Accent5 4 2 3 3 3 3" xfId="16295"/>
    <cellStyle name="20% - Accent5 4 2 3 3 3 3 2" xfId="16296"/>
    <cellStyle name="20% - Accent5 4 2 3 3 3 3 3" xfId="16297"/>
    <cellStyle name="20% - Accent5 4 2 3 3 3 4" xfId="16298"/>
    <cellStyle name="20% - Accent5 4 2 3 3 3 4 2" xfId="16299"/>
    <cellStyle name="20% - Accent5 4 2 3 3 3 5" xfId="16300"/>
    <cellStyle name="20% - Accent5 4 2 3 3 3 6" xfId="16301"/>
    <cellStyle name="20% - Accent5 4 2 3 3 4" xfId="16302"/>
    <cellStyle name="20% - Accent5 4 2 3 3 4 2" xfId="16303"/>
    <cellStyle name="20% - Accent5 4 2 3 3 4 2 2" xfId="16304"/>
    <cellStyle name="20% - Accent5 4 2 3 3 4 2 3" xfId="16305"/>
    <cellStyle name="20% - Accent5 4 2 3 3 4 3" xfId="16306"/>
    <cellStyle name="20% - Accent5 4 2 3 3 4 3 2" xfId="16307"/>
    <cellStyle name="20% - Accent5 4 2 3 3 4 4" xfId="16308"/>
    <cellStyle name="20% - Accent5 4 2 3 3 4 5" xfId="16309"/>
    <cellStyle name="20% - Accent5 4 2 3 3 5" xfId="16310"/>
    <cellStyle name="20% - Accent5 4 2 3 3 5 2" xfId="16311"/>
    <cellStyle name="20% - Accent5 4 2 3 3 5 3" xfId="16312"/>
    <cellStyle name="20% - Accent5 4 2 3 3 6" xfId="16313"/>
    <cellStyle name="20% - Accent5 4 2 3 3 6 2" xfId="16314"/>
    <cellStyle name="20% - Accent5 4 2 3 3 6 3" xfId="16315"/>
    <cellStyle name="20% - Accent5 4 2 3 3 7" xfId="16316"/>
    <cellStyle name="20% - Accent5 4 2 3 3 7 2" xfId="16317"/>
    <cellStyle name="20% - Accent5 4 2 3 3 8" xfId="16318"/>
    <cellStyle name="20% - Accent5 4 2 3 3 9" xfId="16319"/>
    <cellStyle name="20% - Accent5 4 2 3 4" xfId="16320"/>
    <cellStyle name="20% - Accent5 4 2 3 4 2" xfId="16321"/>
    <cellStyle name="20% - Accent5 4 2 3 4 2 2" xfId="16322"/>
    <cellStyle name="20% - Accent5 4 2 3 4 2 2 2" xfId="16323"/>
    <cellStyle name="20% - Accent5 4 2 3 4 2 2 3" xfId="16324"/>
    <cellStyle name="20% - Accent5 4 2 3 4 2 3" xfId="16325"/>
    <cellStyle name="20% - Accent5 4 2 3 4 2 3 2" xfId="16326"/>
    <cellStyle name="20% - Accent5 4 2 3 4 2 3 3" xfId="16327"/>
    <cellStyle name="20% - Accent5 4 2 3 4 2 4" xfId="16328"/>
    <cellStyle name="20% - Accent5 4 2 3 4 2 4 2" xfId="16329"/>
    <cellStyle name="20% - Accent5 4 2 3 4 2 5" xfId="16330"/>
    <cellStyle name="20% - Accent5 4 2 3 4 2 6" xfId="16331"/>
    <cellStyle name="20% - Accent5 4 2 3 4 3" xfId="16332"/>
    <cellStyle name="20% - Accent5 4 2 3 4 3 2" xfId="16333"/>
    <cellStyle name="20% - Accent5 4 2 3 4 3 2 2" xfId="16334"/>
    <cellStyle name="20% - Accent5 4 2 3 4 3 2 3" xfId="16335"/>
    <cellStyle name="20% - Accent5 4 2 3 4 3 3" xfId="16336"/>
    <cellStyle name="20% - Accent5 4 2 3 4 3 3 2" xfId="16337"/>
    <cellStyle name="20% - Accent5 4 2 3 4 3 3 3" xfId="16338"/>
    <cellStyle name="20% - Accent5 4 2 3 4 3 4" xfId="16339"/>
    <cellStyle name="20% - Accent5 4 2 3 4 3 4 2" xfId="16340"/>
    <cellStyle name="20% - Accent5 4 2 3 4 3 5" xfId="16341"/>
    <cellStyle name="20% - Accent5 4 2 3 4 3 6" xfId="16342"/>
    <cellStyle name="20% - Accent5 4 2 3 4 4" xfId="16343"/>
    <cellStyle name="20% - Accent5 4 2 3 4 4 2" xfId="16344"/>
    <cellStyle name="20% - Accent5 4 2 3 4 4 2 2" xfId="16345"/>
    <cellStyle name="20% - Accent5 4 2 3 4 4 2 3" xfId="16346"/>
    <cellStyle name="20% - Accent5 4 2 3 4 4 3" xfId="16347"/>
    <cellStyle name="20% - Accent5 4 2 3 4 4 3 2" xfId="16348"/>
    <cellStyle name="20% - Accent5 4 2 3 4 4 4" xfId="16349"/>
    <cellStyle name="20% - Accent5 4 2 3 4 4 5" xfId="16350"/>
    <cellStyle name="20% - Accent5 4 2 3 4 5" xfId="16351"/>
    <cellStyle name="20% - Accent5 4 2 3 4 5 2" xfId="16352"/>
    <cellStyle name="20% - Accent5 4 2 3 4 5 3" xfId="16353"/>
    <cellStyle name="20% - Accent5 4 2 3 4 6" xfId="16354"/>
    <cellStyle name="20% - Accent5 4 2 3 4 6 2" xfId="16355"/>
    <cellStyle name="20% - Accent5 4 2 3 4 6 3" xfId="16356"/>
    <cellStyle name="20% - Accent5 4 2 3 4 7" xfId="16357"/>
    <cellStyle name="20% - Accent5 4 2 3 4 7 2" xfId="16358"/>
    <cellStyle name="20% - Accent5 4 2 3 4 8" xfId="16359"/>
    <cellStyle name="20% - Accent5 4 2 3 4 9" xfId="16360"/>
    <cellStyle name="20% - Accent5 4 2 3 5" xfId="16361"/>
    <cellStyle name="20% - Accent5 4 2 3 5 2" xfId="16362"/>
    <cellStyle name="20% - Accent5 4 2 3 5 2 2" xfId="16363"/>
    <cellStyle name="20% - Accent5 4 2 3 5 2 3" xfId="16364"/>
    <cellStyle name="20% - Accent5 4 2 3 5 3" xfId="16365"/>
    <cellStyle name="20% - Accent5 4 2 3 5 3 2" xfId="16366"/>
    <cellStyle name="20% - Accent5 4 2 3 5 3 3" xfId="16367"/>
    <cellStyle name="20% - Accent5 4 2 3 5 4" xfId="16368"/>
    <cellStyle name="20% - Accent5 4 2 3 5 4 2" xfId="16369"/>
    <cellStyle name="20% - Accent5 4 2 3 5 5" xfId="16370"/>
    <cellStyle name="20% - Accent5 4 2 3 5 6" xfId="16371"/>
    <cellStyle name="20% - Accent5 4 2 3 6" xfId="16372"/>
    <cellStyle name="20% - Accent5 4 2 3 6 2" xfId="16373"/>
    <cellStyle name="20% - Accent5 4 2 3 6 2 2" xfId="16374"/>
    <cellStyle name="20% - Accent5 4 2 3 6 2 3" xfId="16375"/>
    <cellStyle name="20% - Accent5 4 2 3 6 3" xfId="16376"/>
    <cellStyle name="20% - Accent5 4 2 3 6 3 2" xfId="16377"/>
    <cellStyle name="20% - Accent5 4 2 3 6 3 3" xfId="16378"/>
    <cellStyle name="20% - Accent5 4 2 3 6 4" xfId="16379"/>
    <cellStyle name="20% - Accent5 4 2 3 6 4 2" xfId="16380"/>
    <cellStyle name="20% - Accent5 4 2 3 6 5" xfId="16381"/>
    <cellStyle name="20% - Accent5 4 2 3 6 6" xfId="16382"/>
    <cellStyle name="20% - Accent5 4 2 3 7" xfId="16383"/>
    <cellStyle name="20% - Accent5 4 2 3 7 2" xfId="16384"/>
    <cellStyle name="20% - Accent5 4 2 3 7 2 2" xfId="16385"/>
    <cellStyle name="20% - Accent5 4 2 3 7 2 3" xfId="16386"/>
    <cellStyle name="20% - Accent5 4 2 3 7 3" xfId="16387"/>
    <cellStyle name="20% - Accent5 4 2 3 7 3 2" xfId="16388"/>
    <cellStyle name="20% - Accent5 4 2 3 7 4" xfId="16389"/>
    <cellStyle name="20% - Accent5 4 2 3 7 5" xfId="16390"/>
    <cellStyle name="20% - Accent5 4 2 3 8" xfId="16391"/>
    <cellStyle name="20% - Accent5 4 2 3 8 2" xfId="16392"/>
    <cellStyle name="20% - Accent5 4 2 3 8 3" xfId="16393"/>
    <cellStyle name="20% - Accent5 4 2 3 9" xfId="16394"/>
    <cellStyle name="20% - Accent5 4 2 3 9 2" xfId="16395"/>
    <cellStyle name="20% - Accent5 4 2 3 9 3" xfId="16396"/>
    <cellStyle name="20% - Accent5 4 2 4" xfId="1142"/>
    <cellStyle name="20% - Accent5 4 2 4 10" xfId="16397"/>
    <cellStyle name="20% - Accent5 4 2 4 2" xfId="1143"/>
    <cellStyle name="20% - Accent5 4 2 4 2 2" xfId="16398"/>
    <cellStyle name="20% - Accent5 4 2 4 2 2 2" xfId="16399"/>
    <cellStyle name="20% - Accent5 4 2 4 2 2 2 2" xfId="16400"/>
    <cellStyle name="20% - Accent5 4 2 4 2 2 2 3" xfId="16401"/>
    <cellStyle name="20% - Accent5 4 2 4 2 2 3" xfId="16402"/>
    <cellStyle name="20% - Accent5 4 2 4 2 2 3 2" xfId="16403"/>
    <cellStyle name="20% - Accent5 4 2 4 2 2 3 3" xfId="16404"/>
    <cellStyle name="20% - Accent5 4 2 4 2 2 4" xfId="16405"/>
    <cellStyle name="20% - Accent5 4 2 4 2 2 4 2" xfId="16406"/>
    <cellStyle name="20% - Accent5 4 2 4 2 2 5" xfId="16407"/>
    <cellStyle name="20% - Accent5 4 2 4 2 2 6" xfId="16408"/>
    <cellStyle name="20% - Accent5 4 2 4 2 3" xfId="16409"/>
    <cellStyle name="20% - Accent5 4 2 4 2 3 2" xfId="16410"/>
    <cellStyle name="20% - Accent5 4 2 4 2 3 2 2" xfId="16411"/>
    <cellStyle name="20% - Accent5 4 2 4 2 3 2 3" xfId="16412"/>
    <cellStyle name="20% - Accent5 4 2 4 2 3 3" xfId="16413"/>
    <cellStyle name="20% - Accent5 4 2 4 2 3 3 2" xfId="16414"/>
    <cellStyle name="20% - Accent5 4 2 4 2 3 3 3" xfId="16415"/>
    <cellStyle name="20% - Accent5 4 2 4 2 3 4" xfId="16416"/>
    <cellStyle name="20% - Accent5 4 2 4 2 3 4 2" xfId="16417"/>
    <cellStyle name="20% - Accent5 4 2 4 2 3 5" xfId="16418"/>
    <cellStyle name="20% - Accent5 4 2 4 2 3 6" xfId="16419"/>
    <cellStyle name="20% - Accent5 4 2 4 2 4" xfId="16420"/>
    <cellStyle name="20% - Accent5 4 2 4 2 4 2" xfId="16421"/>
    <cellStyle name="20% - Accent5 4 2 4 2 4 2 2" xfId="16422"/>
    <cellStyle name="20% - Accent5 4 2 4 2 4 2 3" xfId="16423"/>
    <cellStyle name="20% - Accent5 4 2 4 2 4 3" xfId="16424"/>
    <cellStyle name="20% - Accent5 4 2 4 2 4 3 2" xfId="16425"/>
    <cellStyle name="20% - Accent5 4 2 4 2 4 4" xfId="16426"/>
    <cellStyle name="20% - Accent5 4 2 4 2 4 5" xfId="16427"/>
    <cellStyle name="20% - Accent5 4 2 4 2 5" xfId="16428"/>
    <cellStyle name="20% - Accent5 4 2 4 2 5 2" xfId="16429"/>
    <cellStyle name="20% - Accent5 4 2 4 2 5 3" xfId="16430"/>
    <cellStyle name="20% - Accent5 4 2 4 2 6" xfId="16431"/>
    <cellStyle name="20% - Accent5 4 2 4 2 6 2" xfId="16432"/>
    <cellStyle name="20% - Accent5 4 2 4 2 6 3" xfId="16433"/>
    <cellStyle name="20% - Accent5 4 2 4 2 7" xfId="16434"/>
    <cellStyle name="20% - Accent5 4 2 4 2 7 2" xfId="16435"/>
    <cellStyle name="20% - Accent5 4 2 4 2 8" xfId="16436"/>
    <cellStyle name="20% - Accent5 4 2 4 2 9" xfId="16437"/>
    <cellStyle name="20% - Accent5 4 2 4 3" xfId="16438"/>
    <cellStyle name="20% - Accent5 4 2 4 3 2" xfId="16439"/>
    <cellStyle name="20% - Accent5 4 2 4 3 2 2" xfId="16440"/>
    <cellStyle name="20% - Accent5 4 2 4 3 2 3" xfId="16441"/>
    <cellStyle name="20% - Accent5 4 2 4 3 3" xfId="16442"/>
    <cellStyle name="20% - Accent5 4 2 4 3 3 2" xfId="16443"/>
    <cellStyle name="20% - Accent5 4 2 4 3 3 3" xfId="16444"/>
    <cellStyle name="20% - Accent5 4 2 4 3 4" xfId="16445"/>
    <cellStyle name="20% - Accent5 4 2 4 3 4 2" xfId="16446"/>
    <cellStyle name="20% - Accent5 4 2 4 3 5" xfId="16447"/>
    <cellStyle name="20% - Accent5 4 2 4 3 6" xfId="16448"/>
    <cellStyle name="20% - Accent5 4 2 4 4" xfId="16449"/>
    <cellStyle name="20% - Accent5 4 2 4 4 2" xfId="16450"/>
    <cellStyle name="20% - Accent5 4 2 4 4 2 2" xfId="16451"/>
    <cellStyle name="20% - Accent5 4 2 4 4 2 3" xfId="16452"/>
    <cellStyle name="20% - Accent5 4 2 4 4 3" xfId="16453"/>
    <cellStyle name="20% - Accent5 4 2 4 4 3 2" xfId="16454"/>
    <cellStyle name="20% - Accent5 4 2 4 4 3 3" xfId="16455"/>
    <cellStyle name="20% - Accent5 4 2 4 4 4" xfId="16456"/>
    <cellStyle name="20% - Accent5 4 2 4 4 4 2" xfId="16457"/>
    <cellStyle name="20% - Accent5 4 2 4 4 5" xfId="16458"/>
    <cellStyle name="20% - Accent5 4 2 4 4 6" xfId="16459"/>
    <cellStyle name="20% - Accent5 4 2 4 5" xfId="16460"/>
    <cellStyle name="20% - Accent5 4 2 4 5 2" xfId="16461"/>
    <cellStyle name="20% - Accent5 4 2 4 5 2 2" xfId="16462"/>
    <cellStyle name="20% - Accent5 4 2 4 5 2 3" xfId="16463"/>
    <cellStyle name="20% - Accent5 4 2 4 5 3" xfId="16464"/>
    <cellStyle name="20% - Accent5 4 2 4 5 3 2" xfId="16465"/>
    <cellStyle name="20% - Accent5 4 2 4 5 4" xfId="16466"/>
    <cellStyle name="20% - Accent5 4 2 4 5 5" xfId="16467"/>
    <cellStyle name="20% - Accent5 4 2 4 6" xfId="16468"/>
    <cellStyle name="20% - Accent5 4 2 4 6 2" xfId="16469"/>
    <cellStyle name="20% - Accent5 4 2 4 6 3" xfId="16470"/>
    <cellStyle name="20% - Accent5 4 2 4 7" xfId="16471"/>
    <cellStyle name="20% - Accent5 4 2 4 7 2" xfId="16472"/>
    <cellStyle name="20% - Accent5 4 2 4 7 3" xfId="16473"/>
    <cellStyle name="20% - Accent5 4 2 4 8" xfId="16474"/>
    <cellStyle name="20% - Accent5 4 2 4 8 2" xfId="16475"/>
    <cellStyle name="20% - Accent5 4 2 4 9" xfId="16476"/>
    <cellStyle name="20% - Accent5 4 2 5" xfId="1144"/>
    <cellStyle name="20% - Accent5 4 2 5 2" xfId="16477"/>
    <cellStyle name="20% - Accent5 4 2 5 2 2" xfId="16478"/>
    <cellStyle name="20% - Accent5 4 2 5 2 2 2" xfId="16479"/>
    <cellStyle name="20% - Accent5 4 2 5 2 2 3" xfId="16480"/>
    <cellStyle name="20% - Accent5 4 2 5 2 3" xfId="16481"/>
    <cellStyle name="20% - Accent5 4 2 5 2 3 2" xfId="16482"/>
    <cellStyle name="20% - Accent5 4 2 5 2 3 3" xfId="16483"/>
    <cellStyle name="20% - Accent5 4 2 5 2 4" xfId="16484"/>
    <cellStyle name="20% - Accent5 4 2 5 2 4 2" xfId="16485"/>
    <cellStyle name="20% - Accent5 4 2 5 2 5" xfId="16486"/>
    <cellStyle name="20% - Accent5 4 2 5 2 6" xfId="16487"/>
    <cellStyle name="20% - Accent5 4 2 5 3" xfId="16488"/>
    <cellStyle name="20% - Accent5 4 2 5 3 2" xfId="16489"/>
    <cellStyle name="20% - Accent5 4 2 5 3 2 2" xfId="16490"/>
    <cellStyle name="20% - Accent5 4 2 5 3 2 3" xfId="16491"/>
    <cellStyle name="20% - Accent5 4 2 5 3 3" xfId="16492"/>
    <cellStyle name="20% - Accent5 4 2 5 3 3 2" xfId="16493"/>
    <cellStyle name="20% - Accent5 4 2 5 3 3 3" xfId="16494"/>
    <cellStyle name="20% - Accent5 4 2 5 3 4" xfId="16495"/>
    <cellStyle name="20% - Accent5 4 2 5 3 4 2" xfId="16496"/>
    <cellStyle name="20% - Accent5 4 2 5 3 5" xfId="16497"/>
    <cellStyle name="20% - Accent5 4 2 5 3 6" xfId="16498"/>
    <cellStyle name="20% - Accent5 4 2 5 4" xfId="16499"/>
    <cellStyle name="20% - Accent5 4 2 5 4 2" xfId="16500"/>
    <cellStyle name="20% - Accent5 4 2 5 4 2 2" xfId="16501"/>
    <cellStyle name="20% - Accent5 4 2 5 4 2 3" xfId="16502"/>
    <cellStyle name="20% - Accent5 4 2 5 4 3" xfId="16503"/>
    <cellStyle name="20% - Accent5 4 2 5 4 3 2" xfId="16504"/>
    <cellStyle name="20% - Accent5 4 2 5 4 4" xfId="16505"/>
    <cellStyle name="20% - Accent5 4 2 5 4 5" xfId="16506"/>
    <cellStyle name="20% - Accent5 4 2 5 5" xfId="16507"/>
    <cellStyle name="20% - Accent5 4 2 5 5 2" xfId="16508"/>
    <cellStyle name="20% - Accent5 4 2 5 5 3" xfId="16509"/>
    <cellStyle name="20% - Accent5 4 2 5 6" xfId="16510"/>
    <cellStyle name="20% - Accent5 4 2 5 6 2" xfId="16511"/>
    <cellStyle name="20% - Accent5 4 2 5 6 3" xfId="16512"/>
    <cellStyle name="20% - Accent5 4 2 5 7" xfId="16513"/>
    <cellStyle name="20% - Accent5 4 2 5 7 2" xfId="16514"/>
    <cellStyle name="20% - Accent5 4 2 5 8" xfId="16515"/>
    <cellStyle name="20% - Accent5 4 2 5 9" xfId="16516"/>
    <cellStyle name="20% - Accent5 4 2 6" xfId="16517"/>
    <cellStyle name="20% - Accent5 4 2 6 2" xfId="16518"/>
    <cellStyle name="20% - Accent5 4 2 6 2 2" xfId="16519"/>
    <cellStyle name="20% - Accent5 4 2 6 2 2 2" xfId="16520"/>
    <cellStyle name="20% - Accent5 4 2 6 2 2 3" xfId="16521"/>
    <cellStyle name="20% - Accent5 4 2 6 2 3" xfId="16522"/>
    <cellStyle name="20% - Accent5 4 2 6 2 3 2" xfId="16523"/>
    <cellStyle name="20% - Accent5 4 2 6 2 3 3" xfId="16524"/>
    <cellStyle name="20% - Accent5 4 2 6 2 4" xfId="16525"/>
    <cellStyle name="20% - Accent5 4 2 6 2 4 2" xfId="16526"/>
    <cellStyle name="20% - Accent5 4 2 6 2 5" xfId="16527"/>
    <cellStyle name="20% - Accent5 4 2 6 2 6" xfId="16528"/>
    <cellStyle name="20% - Accent5 4 2 6 3" xfId="16529"/>
    <cellStyle name="20% - Accent5 4 2 6 3 2" xfId="16530"/>
    <cellStyle name="20% - Accent5 4 2 6 3 2 2" xfId="16531"/>
    <cellStyle name="20% - Accent5 4 2 6 3 2 3" xfId="16532"/>
    <cellStyle name="20% - Accent5 4 2 6 3 3" xfId="16533"/>
    <cellStyle name="20% - Accent5 4 2 6 3 3 2" xfId="16534"/>
    <cellStyle name="20% - Accent5 4 2 6 3 3 3" xfId="16535"/>
    <cellStyle name="20% - Accent5 4 2 6 3 4" xfId="16536"/>
    <cellStyle name="20% - Accent5 4 2 6 3 4 2" xfId="16537"/>
    <cellStyle name="20% - Accent5 4 2 6 3 5" xfId="16538"/>
    <cellStyle name="20% - Accent5 4 2 6 3 6" xfId="16539"/>
    <cellStyle name="20% - Accent5 4 2 6 4" xfId="16540"/>
    <cellStyle name="20% - Accent5 4 2 6 4 2" xfId="16541"/>
    <cellStyle name="20% - Accent5 4 2 6 4 2 2" xfId="16542"/>
    <cellStyle name="20% - Accent5 4 2 6 4 2 3" xfId="16543"/>
    <cellStyle name="20% - Accent5 4 2 6 4 3" xfId="16544"/>
    <cellStyle name="20% - Accent5 4 2 6 4 3 2" xfId="16545"/>
    <cellStyle name="20% - Accent5 4 2 6 4 4" xfId="16546"/>
    <cellStyle name="20% - Accent5 4 2 6 4 5" xfId="16547"/>
    <cellStyle name="20% - Accent5 4 2 6 5" xfId="16548"/>
    <cellStyle name="20% - Accent5 4 2 6 5 2" xfId="16549"/>
    <cellStyle name="20% - Accent5 4 2 6 5 3" xfId="16550"/>
    <cellStyle name="20% - Accent5 4 2 6 6" xfId="16551"/>
    <cellStyle name="20% - Accent5 4 2 6 6 2" xfId="16552"/>
    <cellStyle name="20% - Accent5 4 2 6 6 3" xfId="16553"/>
    <cellStyle name="20% - Accent5 4 2 6 7" xfId="16554"/>
    <cellStyle name="20% - Accent5 4 2 6 7 2" xfId="16555"/>
    <cellStyle name="20% - Accent5 4 2 6 8" xfId="16556"/>
    <cellStyle name="20% - Accent5 4 2 6 9" xfId="16557"/>
    <cellStyle name="20% - Accent5 4 2 7" xfId="16558"/>
    <cellStyle name="20% - Accent5 4 2 7 2" xfId="16559"/>
    <cellStyle name="20% - Accent5 4 2 7 2 2" xfId="16560"/>
    <cellStyle name="20% - Accent5 4 2 7 2 3" xfId="16561"/>
    <cellStyle name="20% - Accent5 4 2 7 3" xfId="16562"/>
    <cellStyle name="20% - Accent5 4 2 7 3 2" xfId="16563"/>
    <cellStyle name="20% - Accent5 4 2 7 3 3" xfId="16564"/>
    <cellStyle name="20% - Accent5 4 2 7 4" xfId="16565"/>
    <cellStyle name="20% - Accent5 4 2 7 4 2" xfId="16566"/>
    <cellStyle name="20% - Accent5 4 2 7 5" xfId="16567"/>
    <cellStyle name="20% - Accent5 4 2 7 6" xfId="16568"/>
    <cellStyle name="20% - Accent5 4 2 8" xfId="16569"/>
    <cellStyle name="20% - Accent5 4 2 8 2" xfId="16570"/>
    <cellStyle name="20% - Accent5 4 2 8 2 2" xfId="16571"/>
    <cellStyle name="20% - Accent5 4 2 8 2 3" xfId="16572"/>
    <cellStyle name="20% - Accent5 4 2 8 3" xfId="16573"/>
    <cellStyle name="20% - Accent5 4 2 8 3 2" xfId="16574"/>
    <cellStyle name="20% - Accent5 4 2 8 3 3" xfId="16575"/>
    <cellStyle name="20% - Accent5 4 2 8 4" xfId="16576"/>
    <cellStyle name="20% - Accent5 4 2 8 4 2" xfId="16577"/>
    <cellStyle name="20% - Accent5 4 2 8 5" xfId="16578"/>
    <cellStyle name="20% - Accent5 4 2 8 6" xfId="16579"/>
    <cellStyle name="20% - Accent5 4 2 9" xfId="16580"/>
    <cellStyle name="20% - Accent5 4 2 9 2" xfId="16581"/>
    <cellStyle name="20% - Accent5 4 2 9 2 2" xfId="16582"/>
    <cellStyle name="20% - Accent5 4 2 9 2 3" xfId="16583"/>
    <cellStyle name="20% - Accent5 4 2 9 3" xfId="16584"/>
    <cellStyle name="20% - Accent5 4 2 9 3 2" xfId="16585"/>
    <cellStyle name="20% - Accent5 4 2 9 4" xfId="16586"/>
    <cellStyle name="20% - Accent5 4 2 9 5" xfId="16587"/>
    <cellStyle name="20% - Accent5 4 3" xfId="1145"/>
    <cellStyle name="20% - Accent5 4 3 10" xfId="16588"/>
    <cellStyle name="20% - Accent5 4 3 10 2" xfId="16589"/>
    <cellStyle name="20% - Accent5 4 3 10 3" xfId="16590"/>
    <cellStyle name="20% - Accent5 4 3 11" xfId="16591"/>
    <cellStyle name="20% - Accent5 4 3 11 2" xfId="16592"/>
    <cellStyle name="20% - Accent5 4 3 12" xfId="16593"/>
    <cellStyle name="20% - Accent5 4 3 13" xfId="16594"/>
    <cellStyle name="20% - Accent5 4 3 14" xfId="16595"/>
    <cellStyle name="20% - Accent5 4 3 2" xfId="1146"/>
    <cellStyle name="20% - Accent5 4 3 2 10" xfId="16596"/>
    <cellStyle name="20% - Accent5 4 3 2 10 2" xfId="16597"/>
    <cellStyle name="20% - Accent5 4 3 2 11" xfId="16598"/>
    <cellStyle name="20% - Accent5 4 3 2 12" xfId="16599"/>
    <cellStyle name="20% - Accent5 4 3 2 2" xfId="1147"/>
    <cellStyle name="20% - Accent5 4 3 2 2 10" xfId="16600"/>
    <cellStyle name="20% - Accent5 4 3 2 2 2" xfId="1148"/>
    <cellStyle name="20% - Accent5 4 3 2 2 2 2" xfId="16601"/>
    <cellStyle name="20% - Accent5 4 3 2 2 2 2 2" xfId="16602"/>
    <cellStyle name="20% - Accent5 4 3 2 2 2 2 2 2" xfId="16603"/>
    <cellStyle name="20% - Accent5 4 3 2 2 2 2 2 3" xfId="16604"/>
    <cellStyle name="20% - Accent5 4 3 2 2 2 2 3" xfId="16605"/>
    <cellStyle name="20% - Accent5 4 3 2 2 2 2 3 2" xfId="16606"/>
    <cellStyle name="20% - Accent5 4 3 2 2 2 2 3 3" xfId="16607"/>
    <cellStyle name="20% - Accent5 4 3 2 2 2 2 4" xfId="16608"/>
    <cellStyle name="20% - Accent5 4 3 2 2 2 2 4 2" xfId="16609"/>
    <cellStyle name="20% - Accent5 4 3 2 2 2 2 5" xfId="16610"/>
    <cellStyle name="20% - Accent5 4 3 2 2 2 2 6" xfId="16611"/>
    <cellStyle name="20% - Accent5 4 3 2 2 2 3" xfId="16612"/>
    <cellStyle name="20% - Accent5 4 3 2 2 2 3 2" xfId="16613"/>
    <cellStyle name="20% - Accent5 4 3 2 2 2 3 2 2" xfId="16614"/>
    <cellStyle name="20% - Accent5 4 3 2 2 2 3 2 3" xfId="16615"/>
    <cellStyle name="20% - Accent5 4 3 2 2 2 3 3" xfId="16616"/>
    <cellStyle name="20% - Accent5 4 3 2 2 2 3 3 2" xfId="16617"/>
    <cellStyle name="20% - Accent5 4 3 2 2 2 3 3 3" xfId="16618"/>
    <cellStyle name="20% - Accent5 4 3 2 2 2 3 4" xfId="16619"/>
    <cellStyle name="20% - Accent5 4 3 2 2 2 3 4 2" xfId="16620"/>
    <cellStyle name="20% - Accent5 4 3 2 2 2 3 5" xfId="16621"/>
    <cellStyle name="20% - Accent5 4 3 2 2 2 3 6" xfId="16622"/>
    <cellStyle name="20% - Accent5 4 3 2 2 2 4" xfId="16623"/>
    <cellStyle name="20% - Accent5 4 3 2 2 2 4 2" xfId="16624"/>
    <cellStyle name="20% - Accent5 4 3 2 2 2 4 2 2" xfId="16625"/>
    <cellStyle name="20% - Accent5 4 3 2 2 2 4 2 3" xfId="16626"/>
    <cellStyle name="20% - Accent5 4 3 2 2 2 4 3" xfId="16627"/>
    <cellStyle name="20% - Accent5 4 3 2 2 2 4 3 2" xfId="16628"/>
    <cellStyle name="20% - Accent5 4 3 2 2 2 4 4" xfId="16629"/>
    <cellStyle name="20% - Accent5 4 3 2 2 2 4 5" xfId="16630"/>
    <cellStyle name="20% - Accent5 4 3 2 2 2 5" xfId="16631"/>
    <cellStyle name="20% - Accent5 4 3 2 2 2 5 2" xfId="16632"/>
    <cellStyle name="20% - Accent5 4 3 2 2 2 5 3" xfId="16633"/>
    <cellStyle name="20% - Accent5 4 3 2 2 2 6" xfId="16634"/>
    <cellStyle name="20% - Accent5 4 3 2 2 2 6 2" xfId="16635"/>
    <cellStyle name="20% - Accent5 4 3 2 2 2 6 3" xfId="16636"/>
    <cellStyle name="20% - Accent5 4 3 2 2 2 7" xfId="16637"/>
    <cellStyle name="20% - Accent5 4 3 2 2 2 7 2" xfId="16638"/>
    <cellStyle name="20% - Accent5 4 3 2 2 2 8" xfId="16639"/>
    <cellStyle name="20% - Accent5 4 3 2 2 2 9" xfId="16640"/>
    <cellStyle name="20% - Accent5 4 3 2 2 3" xfId="16641"/>
    <cellStyle name="20% - Accent5 4 3 2 2 3 2" xfId="16642"/>
    <cellStyle name="20% - Accent5 4 3 2 2 3 2 2" xfId="16643"/>
    <cellStyle name="20% - Accent5 4 3 2 2 3 2 3" xfId="16644"/>
    <cellStyle name="20% - Accent5 4 3 2 2 3 3" xfId="16645"/>
    <cellStyle name="20% - Accent5 4 3 2 2 3 3 2" xfId="16646"/>
    <cellStyle name="20% - Accent5 4 3 2 2 3 3 3" xfId="16647"/>
    <cellStyle name="20% - Accent5 4 3 2 2 3 4" xfId="16648"/>
    <cellStyle name="20% - Accent5 4 3 2 2 3 4 2" xfId="16649"/>
    <cellStyle name="20% - Accent5 4 3 2 2 3 5" xfId="16650"/>
    <cellStyle name="20% - Accent5 4 3 2 2 3 6" xfId="16651"/>
    <cellStyle name="20% - Accent5 4 3 2 2 4" xfId="16652"/>
    <cellStyle name="20% - Accent5 4 3 2 2 4 2" xfId="16653"/>
    <cellStyle name="20% - Accent5 4 3 2 2 4 2 2" xfId="16654"/>
    <cellStyle name="20% - Accent5 4 3 2 2 4 2 3" xfId="16655"/>
    <cellStyle name="20% - Accent5 4 3 2 2 4 3" xfId="16656"/>
    <cellStyle name="20% - Accent5 4 3 2 2 4 3 2" xfId="16657"/>
    <cellStyle name="20% - Accent5 4 3 2 2 4 3 3" xfId="16658"/>
    <cellStyle name="20% - Accent5 4 3 2 2 4 4" xfId="16659"/>
    <cellStyle name="20% - Accent5 4 3 2 2 4 4 2" xfId="16660"/>
    <cellStyle name="20% - Accent5 4 3 2 2 4 5" xfId="16661"/>
    <cellStyle name="20% - Accent5 4 3 2 2 4 6" xfId="16662"/>
    <cellStyle name="20% - Accent5 4 3 2 2 5" xfId="16663"/>
    <cellStyle name="20% - Accent5 4 3 2 2 5 2" xfId="16664"/>
    <cellStyle name="20% - Accent5 4 3 2 2 5 2 2" xfId="16665"/>
    <cellStyle name="20% - Accent5 4 3 2 2 5 2 3" xfId="16666"/>
    <cellStyle name="20% - Accent5 4 3 2 2 5 3" xfId="16667"/>
    <cellStyle name="20% - Accent5 4 3 2 2 5 3 2" xfId="16668"/>
    <cellStyle name="20% - Accent5 4 3 2 2 5 4" xfId="16669"/>
    <cellStyle name="20% - Accent5 4 3 2 2 5 5" xfId="16670"/>
    <cellStyle name="20% - Accent5 4 3 2 2 6" xfId="16671"/>
    <cellStyle name="20% - Accent5 4 3 2 2 6 2" xfId="16672"/>
    <cellStyle name="20% - Accent5 4 3 2 2 6 3" xfId="16673"/>
    <cellStyle name="20% - Accent5 4 3 2 2 7" xfId="16674"/>
    <cellStyle name="20% - Accent5 4 3 2 2 7 2" xfId="16675"/>
    <cellStyle name="20% - Accent5 4 3 2 2 7 3" xfId="16676"/>
    <cellStyle name="20% - Accent5 4 3 2 2 8" xfId="16677"/>
    <cellStyle name="20% - Accent5 4 3 2 2 8 2" xfId="16678"/>
    <cellStyle name="20% - Accent5 4 3 2 2 9" xfId="16679"/>
    <cellStyle name="20% - Accent5 4 3 2 3" xfId="1149"/>
    <cellStyle name="20% - Accent5 4 3 2 3 2" xfId="16680"/>
    <cellStyle name="20% - Accent5 4 3 2 3 2 2" xfId="16681"/>
    <cellStyle name="20% - Accent5 4 3 2 3 2 2 2" xfId="16682"/>
    <cellStyle name="20% - Accent5 4 3 2 3 2 2 3" xfId="16683"/>
    <cellStyle name="20% - Accent5 4 3 2 3 2 3" xfId="16684"/>
    <cellStyle name="20% - Accent5 4 3 2 3 2 3 2" xfId="16685"/>
    <cellStyle name="20% - Accent5 4 3 2 3 2 3 3" xfId="16686"/>
    <cellStyle name="20% - Accent5 4 3 2 3 2 4" xfId="16687"/>
    <cellStyle name="20% - Accent5 4 3 2 3 2 4 2" xfId="16688"/>
    <cellStyle name="20% - Accent5 4 3 2 3 2 5" xfId="16689"/>
    <cellStyle name="20% - Accent5 4 3 2 3 2 6" xfId="16690"/>
    <cellStyle name="20% - Accent5 4 3 2 3 3" xfId="16691"/>
    <cellStyle name="20% - Accent5 4 3 2 3 3 2" xfId="16692"/>
    <cellStyle name="20% - Accent5 4 3 2 3 3 2 2" xfId="16693"/>
    <cellStyle name="20% - Accent5 4 3 2 3 3 2 3" xfId="16694"/>
    <cellStyle name="20% - Accent5 4 3 2 3 3 3" xfId="16695"/>
    <cellStyle name="20% - Accent5 4 3 2 3 3 3 2" xfId="16696"/>
    <cellStyle name="20% - Accent5 4 3 2 3 3 3 3" xfId="16697"/>
    <cellStyle name="20% - Accent5 4 3 2 3 3 4" xfId="16698"/>
    <cellStyle name="20% - Accent5 4 3 2 3 3 4 2" xfId="16699"/>
    <cellStyle name="20% - Accent5 4 3 2 3 3 5" xfId="16700"/>
    <cellStyle name="20% - Accent5 4 3 2 3 3 6" xfId="16701"/>
    <cellStyle name="20% - Accent5 4 3 2 3 4" xfId="16702"/>
    <cellStyle name="20% - Accent5 4 3 2 3 4 2" xfId="16703"/>
    <cellStyle name="20% - Accent5 4 3 2 3 4 2 2" xfId="16704"/>
    <cellStyle name="20% - Accent5 4 3 2 3 4 2 3" xfId="16705"/>
    <cellStyle name="20% - Accent5 4 3 2 3 4 3" xfId="16706"/>
    <cellStyle name="20% - Accent5 4 3 2 3 4 3 2" xfId="16707"/>
    <cellStyle name="20% - Accent5 4 3 2 3 4 4" xfId="16708"/>
    <cellStyle name="20% - Accent5 4 3 2 3 4 5" xfId="16709"/>
    <cellStyle name="20% - Accent5 4 3 2 3 5" xfId="16710"/>
    <cellStyle name="20% - Accent5 4 3 2 3 5 2" xfId="16711"/>
    <cellStyle name="20% - Accent5 4 3 2 3 5 3" xfId="16712"/>
    <cellStyle name="20% - Accent5 4 3 2 3 6" xfId="16713"/>
    <cellStyle name="20% - Accent5 4 3 2 3 6 2" xfId="16714"/>
    <cellStyle name="20% - Accent5 4 3 2 3 6 3" xfId="16715"/>
    <cellStyle name="20% - Accent5 4 3 2 3 7" xfId="16716"/>
    <cellStyle name="20% - Accent5 4 3 2 3 7 2" xfId="16717"/>
    <cellStyle name="20% - Accent5 4 3 2 3 8" xfId="16718"/>
    <cellStyle name="20% - Accent5 4 3 2 3 9" xfId="16719"/>
    <cellStyle name="20% - Accent5 4 3 2 4" xfId="16720"/>
    <cellStyle name="20% - Accent5 4 3 2 4 2" xfId="16721"/>
    <cellStyle name="20% - Accent5 4 3 2 4 2 2" xfId="16722"/>
    <cellStyle name="20% - Accent5 4 3 2 4 2 2 2" xfId="16723"/>
    <cellStyle name="20% - Accent5 4 3 2 4 2 2 3" xfId="16724"/>
    <cellStyle name="20% - Accent5 4 3 2 4 2 3" xfId="16725"/>
    <cellStyle name="20% - Accent5 4 3 2 4 2 3 2" xfId="16726"/>
    <cellStyle name="20% - Accent5 4 3 2 4 2 3 3" xfId="16727"/>
    <cellStyle name="20% - Accent5 4 3 2 4 2 4" xfId="16728"/>
    <cellStyle name="20% - Accent5 4 3 2 4 2 4 2" xfId="16729"/>
    <cellStyle name="20% - Accent5 4 3 2 4 2 5" xfId="16730"/>
    <cellStyle name="20% - Accent5 4 3 2 4 2 6" xfId="16731"/>
    <cellStyle name="20% - Accent5 4 3 2 4 3" xfId="16732"/>
    <cellStyle name="20% - Accent5 4 3 2 4 3 2" xfId="16733"/>
    <cellStyle name="20% - Accent5 4 3 2 4 3 2 2" xfId="16734"/>
    <cellStyle name="20% - Accent5 4 3 2 4 3 2 3" xfId="16735"/>
    <cellStyle name="20% - Accent5 4 3 2 4 3 3" xfId="16736"/>
    <cellStyle name="20% - Accent5 4 3 2 4 3 3 2" xfId="16737"/>
    <cellStyle name="20% - Accent5 4 3 2 4 3 3 3" xfId="16738"/>
    <cellStyle name="20% - Accent5 4 3 2 4 3 4" xfId="16739"/>
    <cellStyle name="20% - Accent5 4 3 2 4 3 4 2" xfId="16740"/>
    <cellStyle name="20% - Accent5 4 3 2 4 3 5" xfId="16741"/>
    <cellStyle name="20% - Accent5 4 3 2 4 3 6" xfId="16742"/>
    <cellStyle name="20% - Accent5 4 3 2 4 4" xfId="16743"/>
    <cellStyle name="20% - Accent5 4 3 2 4 4 2" xfId="16744"/>
    <cellStyle name="20% - Accent5 4 3 2 4 4 2 2" xfId="16745"/>
    <cellStyle name="20% - Accent5 4 3 2 4 4 2 3" xfId="16746"/>
    <cellStyle name="20% - Accent5 4 3 2 4 4 3" xfId="16747"/>
    <cellStyle name="20% - Accent5 4 3 2 4 4 3 2" xfId="16748"/>
    <cellStyle name="20% - Accent5 4 3 2 4 4 4" xfId="16749"/>
    <cellStyle name="20% - Accent5 4 3 2 4 4 5" xfId="16750"/>
    <cellStyle name="20% - Accent5 4 3 2 4 5" xfId="16751"/>
    <cellStyle name="20% - Accent5 4 3 2 4 5 2" xfId="16752"/>
    <cellStyle name="20% - Accent5 4 3 2 4 5 3" xfId="16753"/>
    <cellStyle name="20% - Accent5 4 3 2 4 6" xfId="16754"/>
    <cellStyle name="20% - Accent5 4 3 2 4 6 2" xfId="16755"/>
    <cellStyle name="20% - Accent5 4 3 2 4 6 3" xfId="16756"/>
    <cellStyle name="20% - Accent5 4 3 2 4 7" xfId="16757"/>
    <cellStyle name="20% - Accent5 4 3 2 4 7 2" xfId="16758"/>
    <cellStyle name="20% - Accent5 4 3 2 4 8" xfId="16759"/>
    <cellStyle name="20% - Accent5 4 3 2 4 9" xfId="16760"/>
    <cellStyle name="20% - Accent5 4 3 2 5" xfId="16761"/>
    <cellStyle name="20% - Accent5 4 3 2 5 2" xfId="16762"/>
    <cellStyle name="20% - Accent5 4 3 2 5 2 2" xfId="16763"/>
    <cellStyle name="20% - Accent5 4 3 2 5 2 3" xfId="16764"/>
    <cellStyle name="20% - Accent5 4 3 2 5 3" xfId="16765"/>
    <cellStyle name="20% - Accent5 4 3 2 5 3 2" xfId="16766"/>
    <cellStyle name="20% - Accent5 4 3 2 5 3 3" xfId="16767"/>
    <cellStyle name="20% - Accent5 4 3 2 5 4" xfId="16768"/>
    <cellStyle name="20% - Accent5 4 3 2 5 4 2" xfId="16769"/>
    <cellStyle name="20% - Accent5 4 3 2 5 5" xfId="16770"/>
    <cellStyle name="20% - Accent5 4 3 2 5 6" xfId="16771"/>
    <cellStyle name="20% - Accent5 4 3 2 6" xfId="16772"/>
    <cellStyle name="20% - Accent5 4 3 2 6 2" xfId="16773"/>
    <cellStyle name="20% - Accent5 4 3 2 6 2 2" xfId="16774"/>
    <cellStyle name="20% - Accent5 4 3 2 6 2 3" xfId="16775"/>
    <cellStyle name="20% - Accent5 4 3 2 6 3" xfId="16776"/>
    <cellStyle name="20% - Accent5 4 3 2 6 3 2" xfId="16777"/>
    <cellStyle name="20% - Accent5 4 3 2 6 3 3" xfId="16778"/>
    <cellStyle name="20% - Accent5 4 3 2 6 4" xfId="16779"/>
    <cellStyle name="20% - Accent5 4 3 2 6 4 2" xfId="16780"/>
    <cellStyle name="20% - Accent5 4 3 2 6 5" xfId="16781"/>
    <cellStyle name="20% - Accent5 4 3 2 6 6" xfId="16782"/>
    <cellStyle name="20% - Accent5 4 3 2 7" xfId="16783"/>
    <cellStyle name="20% - Accent5 4 3 2 7 2" xfId="16784"/>
    <cellStyle name="20% - Accent5 4 3 2 7 2 2" xfId="16785"/>
    <cellStyle name="20% - Accent5 4 3 2 7 2 3" xfId="16786"/>
    <cellStyle name="20% - Accent5 4 3 2 7 3" xfId="16787"/>
    <cellStyle name="20% - Accent5 4 3 2 7 3 2" xfId="16788"/>
    <cellStyle name="20% - Accent5 4 3 2 7 4" xfId="16789"/>
    <cellStyle name="20% - Accent5 4 3 2 7 5" xfId="16790"/>
    <cellStyle name="20% - Accent5 4 3 2 8" xfId="16791"/>
    <cellStyle name="20% - Accent5 4 3 2 8 2" xfId="16792"/>
    <cellStyle name="20% - Accent5 4 3 2 8 3" xfId="16793"/>
    <cellStyle name="20% - Accent5 4 3 2 9" xfId="16794"/>
    <cellStyle name="20% - Accent5 4 3 2 9 2" xfId="16795"/>
    <cellStyle name="20% - Accent5 4 3 2 9 3" xfId="16796"/>
    <cellStyle name="20% - Accent5 4 3 3" xfId="1150"/>
    <cellStyle name="20% - Accent5 4 3 3 10" xfId="16797"/>
    <cellStyle name="20% - Accent5 4 3 3 2" xfId="1151"/>
    <cellStyle name="20% - Accent5 4 3 3 2 2" xfId="16798"/>
    <cellStyle name="20% - Accent5 4 3 3 2 2 2" xfId="16799"/>
    <cellStyle name="20% - Accent5 4 3 3 2 2 2 2" xfId="16800"/>
    <cellStyle name="20% - Accent5 4 3 3 2 2 2 3" xfId="16801"/>
    <cellStyle name="20% - Accent5 4 3 3 2 2 3" xfId="16802"/>
    <cellStyle name="20% - Accent5 4 3 3 2 2 3 2" xfId="16803"/>
    <cellStyle name="20% - Accent5 4 3 3 2 2 3 3" xfId="16804"/>
    <cellStyle name="20% - Accent5 4 3 3 2 2 4" xfId="16805"/>
    <cellStyle name="20% - Accent5 4 3 3 2 2 4 2" xfId="16806"/>
    <cellStyle name="20% - Accent5 4 3 3 2 2 5" xfId="16807"/>
    <cellStyle name="20% - Accent5 4 3 3 2 2 6" xfId="16808"/>
    <cellStyle name="20% - Accent5 4 3 3 2 3" xfId="16809"/>
    <cellStyle name="20% - Accent5 4 3 3 2 3 2" xfId="16810"/>
    <cellStyle name="20% - Accent5 4 3 3 2 3 2 2" xfId="16811"/>
    <cellStyle name="20% - Accent5 4 3 3 2 3 2 3" xfId="16812"/>
    <cellStyle name="20% - Accent5 4 3 3 2 3 3" xfId="16813"/>
    <cellStyle name="20% - Accent5 4 3 3 2 3 3 2" xfId="16814"/>
    <cellStyle name="20% - Accent5 4 3 3 2 3 3 3" xfId="16815"/>
    <cellStyle name="20% - Accent5 4 3 3 2 3 4" xfId="16816"/>
    <cellStyle name="20% - Accent5 4 3 3 2 3 4 2" xfId="16817"/>
    <cellStyle name="20% - Accent5 4 3 3 2 3 5" xfId="16818"/>
    <cellStyle name="20% - Accent5 4 3 3 2 3 6" xfId="16819"/>
    <cellStyle name="20% - Accent5 4 3 3 2 4" xfId="16820"/>
    <cellStyle name="20% - Accent5 4 3 3 2 4 2" xfId="16821"/>
    <cellStyle name="20% - Accent5 4 3 3 2 4 2 2" xfId="16822"/>
    <cellStyle name="20% - Accent5 4 3 3 2 4 2 3" xfId="16823"/>
    <cellStyle name="20% - Accent5 4 3 3 2 4 3" xfId="16824"/>
    <cellStyle name="20% - Accent5 4 3 3 2 4 3 2" xfId="16825"/>
    <cellStyle name="20% - Accent5 4 3 3 2 4 4" xfId="16826"/>
    <cellStyle name="20% - Accent5 4 3 3 2 4 5" xfId="16827"/>
    <cellStyle name="20% - Accent5 4 3 3 2 5" xfId="16828"/>
    <cellStyle name="20% - Accent5 4 3 3 2 5 2" xfId="16829"/>
    <cellStyle name="20% - Accent5 4 3 3 2 5 3" xfId="16830"/>
    <cellStyle name="20% - Accent5 4 3 3 2 6" xfId="16831"/>
    <cellStyle name="20% - Accent5 4 3 3 2 6 2" xfId="16832"/>
    <cellStyle name="20% - Accent5 4 3 3 2 6 3" xfId="16833"/>
    <cellStyle name="20% - Accent5 4 3 3 2 7" xfId="16834"/>
    <cellStyle name="20% - Accent5 4 3 3 2 7 2" xfId="16835"/>
    <cellStyle name="20% - Accent5 4 3 3 2 8" xfId="16836"/>
    <cellStyle name="20% - Accent5 4 3 3 2 9" xfId="16837"/>
    <cellStyle name="20% - Accent5 4 3 3 3" xfId="16838"/>
    <cellStyle name="20% - Accent5 4 3 3 3 2" xfId="16839"/>
    <cellStyle name="20% - Accent5 4 3 3 3 2 2" xfId="16840"/>
    <cellStyle name="20% - Accent5 4 3 3 3 2 3" xfId="16841"/>
    <cellStyle name="20% - Accent5 4 3 3 3 3" xfId="16842"/>
    <cellStyle name="20% - Accent5 4 3 3 3 3 2" xfId="16843"/>
    <cellStyle name="20% - Accent5 4 3 3 3 3 3" xfId="16844"/>
    <cellStyle name="20% - Accent5 4 3 3 3 4" xfId="16845"/>
    <cellStyle name="20% - Accent5 4 3 3 3 4 2" xfId="16846"/>
    <cellStyle name="20% - Accent5 4 3 3 3 5" xfId="16847"/>
    <cellStyle name="20% - Accent5 4 3 3 3 6" xfId="16848"/>
    <cellStyle name="20% - Accent5 4 3 3 4" xfId="16849"/>
    <cellStyle name="20% - Accent5 4 3 3 4 2" xfId="16850"/>
    <cellStyle name="20% - Accent5 4 3 3 4 2 2" xfId="16851"/>
    <cellStyle name="20% - Accent5 4 3 3 4 2 3" xfId="16852"/>
    <cellStyle name="20% - Accent5 4 3 3 4 3" xfId="16853"/>
    <cellStyle name="20% - Accent5 4 3 3 4 3 2" xfId="16854"/>
    <cellStyle name="20% - Accent5 4 3 3 4 3 3" xfId="16855"/>
    <cellStyle name="20% - Accent5 4 3 3 4 4" xfId="16856"/>
    <cellStyle name="20% - Accent5 4 3 3 4 4 2" xfId="16857"/>
    <cellStyle name="20% - Accent5 4 3 3 4 5" xfId="16858"/>
    <cellStyle name="20% - Accent5 4 3 3 4 6" xfId="16859"/>
    <cellStyle name="20% - Accent5 4 3 3 5" xfId="16860"/>
    <cellStyle name="20% - Accent5 4 3 3 5 2" xfId="16861"/>
    <cellStyle name="20% - Accent5 4 3 3 5 2 2" xfId="16862"/>
    <cellStyle name="20% - Accent5 4 3 3 5 2 3" xfId="16863"/>
    <cellStyle name="20% - Accent5 4 3 3 5 3" xfId="16864"/>
    <cellStyle name="20% - Accent5 4 3 3 5 3 2" xfId="16865"/>
    <cellStyle name="20% - Accent5 4 3 3 5 4" xfId="16866"/>
    <cellStyle name="20% - Accent5 4 3 3 5 5" xfId="16867"/>
    <cellStyle name="20% - Accent5 4 3 3 6" xfId="16868"/>
    <cellStyle name="20% - Accent5 4 3 3 6 2" xfId="16869"/>
    <cellStyle name="20% - Accent5 4 3 3 6 3" xfId="16870"/>
    <cellStyle name="20% - Accent5 4 3 3 7" xfId="16871"/>
    <cellStyle name="20% - Accent5 4 3 3 7 2" xfId="16872"/>
    <cellStyle name="20% - Accent5 4 3 3 7 3" xfId="16873"/>
    <cellStyle name="20% - Accent5 4 3 3 8" xfId="16874"/>
    <cellStyle name="20% - Accent5 4 3 3 8 2" xfId="16875"/>
    <cellStyle name="20% - Accent5 4 3 3 9" xfId="16876"/>
    <cellStyle name="20% - Accent5 4 3 4" xfId="1152"/>
    <cellStyle name="20% - Accent5 4 3 4 2" xfId="16877"/>
    <cellStyle name="20% - Accent5 4 3 4 2 2" xfId="16878"/>
    <cellStyle name="20% - Accent5 4 3 4 2 2 2" xfId="16879"/>
    <cellStyle name="20% - Accent5 4 3 4 2 2 3" xfId="16880"/>
    <cellStyle name="20% - Accent5 4 3 4 2 3" xfId="16881"/>
    <cellStyle name="20% - Accent5 4 3 4 2 3 2" xfId="16882"/>
    <cellStyle name="20% - Accent5 4 3 4 2 3 3" xfId="16883"/>
    <cellStyle name="20% - Accent5 4 3 4 2 4" xfId="16884"/>
    <cellStyle name="20% - Accent5 4 3 4 2 4 2" xfId="16885"/>
    <cellStyle name="20% - Accent5 4 3 4 2 5" xfId="16886"/>
    <cellStyle name="20% - Accent5 4 3 4 2 6" xfId="16887"/>
    <cellStyle name="20% - Accent5 4 3 4 3" xfId="16888"/>
    <cellStyle name="20% - Accent5 4 3 4 3 2" xfId="16889"/>
    <cellStyle name="20% - Accent5 4 3 4 3 2 2" xfId="16890"/>
    <cellStyle name="20% - Accent5 4 3 4 3 2 3" xfId="16891"/>
    <cellStyle name="20% - Accent5 4 3 4 3 3" xfId="16892"/>
    <cellStyle name="20% - Accent5 4 3 4 3 3 2" xfId="16893"/>
    <cellStyle name="20% - Accent5 4 3 4 3 3 3" xfId="16894"/>
    <cellStyle name="20% - Accent5 4 3 4 3 4" xfId="16895"/>
    <cellStyle name="20% - Accent5 4 3 4 3 4 2" xfId="16896"/>
    <cellStyle name="20% - Accent5 4 3 4 3 5" xfId="16897"/>
    <cellStyle name="20% - Accent5 4 3 4 3 6" xfId="16898"/>
    <cellStyle name="20% - Accent5 4 3 4 4" xfId="16899"/>
    <cellStyle name="20% - Accent5 4 3 4 4 2" xfId="16900"/>
    <cellStyle name="20% - Accent5 4 3 4 4 2 2" xfId="16901"/>
    <cellStyle name="20% - Accent5 4 3 4 4 2 3" xfId="16902"/>
    <cellStyle name="20% - Accent5 4 3 4 4 3" xfId="16903"/>
    <cellStyle name="20% - Accent5 4 3 4 4 3 2" xfId="16904"/>
    <cellStyle name="20% - Accent5 4 3 4 4 4" xfId="16905"/>
    <cellStyle name="20% - Accent5 4 3 4 4 5" xfId="16906"/>
    <cellStyle name="20% - Accent5 4 3 4 5" xfId="16907"/>
    <cellStyle name="20% - Accent5 4 3 4 5 2" xfId="16908"/>
    <cellStyle name="20% - Accent5 4 3 4 5 3" xfId="16909"/>
    <cellStyle name="20% - Accent5 4 3 4 6" xfId="16910"/>
    <cellStyle name="20% - Accent5 4 3 4 6 2" xfId="16911"/>
    <cellStyle name="20% - Accent5 4 3 4 6 3" xfId="16912"/>
    <cellStyle name="20% - Accent5 4 3 4 7" xfId="16913"/>
    <cellStyle name="20% - Accent5 4 3 4 7 2" xfId="16914"/>
    <cellStyle name="20% - Accent5 4 3 4 8" xfId="16915"/>
    <cellStyle name="20% - Accent5 4 3 4 9" xfId="16916"/>
    <cellStyle name="20% - Accent5 4 3 5" xfId="16917"/>
    <cellStyle name="20% - Accent5 4 3 5 2" xfId="16918"/>
    <cellStyle name="20% - Accent5 4 3 5 2 2" xfId="16919"/>
    <cellStyle name="20% - Accent5 4 3 5 2 2 2" xfId="16920"/>
    <cellStyle name="20% - Accent5 4 3 5 2 2 3" xfId="16921"/>
    <cellStyle name="20% - Accent5 4 3 5 2 3" xfId="16922"/>
    <cellStyle name="20% - Accent5 4 3 5 2 3 2" xfId="16923"/>
    <cellStyle name="20% - Accent5 4 3 5 2 3 3" xfId="16924"/>
    <cellStyle name="20% - Accent5 4 3 5 2 4" xfId="16925"/>
    <cellStyle name="20% - Accent5 4 3 5 2 4 2" xfId="16926"/>
    <cellStyle name="20% - Accent5 4 3 5 2 5" xfId="16927"/>
    <cellStyle name="20% - Accent5 4 3 5 2 6" xfId="16928"/>
    <cellStyle name="20% - Accent5 4 3 5 3" xfId="16929"/>
    <cellStyle name="20% - Accent5 4 3 5 3 2" xfId="16930"/>
    <cellStyle name="20% - Accent5 4 3 5 3 2 2" xfId="16931"/>
    <cellStyle name="20% - Accent5 4 3 5 3 2 3" xfId="16932"/>
    <cellStyle name="20% - Accent5 4 3 5 3 3" xfId="16933"/>
    <cellStyle name="20% - Accent5 4 3 5 3 3 2" xfId="16934"/>
    <cellStyle name="20% - Accent5 4 3 5 3 3 3" xfId="16935"/>
    <cellStyle name="20% - Accent5 4 3 5 3 4" xfId="16936"/>
    <cellStyle name="20% - Accent5 4 3 5 3 4 2" xfId="16937"/>
    <cellStyle name="20% - Accent5 4 3 5 3 5" xfId="16938"/>
    <cellStyle name="20% - Accent5 4 3 5 3 6" xfId="16939"/>
    <cellStyle name="20% - Accent5 4 3 5 4" xfId="16940"/>
    <cellStyle name="20% - Accent5 4 3 5 4 2" xfId="16941"/>
    <cellStyle name="20% - Accent5 4 3 5 4 2 2" xfId="16942"/>
    <cellStyle name="20% - Accent5 4 3 5 4 2 3" xfId="16943"/>
    <cellStyle name="20% - Accent5 4 3 5 4 3" xfId="16944"/>
    <cellStyle name="20% - Accent5 4 3 5 4 3 2" xfId="16945"/>
    <cellStyle name="20% - Accent5 4 3 5 4 4" xfId="16946"/>
    <cellStyle name="20% - Accent5 4 3 5 4 5" xfId="16947"/>
    <cellStyle name="20% - Accent5 4 3 5 5" xfId="16948"/>
    <cellStyle name="20% - Accent5 4 3 5 5 2" xfId="16949"/>
    <cellStyle name="20% - Accent5 4 3 5 5 3" xfId="16950"/>
    <cellStyle name="20% - Accent5 4 3 5 6" xfId="16951"/>
    <cellStyle name="20% - Accent5 4 3 5 6 2" xfId="16952"/>
    <cellStyle name="20% - Accent5 4 3 5 6 3" xfId="16953"/>
    <cellStyle name="20% - Accent5 4 3 5 7" xfId="16954"/>
    <cellStyle name="20% - Accent5 4 3 5 7 2" xfId="16955"/>
    <cellStyle name="20% - Accent5 4 3 5 8" xfId="16956"/>
    <cellStyle name="20% - Accent5 4 3 5 9" xfId="16957"/>
    <cellStyle name="20% - Accent5 4 3 6" xfId="16958"/>
    <cellStyle name="20% - Accent5 4 3 6 2" xfId="16959"/>
    <cellStyle name="20% - Accent5 4 3 6 2 2" xfId="16960"/>
    <cellStyle name="20% - Accent5 4 3 6 2 3" xfId="16961"/>
    <cellStyle name="20% - Accent5 4 3 6 3" xfId="16962"/>
    <cellStyle name="20% - Accent5 4 3 6 3 2" xfId="16963"/>
    <cellStyle name="20% - Accent5 4 3 6 3 3" xfId="16964"/>
    <cellStyle name="20% - Accent5 4 3 6 4" xfId="16965"/>
    <cellStyle name="20% - Accent5 4 3 6 4 2" xfId="16966"/>
    <cellStyle name="20% - Accent5 4 3 6 5" xfId="16967"/>
    <cellStyle name="20% - Accent5 4 3 6 6" xfId="16968"/>
    <cellStyle name="20% - Accent5 4 3 7" xfId="16969"/>
    <cellStyle name="20% - Accent5 4 3 7 2" xfId="16970"/>
    <cellStyle name="20% - Accent5 4 3 7 2 2" xfId="16971"/>
    <cellStyle name="20% - Accent5 4 3 7 2 3" xfId="16972"/>
    <cellStyle name="20% - Accent5 4 3 7 3" xfId="16973"/>
    <cellStyle name="20% - Accent5 4 3 7 3 2" xfId="16974"/>
    <cellStyle name="20% - Accent5 4 3 7 3 3" xfId="16975"/>
    <cellStyle name="20% - Accent5 4 3 7 4" xfId="16976"/>
    <cellStyle name="20% - Accent5 4 3 7 4 2" xfId="16977"/>
    <cellStyle name="20% - Accent5 4 3 7 5" xfId="16978"/>
    <cellStyle name="20% - Accent5 4 3 7 6" xfId="16979"/>
    <cellStyle name="20% - Accent5 4 3 8" xfId="16980"/>
    <cellStyle name="20% - Accent5 4 3 8 2" xfId="16981"/>
    <cellStyle name="20% - Accent5 4 3 8 2 2" xfId="16982"/>
    <cellStyle name="20% - Accent5 4 3 8 2 3" xfId="16983"/>
    <cellStyle name="20% - Accent5 4 3 8 3" xfId="16984"/>
    <cellStyle name="20% - Accent5 4 3 8 3 2" xfId="16985"/>
    <cellStyle name="20% - Accent5 4 3 8 4" xfId="16986"/>
    <cellStyle name="20% - Accent5 4 3 8 5" xfId="16987"/>
    <cellStyle name="20% - Accent5 4 3 9" xfId="16988"/>
    <cellStyle name="20% - Accent5 4 3 9 2" xfId="16989"/>
    <cellStyle name="20% - Accent5 4 3 9 3" xfId="16990"/>
    <cellStyle name="20% - Accent5 4 4" xfId="1153"/>
    <cellStyle name="20% - Accent5 4 4 10" xfId="16991"/>
    <cellStyle name="20% - Accent5 4 4 10 2" xfId="16992"/>
    <cellStyle name="20% - Accent5 4 4 11" xfId="16993"/>
    <cellStyle name="20% - Accent5 4 4 12" xfId="16994"/>
    <cellStyle name="20% - Accent5 4 4 2" xfId="1154"/>
    <cellStyle name="20% - Accent5 4 4 2 10" xfId="16995"/>
    <cellStyle name="20% - Accent5 4 4 2 2" xfId="1155"/>
    <cellStyle name="20% - Accent5 4 4 2 2 2" xfId="16996"/>
    <cellStyle name="20% - Accent5 4 4 2 2 2 2" xfId="16997"/>
    <cellStyle name="20% - Accent5 4 4 2 2 2 2 2" xfId="16998"/>
    <cellStyle name="20% - Accent5 4 4 2 2 2 2 3" xfId="16999"/>
    <cellStyle name="20% - Accent5 4 4 2 2 2 3" xfId="17000"/>
    <cellStyle name="20% - Accent5 4 4 2 2 2 3 2" xfId="17001"/>
    <cellStyle name="20% - Accent5 4 4 2 2 2 3 3" xfId="17002"/>
    <cellStyle name="20% - Accent5 4 4 2 2 2 4" xfId="17003"/>
    <cellStyle name="20% - Accent5 4 4 2 2 2 4 2" xfId="17004"/>
    <cellStyle name="20% - Accent5 4 4 2 2 2 5" xfId="17005"/>
    <cellStyle name="20% - Accent5 4 4 2 2 2 6" xfId="17006"/>
    <cellStyle name="20% - Accent5 4 4 2 2 3" xfId="17007"/>
    <cellStyle name="20% - Accent5 4 4 2 2 3 2" xfId="17008"/>
    <cellStyle name="20% - Accent5 4 4 2 2 3 2 2" xfId="17009"/>
    <cellStyle name="20% - Accent5 4 4 2 2 3 2 3" xfId="17010"/>
    <cellStyle name="20% - Accent5 4 4 2 2 3 3" xfId="17011"/>
    <cellStyle name="20% - Accent5 4 4 2 2 3 3 2" xfId="17012"/>
    <cellStyle name="20% - Accent5 4 4 2 2 3 3 3" xfId="17013"/>
    <cellStyle name="20% - Accent5 4 4 2 2 3 4" xfId="17014"/>
    <cellStyle name="20% - Accent5 4 4 2 2 3 4 2" xfId="17015"/>
    <cellStyle name="20% - Accent5 4 4 2 2 3 5" xfId="17016"/>
    <cellStyle name="20% - Accent5 4 4 2 2 3 6" xfId="17017"/>
    <cellStyle name="20% - Accent5 4 4 2 2 4" xfId="17018"/>
    <cellStyle name="20% - Accent5 4 4 2 2 4 2" xfId="17019"/>
    <cellStyle name="20% - Accent5 4 4 2 2 4 2 2" xfId="17020"/>
    <cellStyle name="20% - Accent5 4 4 2 2 4 2 3" xfId="17021"/>
    <cellStyle name="20% - Accent5 4 4 2 2 4 3" xfId="17022"/>
    <cellStyle name="20% - Accent5 4 4 2 2 4 3 2" xfId="17023"/>
    <cellStyle name="20% - Accent5 4 4 2 2 4 4" xfId="17024"/>
    <cellStyle name="20% - Accent5 4 4 2 2 4 5" xfId="17025"/>
    <cellStyle name="20% - Accent5 4 4 2 2 5" xfId="17026"/>
    <cellStyle name="20% - Accent5 4 4 2 2 5 2" xfId="17027"/>
    <cellStyle name="20% - Accent5 4 4 2 2 5 3" xfId="17028"/>
    <cellStyle name="20% - Accent5 4 4 2 2 6" xfId="17029"/>
    <cellStyle name="20% - Accent5 4 4 2 2 6 2" xfId="17030"/>
    <cellStyle name="20% - Accent5 4 4 2 2 6 3" xfId="17031"/>
    <cellStyle name="20% - Accent5 4 4 2 2 7" xfId="17032"/>
    <cellStyle name="20% - Accent5 4 4 2 2 7 2" xfId="17033"/>
    <cellStyle name="20% - Accent5 4 4 2 2 8" xfId="17034"/>
    <cellStyle name="20% - Accent5 4 4 2 2 9" xfId="17035"/>
    <cellStyle name="20% - Accent5 4 4 2 3" xfId="17036"/>
    <cellStyle name="20% - Accent5 4 4 2 3 2" xfId="17037"/>
    <cellStyle name="20% - Accent5 4 4 2 3 2 2" xfId="17038"/>
    <cellStyle name="20% - Accent5 4 4 2 3 2 3" xfId="17039"/>
    <cellStyle name="20% - Accent5 4 4 2 3 3" xfId="17040"/>
    <cellStyle name="20% - Accent5 4 4 2 3 3 2" xfId="17041"/>
    <cellStyle name="20% - Accent5 4 4 2 3 3 3" xfId="17042"/>
    <cellStyle name="20% - Accent5 4 4 2 3 4" xfId="17043"/>
    <cellStyle name="20% - Accent5 4 4 2 3 4 2" xfId="17044"/>
    <cellStyle name="20% - Accent5 4 4 2 3 5" xfId="17045"/>
    <cellStyle name="20% - Accent5 4 4 2 3 6" xfId="17046"/>
    <cellStyle name="20% - Accent5 4 4 2 4" xfId="17047"/>
    <cellStyle name="20% - Accent5 4 4 2 4 2" xfId="17048"/>
    <cellStyle name="20% - Accent5 4 4 2 4 2 2" xfId="17049"/>
    <cellStyle name="20% - Accent5 4 4 2 4 2 3" xfId="17050"/>
    <cellStyle name="20% - Accent5 4 4 2 4 3" xfId="17051"/>
    <cellStyle name="20% - Accent5 4 4 2 4 3 2" xfId="17052"/>
    <cellStyle name="20% - Accent5 4 4 2 4 3 3" xfId="17053"/>
    <cellStyle name="20% - Accent5 4 4 2 4 4" xfId="17054"/>
    <cellStyle name="20% - Accent5 4 4 2 4 4 2" xfId="17055"/>
    <cellStyle name="20% - Accent5 4 4 2 4 5" xfId="17056"/>
    <cellStyle name="20% - Accent5 4 4 2 4 6" xfId="17057"/>
    <cellStyle name="20% - Accent5 4 4 2 5" xfId="17058"/>
    <cellStyle name="20% - Accent5 4 4 2 5 2" xfId="17059"/>
    <cellStyle name="20% - Accent5 4 4 2 5 2 2" xfId="17060"/>
    <cellStyle name="20% - Accent5 4 4 2 5 2 3" xfId="17061"/>
    <cellStyle name="20% - Accent5 4 4 2 5 3" xfId="17062"/>
    <cellStyle name="20% - Accent5 4 4 2 5 3 2" xfId="17063"/>
    <cellStyle name="20% - Accent5 4 4 2 5 4" xfId="17064"/>
    <cellStyle name="20% - Accent5 4 4 2 5 5" xfId="17065"/>
    <cellStyle name="20% - Accent5 4 4 2 6" xfId="17066"/>
    <cellStyle name="20% - Accent5 4 4 2 6 2" xfId="17067"/>
    <cellStyle name="20% - Accent5 4 4 2 6 3" xfId="17068"/>
    <cellStyle name="20% - Accent5 4 4 2 7" xfId="17069"/>
    <cellStyle name="20% - Accent5 4 4 2 7 2" xfId="17070"/>
    <cellStyle name="20% - Accent5 4 4 2 7 3" xfId="17071"/>
    <cellStyle name="20% - Accent5 4 4 2 8" xfId="17072"/>
    <cellStyle name="20% - Accent5 4 4 2 8 2" xfId="17073"/>
    <cellStyle name="20% - Accent5 4 4 2 9" xfId="17074"/>
    <cellStyle name="20% - Accent5 4 4 3" xfId="1156"/>
    <cellStyle name="20% - Accent5 4 4 3 2" xfId="17075"/>
    <cellStyle name="20% - Accent5 4 4 3 2 2" xfId="17076"/>
    <cellStyle name="20% - Accent5 4 4 3 2 2 2" xfId="17077"/>
    <cellStyle name="20% - Accent5 4 4 3 2 2 3" xfId="17078"/>
    <cellStyle name="20% - Accent5 4 4 3 2 3" xfId="17079"/>
    <cellStyle name="20% - Accent5 4 4 3 2 3 2" xfId="17080"/>
    <cellStyle name="20% - Accent5 4 4 3 2 3 3" xfId="17081"/>
    <cellStyle name="20% - Accent5 4 4 3 2 4" xfId="17082"/>
    <cellStyle name="20% - Accent5 4 4 3 2 4 2" xfId="17083"/>
    <cellStyle name="20% - Accent5 4 4 3 2 5" xfId="17084"/>
    <cellStyle name="20% - Accent5 4 4 3 2 6" xfId="17085"/>
    <cellStyle name="20% - Accent5 4 4 3 3" xfId="17086"/>
    <cellStyle name="20% - Accent5 4 4 3 3 2" xfId="17087"/>
    <cellStyle name="20% - Accent5 4 4 3 3 2 2" xfId="17088"/>
    <cellStyle name="20% - Accent5 4 4 3 3 2 3" xfId="17089"/>
    <cellStyle name="20% - Accent5 4 4 3 3 3" xfId="17090"/>
    <cellStyle name="20% - Accent5 4 4 3 3 3 2" xfId="17091"/>
    <cellStyle name="20% - Accent5 4 4 3 3 3 3" xfId="17092"/>
    <cellStyle name="20% - Accent5 4 4 3 3 4" xfId="17093"/>
    <cellStyle name="20% - Accent5 4 4 3 3 4 2" xfId="17094"/>
    <cellStyle name="20% - Accent5 4 4 3 3 5" xfId="17095"/>
    <cellStyle name="20% - Accent5 4 4 3 3 6" xfId="17096"/>
    <cellStyle name="20% - Accent5 4 4 3 4" xfId="17097"/>
    <cellStyle name="20% - Accent5 4 4 3 4 2" xfId="17098"/>
    <cellStyle name="20% - Accent5 4 4 3 4 2 2" xfId="17099"/>
    <cellStyle name="20% - Accent5 4 4 3 4 2 3" xfId="17100"/>
    <cellStyle name="20% - Accent5 4 4 3 4 3" xfId="17101"/>
    <cellStyle name="20% - Accent5 4 4 3 4 3 2" xfId="17102"/>
    <cellStyle name="20% - Accent5 4 4 3 4 4" xfId="17103"/>
    <cellStyle name="20% - Accent5 4 4 3 4 5" xfId="17104"/>
    <cellStyle name="20% - Accent5 4 4 3 5" xfId="17105"/>
    <cellStyle name="20% - Accent5 4 4 3 5 2" xfId="17106"/>
    <cellStyle name="20% - Accent5 4 4 3 5 3" xfId="17107"/>
    <cellStyle name="20% - Accent5 4 4 3 6" xfId="17108"/>
    <cellStyle name="20% - Accent5 4 4 3 6 2" xfId="17109"/>
    <cellStyle name="20% - Accent5 4 4 3 6 3" xfId="17110"/>
    <cellStyle name="20% - Accent5 4 4 3 7" xfId="17111"/>
    <cellStyle name="20% - Accent5 4 4 3 7 2" xfId="17112"/>
    <cellStyle name="20% - Accent5 4 4 3 8" xfId="17113"/>
    <cellStyle name="20% - Accent5 4 4 3 9" xfId="17114"/>
    <cellStyle name="20% - Accent5 4 4 4" xfId="17115"/>
    <cellStyle name="20% - Accent5 4 4 4 2" xfId="17116"/>
    <cellStyle name="20% - Accent5 4 4 4 2 2" xfId="17117"/>
    <cellStyle name="20% - Accent5 4 4 4 2 2 2" xfId="17118"/>
    <cellStyle name="20% - Accent5 4 4 4 2 2 3" xfId="17119"/>
    <cellStyle name="20% - Accent5 4 4 4 2 3" xfId="17120"/>
    <cellStyle name="20% - Accent5 4 4 4 2 3 2" xfId="17121"/>
    <cellStyle name="20% - Accent5 4 4 4 2 3 3" xfId="17122"/>
    <cellStyle name="20% - Accent5 4 4 4 2 4" xfId="17123"/>
    <cellStyle name="20% - Accent5 4 4 4 2 4 2" xfId="17124"/>
    <cellStyle name="20% - Accent5 4 4 4 2 5" xfId="17125"/>
    <cellStyle name="20% - Accent5 4 4 4 2 6" xfId="17126"/>
    <cellStyle name="20% - Accent5 4 4 4 3" xfId="17127"/>
    <cellStyle name="20% - Accent5 4 4 4 3 2" xfId="17128"/>
    <cellStyle name="20% - Accent5 4 4 4 3 2 2" xfId="17129"/>
    <cellStyle name="20% - Accent5 4 4 4 3 2 3" xfId="17130"/>
    <cellStyle name="20% - Accent5 4 4 4 3 3" xfId="17131"/>
    <cellStyle name="20% - Accent5 4 4 4 3 3 2" xfId="17132"/>
    <cellStyle name="20% - Accent5 4 4 4 3 3 3" xfId="17133"/>
    <cellStyle name="20% - Accent5 4 4 4 3 4" xfId="17134"/>
    <cellStyle name="20% - Accent5 4 4 4 3 4 2" xfId="17135"/>
    <cellStyle name="20% - Accent5 4 4 4 3 5" xfId="17136"/>
    <cellStyle name="20% - Accent5 4 4 4 3 6" xfId="17137"/>
    <cellStyle name="20% - Accent5 4 4 4 4" xfId="17138"/>
    <cellStyle name="20% - Accent5 4 4 4 4 2" xfId="17139"/>
    <cellStyle name="20% - Accent5 4 4 4 4 2 2" xfId="17140"/>
    <cellStyle name="20% - Accent5 4 4 4 4 2 3" xfId="17141"/>
    <cellStyle name="20% - Accent5 4 4 4 4 3" xfId="17142"/>
    <cellStyle name="20% - Accent5 4 4 4 4 3 2" xfId="17143"/>
    <cellStyle name="20% - Accent5 4 4 4 4 4" xfId="17144"/>
    <cellStyle name="20% - Accent5 4 4 4 4 5" xfId="17145"/>
    <cellStyle name="20% - Accent5 4 4 4 5" xfId="17146"/>
    <cellStyle name="20% - Accent5 4 4 4 5 2" xfId="17147"/>
    <cellStyle name="20% - Accent5 4 4 4 5 3" xfId="17148"/>
    <cellStyle name="20% - Accent5 4 4 4 6" xfId="17149"/>
    <cellStyle name="20% - Accent5 4 4 4 6 2" xfId="17150"/>
    <cellStyle name="20% - Accent5 4 4 4 6 3" xfId="17151"/>
    <cellStyle name="20% - Accent5 4 4 4 7" xfId="17152"/>
    <cellStyle name="20% - Accent5 4 4 4 7 2" xfId="17153"/>
    <cellStyle name="20% - Accent5 4 4 4 8" xfId="17154"/>
    <cellStyle name="20% - Accent5 4 4 4 9" xfId="17155"/>
    <cellStyle name="20% - Accent5 4 4 5" xfId="17156"/>
    <cellStyle name="20% - Accent5 4 4 5 2" xfId="17157"/>
    <cellStyle name="20% - Accent5 4 4 5 2 2" xfId="17158"/>
    <cellStyle name="20% - Accent5 4 4 5 2 3" xfId="17159"/>
    <cellStyle name="20% - Accent5 4 4 5 3" xfId="17160"/>
    <cellStyle name="20% - Accent5 4 4 5 3 2" xfId="17161"/>
    <cellStyle name="20% - Accent5 4 4 5 3 3" xfId="17162"/>
    <cellStyle name="20% - Accent5 4 4 5 4" xfId="17163"/>
    <cellStyle name="20% - Accent5 4 4 5 4 2" xfId="17164"/>
    <cellStyle name="20% - Accent5 4 4 5 5" xfId="17165"/>
    <cellStyle name="20% - Accent5 4 4 5 6" xfId="17166"/>
    <cellStyle name="20% - Accent5 4 4 6" xfId="17167"/>
    <cellStyle name="20% - Accent5 4 4 6 2" xfId="17168"/>
    <cellStyle name="20% - Accent5 4 4 6 2 2" xfId="17169"/>
    <cellStyle name="20% - Accent5 4 4 6 2 3" xfId="17170"/>
    <cellStyle name="20% - Accent5 4 4 6 3" xfId="17171"/>
    <cellStyle name="20% - Accent5 4 4 6 3 2" xfId="17172"/>
    <cellStyle name="20% - Accent5 4 4 6 3 3" xfId="17173"/>
    <cellStyle name="20% - Accent5 4 4 6 4" xfId="17174"/>
    <cellStyle name="20% - Accent5 4 4 6 4 2" xfId="17175"/>
    <cellStyle name="20% - Accent5 4 4 6 5" xfId="17176"/>
    <cellStyle name="20% - Accent5 4 4 6 6" xfId="17177"/>
    <cellStyle name="20% - Accent5 4 4 7" xfId="17178"/>
    <cellStyle name="20% - Accent5 4 4 7 2" xfId="17179"/>
    <cellStyle name="20% - Accent5 4 4 7 2 2" xfId="17180"/>
    <cellStyle name="20% - Accent5 4 4 7 2 3" xfId="17181"/>
    <cellStyle name="20% - Accent5 4 4 7 3" xfId="17182"/>
    <cellStyle name="20% - Accent5 4 4 7 3 2" xfId="17183"/>
    <cellStyle name="20% - Accent5 4 4 7 4" xfId="17184"/>
    <cellStyle name="20% - Accent5 4 4 7 5" xfId="17185"/>
    <cellStyle name="20% - Accent5 4 4 8" xfId="17186"/>
    <cellStyle name="20% - Accent5 4 4 8 2" xfId="17187"/>
    <cellStyle name="20% - Accent5 4 4 8 3" xfId="17188"/>
    <cellStyle name="20% - Accent5 4 4 9" xfId="17189"/>
    <cellStyle name="20% - Accent5 4 4 9 2" xfId="17190"/>
    <cellStyle name="20% - Accent5 4 4 9 3" xfId="17191"/>
    <cellStyle name="20% - Accent5 4 5" xfId="1157"/>
    <cellStyle name="20% - Accent5 4 5 10" xfId="17192"/>
    <cellStyle name="20% - Accent5 4 5 2" xfId="1158"/>
    <cellStyle name="20% - Accent5 4 5 2 2" xfId="17193"/>
    <cellStyle name="20% - Accent5 4 5 2 2 2" xfId="17194"/>
    <cellStyle name="20% - Accent5 4 5 2 2 2 2" xfId="17195"/>
    <cellStyle name="20% - Accent5 4 5 2 2 2 3" xfId="17196"/>
    <cellStyle name="20% - Accent5 4 5 2 2 3" xfId="17197"/>
    <cellStyle name="20% - Accent5 4 5 2 2 3 2" xfId="17198"/>
    <cellStyle name="20% - Accent5 4 5 2 2 3 3" xfId="17199"/>
    <cellStyle name="20% - Accent5 4 5 2 2 4" xfId="17200"/>
    <cellStyle name="20% - Accent5 4 5 2 2 4 2" xfId="17201"/>
    <cellStyle name="20% - Accent5 4 5 2 2 5" xfId="17202"/>
    <cellStyle name="20% - Accent5 4 5 2 2 6" xfId="17203"/>
    <cellStyle name="20% - Accent5 4 5 2 3" xfId="17204"/>
    <cellStyle name="20% - Accent5 4 5 2 3 2" xfId="17205"/>
    <cellStyle name="20% - Accent5 4 5 2 3 2 2" xfId="17206"/>
    <cellStyle name="20% - Accent5 4 5 2 3 2 3" xfId="17207"/>
    <cellStyle name="20% - Accent5 4 5 2 3 3" xfId="17208"/>
    <cellStyle name="20% - Accent5 4 5 2 3 3 2" xfId="17209"/>
    <cellStyle name="20% - Accent5 4 5 2 3 3 3" xfId="17210"/>
    <cellStyle name="20% - Accent5 4 5 2 3 4" xfId="17211"/>
    <cellStyle name="20% - Accent5 4 5 2 3 4 2" xfId="17212"/>
    <cellStyle name="20% - Accent5 4 5 2 3 5" xfId="17213"/>
    <cellStyle name="20% - Accent5 4 5 2 3 6" xfId="17214"/>
    <cellStyle name="20% - Accent5 4 5 2 4" xfId="17215"/>
    <cellStyle name="20% - Accent5 4 5 2 4 2" xfId="17216"/>
    <cellStyle name="20% - Accent5 4 5 2 4 2 2" xfId="17217"/>
    <cellStyle name="20% - Accent5 4 5 2 4 2 3" xfId="17218"/>
    <cellStyle name="20% - Accent5 4 5 2 4 3" xfId="17219"/>
    <cellStyle name="20% - Accent5 4 5 2 4 3 2" xfId="17220"/>
    <cellStyle name="20% - Accent5 4 5 2 4 4" xfId="17221"/>
    <cellStyle name="20% - Accent5 4 5 2 4 5" xfId="17222"/>
    <cellStyle name="20% - Accent5 4 5 2 5" xfId="17223"/>
    <cellStyle name="20% - Accent5 4 5 2 5 2" xfId="17224"/>
    <cellStyle name="20% - Accent5 4 5 2 5 3" xfId="17225"/>
    <cellStyle name="20% - Accent5 4 5 2 6" xfId="17226"/>
    <cellStyle name="20% - Accent5 4 5 2 6 2" xfId="17227"/>
    <cellStyle name="20% - Accent5 4 5 2 6 3" xfId="17228"/>
    <cellStyle name="20% - Accent5 4 5 2 7" xfId="17229"/>
    <cellStyle name="20% - Accent5 4 5 2 7 2" xfId="17230"/>
    <cellStyle name="20% - Accent5 4 5 2 8" xfId="17231"/>
    <cellStyle name="20% - Accent5 4 5 2 9" xfId="17232"/>
    <cellStyle name="20% - Accent5 4 5 3" xfId="17233"/>
    <cellStyle name="20% - Accent5 4 5 3 2" xfId="17234"/>
    <cellStyle name="20% - Accent5 4 5 3 2 2" xfId="17235"/>
    <cellStyle name="20% - Accent5 4 5 3 2 3" xfId="17236"/>
    <cellStyle name="20% - Accent5 4 5 3 3" xfId="17237"/>
    <cellStyle name="20% - Accent5 4 5 3 3 2" xfId="17238"/>
    <cellStyle name="20% - Accent5 4 5 3 3 3" xfId="17239"/>
    <cellStyle name="20% - Accent5 4 5 3 4" xfId="17240"/>
    <cellStyle name="20% - Accent5 4 5 3 4 2" xfId="17241"/>
    <cellStyle name="20% - Accent5 4 5 3 5" xfId="17242"/>
    <cellStyle name="20% - Accent5 4 5 3 6" xfId="17243"/>
    <cellStyle name="20% - Accent5 4 5 4" xfId="17244"/>
    <cellStyle name="20% - Accent5 4 5 4 2" xfId="17245"/>
    <cellStyle name="20% - Accent5 4 5 4 2 2" xfId="17246"/>
    <cellStyle name="20% - Accent5 4 5 4 2 3" xfId="17247"/>
    <cellStyle name="20% - Accent5 4 5 4 3" xfId="17248"/>
    <cellStyle name="20% - Accent5 4 5 4 3 2" xfId="17249"/>
    <cellStyle name="20% - Accent5 4 5 4 3 3" xfId="17250"/>
    <cellStyle name="20% - Accent5 4 5 4 4" xfId="17251"/>
    <cellStyle name="20% - Accent5 4 5 4 4 2" xfId="17252"/>
    <cellStyle name="20% - Accent5 4 5 4 5" xfId="17253"/>
    <cellStyle name="20% - Accent5 4 5 4 6" xfId="17254"/>
    <cellStyle name="20% - Accent5 4 5 5" xfId="17255"/>
    <cellStyle name="20% - Accent5 4 5 5 2" xfId="17256"/>
    <cellStyle name="20% - Accent5 4 5 5 2 2" xfId="17257"/>
    <cellStyle name="20% - Accent5 4 5 5 2 3" xfId="17258"/>
    <cellStyle name="20% - Accent5 4 5 5 3" xfId="17259"/>
    <cellStyle name="20% - Accent5 4 5 5 3 2" xfId="17260"/>
    <cellStyle name="20% - Accent5 4 5 5 4" xfId="17261"/>
    <cellStyle name="20% - Accent5 4 5 5 5" xfId="17262"/>
    <cellStyle name="20% - Accent5 4 5 6" xfId="17263"/>
    <cellStyle name="20% - Accent5 4 5 6 2" xfId="17264"/>
    <cellStyle name="20% - Accent5 4 5 6 3" xfId="17265"/>
    <cellStyle name="20% - Accent5 4 5 7" xfId="17266"/>
    <cellStyle name="20% - Accent5 4 5 7 2" xfId="17267"/>
    <cellStyle name="20% - Accent5 4 5 7 3" xfId="17268"/>
    <cellStyle name="20% - Accent5 4 5 8" xfId="17269"/>
    <cellStyle name="20% - Accent5 4 5 8 2" xfId="17270"/>
    <cellStyle name="20% - Accent5 4 5 9" xfId="17271"/>
    <cellStyle name="20% - Accent5 4 6" xfId="1159"/>
    <cellStyle name="20% - Accent5 4 6 2" xfId="17272"/>
    <cellStyle name="20% - Accent5 4 6 2 2" xfId="17273"/>
    <cellStyle name="20% - Accent5 4 6 2 2 2" xfId="17274"/>
    <cellStyle name="20% - Accent5 4 6 2 2 3" xfId="17275"/>
    <cellStyle name="20% - Accent5 4 6 2 3" xfId="17276"/>
    <cellStyle name="20% - Accent5 4 6 2 3 2" xfId="17277"/>
    <cellStyle name="20% - Accent5 4 6 2 3 3" xfId="17278"/>
    <cellStyle name="20% - Accent5 4 6 2 4" xfId="17279"/>
    <cellStyle name="20% - Accent5 4 6 2 4 2" xfId="17280"/>
    <cellStyle name="20% - Accent5 4 6 2 5" xfId="17281"/>
    <cellStyle name="20% - Accent5 4 6 2 6" xfId="17282"/>
    <cellStyle name="20% - Accent5 4 6 3" xfId="17283"/>
    <cellStyle name="20% - Accent5 4 6 3 2" xfId="17284"/>
    <cellStyle name="20% - Accent5 4 6 3 2 2" xfId="17285"/>
    <cellStyle name="20% - Accent5 4 6 3 2 3" xfId="17286"/>
    <cellStyle name="20% - Accent5 4 6 3 3" xfId="17287"/>
    <cellStyle name="20% - Accent5 4 6 3 3 2" xfId="17288"/>
    <cellStyle name="20% - Accent5 4 6 3 3 3" xfId="17289"/>
    <cellStyle name="20% - Accent5 4 6 3 4" xfId="17290"/>
    <cellStyle name="20% - Accent5 4 6 3 4 2" xfId="17291"/>
    <cellStyle name="20% - Accent5 4 6 3 5" xfId="17292"/>
    <cellStyle name="20% - Accent5 4 6 3 6" xfId="17293"/>
    <cellStyle name="20% - Accent5 4 6 4" xfId="17294"/>
    <cellStyle name="20% - Accent5 4 6 4 2" xfId="17295"/>
    <cellStyle name="20% - Accent5 4 6 4 2 2" xfId="17296"/>
    <cellStyle name="20% - Accent5 4 6 4 2 3" xfId="17297"/>
    <cellStyle name="20% - Accent5 4 6 4 3" xfId="17298"/>
    <cellStyle name="20% - Accent5 4 6 4 3 2" xfId="17299"/>
    <cellStyle name="20% - Accent5 4 6 4 4" xfId="17300"/>
    <cellStyle name="20% - Accent5 4 6 4 5" xfId="17301"/>
    <cellStyle name="20% - Accent5 4 6 5" xfId="17302"/>
    <cellStyle name="20% - Accent5 4 6 5 2" xfId="17303"/>
    <cellStyle name="20% - Accent5 4 6 5 3" xfId="17304"/>
    <cellStyle name="20% - Accent5 4 6 6" xfId="17305"/>
    <cellStyle name="20% - Accent5 4 6 6 2" xfId="17306"/>
    <cellStyle name="20% - Accent5 4 6 6 3" xfId="17307"/>
    <cellStyle name="20% - Accent5 4 6 7" xfId="17308"/>
    <cellStyle name="20% - Accent5 4 6 7 2" xfId="17309"/>
    <cellStyle name="20% - Accent5 4 6 8" xfId="17310"/>
    <cellStyle name="20% - Accent5 4 6 9" xfId="17311"/>
    <cellStyle name="20% - Accent5 4 7" xfId="8967"/>
    <cellStyle name="20% - Accent5 4 7 2" xfId="17312"/>
    <cellStyle name="20% - Accent5 4 7 2 2" xfId="17313"/>
    <cellStyle name="20% - Accent5 4 7 2 2 2" xfId="17314"/>
    <cellStyle name="20% - Accent5 4 7 2 2 3" xfId="17315"/>
    <cellStyle name="20% - Accent5 4 7 2 3" xfId="17316"/>
    <cellStyle name="20% - Accent5 4 7 2 3 2" xfId="17317"/>
    <cellStyle name="20% - Accent5 4 7 2 3 3" xfId="17318"/>
    <cellStyle name="20% - Accent5 4 7 2 4" xfId="17319"/>
    <cellStyle name="20% - Accent5 4 7 2 4 2" xfId="17320"/>
    <cellStyle name="20% - Accent5 4 7 2 5" xfId="17321"/>
    <cellStyle name="20% - Accent5 4 7 2 6" xfId="17322"/>
    <cellStyle name="20% - Accent5 4 7 3" xfId="17323"/>
    <cellStyle name="20% - Accent5 4 7 3 2" xfId="17324"/>
    <cellStyle name="20% - Accent5 4 7 3 2 2" xfId="17325"/>
    <cellStyle name="20% - Accent5 4 7 3 2 3" xfId="17326"/>
    <cellStyle name="20% - Accent5 4 7 3 3" xfId="17327"/>
    <cellStyle name="20% - Accent5 4 7 3 3 2" xfId="17328"/>
    <cellStyle name="20% - Accent5 4 7 3 3 3" xfId="17329"/>
    <cellStyle name="20% - Accent5 4 7 3 4" xfId="17330"/>
    <cellStyle name="20% - Accent5 4 7 3 4 2" xfId="17331"/>
    <cellStyle name="20% - Accent5 4 7 3 5" xfId="17332"/>
    <cellStyle name="20% - Accent5 4 7 3 6" xfId="17333"/>
    <cellStyle name="20% - Accent5 4 7 4" xfId="17334"/>
    <cellStyle name="20% - Accent5 4 7 4 2" xfId="17335"/>
    <cellStyle name="20% - Accent5 4 7 4 2 2" xfId="17336"/>
    <cellStyle name="20% - Accent5 4 7 4 2 3" xfId="17337"/>
    <cellStyle name="20% - Accent5 4 7 4 3" xfId="17338"/>
    <cellStyle name="20% - Accent5 4 7 4 3 2" xfId="17339"/>
    <cellStyle name="20% - Accent5 4 7 4 4" xfId="17340"/>
    <cellStyle name="20% - Accent5 4 7 4 5" xfId="17341"/>
    <cellStyle name="20% - Accent5 4 7 5" xfId="17342"/>
    <cellStyle name="20% - Accent5 4 7 5 2" xfId="17343"/>
    <cellStyle name="20% - Accent5 4 7 5 3" xfId="17344"/>
    <cellStyle name="20% - Accent5 4 7 6" xfId="17345"/>
    <cellStyle name="20% - Accent5 4 7 6 2" xfId="17346"/>
    <cellStyle name="20% - Accent5 4 7 6 3" xfId="17347"/>
    <cellStyle name="20% - Accent5 4 7 7" xfId="17348"/>
    <cellStyle name="20% - Accent5 4 7 7 2" xfId="17349"/>
    <cellStyle name="20% - Accent5 4 7 8" xfId="17350"/>
    <cellStyle name="20% - Accent5 4 7 9" xfId="17351"/>
    <cellStyle name="20% - Accent5 4 8" xfId="17352"/>
    <cellStyle name="20% - Accent5 4 8 2" xfId="17353"/>
    <cellStyle name="20% - Accent5 4 8 2 2" xfId="17354"/>
    <cellStyle name="20% - Accent5 4 8 2 3" xfId="17355"/>
    <cellStyle name="20% - Accent5 4 8 3" xfId="17356"/>
    <cellStyle name="20% - Accent5 4 8 3 2" xfId="17357"/>
    <cellStyle name="20% - Accent5 4 8 3 3" xfId="17358"/>
    <cellStyle name="20% - Accent5 4 8 4" xfId="17359"/>
    <cellStyle name="20% - Accent5 4 8 4 2" xfId="17360"/>
    <cellStyle name="20% - Accent5 4 8 5" xfId="17361"/>
    <cellStyle name="20% - Accent5 4 8 6" xfId="17362"/>
    <cellStyle name="20% - Accent5 4 9" xfId="17363"/>
    <cellStyle name="20% - Accent5 4 9 2" xfId="17364"/>
    <cellStyle name="20% - Accent5 4 9 2 2" xfId="17365"/>
    <cellStyle name="20% - Accent5 4 9 2 3" xfId="17366"/>
    <cellStyle name="20% - Accent5 4 9 3" xfId="17367"/>
    <cellStyle name="20% - Accent5 4 9 3 2" xfId="17368"/>
    <cellStyle name="20% - Accent5 4 9 3 3" xfId="17369"/>
    <cellStyle name="20% - Accent5 4 9 4" xfId="17370"/>
    <cellStyle name="20% - Accent5 4 9 4 2" xfId="17371"/>
    <cellStyle name="20% - Accent5 4 9 5" xfId="17372"/>
    <cellStyle name="20% - Accent5 4 9 6" xfId="17373"/>
    <cellStyle name="20% - Accent5 5" xfId="1160"/>
    <cellStyle name="20% - Accent5 5 2" xfId="1161"/>
    <cellStyle name="20% - Accent5 5 2 2" xfId="1162"/>
    <cellStyle name="20% - Accent5 5 2 2 2" xfId="1163"/>
    <cellStyle name="20% - Accent5 5 2 2 2 2" xfId="1164"/>
    <cellStyle name="20% - Accent5 5 2 2 3" xfId="1165"/>
    <cellStyle name="20% - Accent5 5 2 3" xfId="1166"/>
    <cellStyle name="20% - Accent5 5 2 3 2" xfId="1167"/>
    <cellStyle name="20% - Accent5 5 2 4" xfId="1168"/>
    <cellStyle name="20% - Accent5 5 2 5" xfId="58129"/>
    <cellStyle name="20% - Accent5 5 3" xfId="1169"/>
    <cellStyle name="20% - Accent5 5 3 2" xfId="1170"/>
    <cellStyle name="20% - Accent5 5 3 2 2" xfId="1171"/>
    <cellStyle name="20% - Accent5 5 3 3" xfId="1172"/>
    <cellStyle name="20% - Accent5 5 4" xfId="1173"/>
    <cellStyle name="20% - Accent5 5 4 2" xfId="1174"/>
    <cellStyle name="20% - Accent5 5 5" xfId="1175"/>
    <cellStyle name="20% - Accent5 5 6" xfId="8968"/>
    <cellStyle name="20% - Accent5 6" xfId="1176"/>
    <cellStyle name="20% - Accent5 6 2" xfId="1177"/>
    <cellStyle name="20% - Accent5 6 2 2" xfId="1178"/>
    <cellStyle name="20% - Accent5 6 2 2 2" xfId="1179"/>
    <cellStyle name="20% - Accent5 6 2 3" xfId="1180"/>
    <cellStyle name="20% - Accent5 6 2 4" xfId="58130"/>
    <cellStyle name="20% - Accent5 6 2 5" xfId="58131"/>
    <cellStyle name="20% - Accent5 6 3" xfId="1181"/>
    <cellStyle name="20% - Accent5 6 3 2" xfId="1182"/>
    <cellStyle name="20% - Accent5 6 4" xfId="1183"/>
    <cellStyle name="20% - Accent5 6 5" xfId="58132"/>
    <cellStyle name="20% - Accent5 7" xfId="1184"/>
    <cellStyle name="20% - Accent5 7 2" xfId="1185"/>
    <cellStyle name="20% - Accent5 7 2 2" xfId="1186"/>
    <cellStyle name="20% - Accent5 7 2 2 2" xfId="1187"/>
    <cellStyle name="20% - Accent5 7 2 3" xfId="1188"/>
    <cellStyle name="20% - Accent5 7 3" xfId="1189"/>
    <cellStyle name="20% - Accent5 7 3 2" xfId="1190"/>
    <cellStyle name="20% - Accent5 7 4" xfId="1191"/>
    <cellStyle name="20% - Accent5 7 5" xfId="58133"/>
    <cellStyle name="20% - Accent5 8" xfId="1192"/>
    <cellStyle name="20% - Accent5 8 2" xfId="1193"/>
    <cellStyle name="20% - Accent5 8 2 2" xfId="1194"/>
    <cellStyle name="20% - Accent5 8 2 2 2" xfId="1195"/>
    <cellStyle name="20% - Accent5 8 2 3" xfId="1196"/>
    <cellStyle name="20% - Accent5 8 3" xfId="1197"/>
    <cellStyle name="20% - Accent5 8 3 2" xfId="1198"/>
    <cellStyle name="20% - Accent5 8 4" xfId="1199"/>
    <cellStyle name="20% - Accent5 8 5" xfId="58134"/>
    <cellStyle name="20% - Accent5 9" xfId="1200"/>
    <cellStyle name="20% - Accent5 9 2" xfId="1201"/>
    <cellStyle name="20% - Accent5 9 2 2" xfId="1202"/>
    <cellStyle name="20% - Accent5 9 3" xfId="1203"/>
    <cellStyle name="20% - Accent5 9 4" xfId="58135"/>
    <cellStyle name="20% - Accent6 10" xfId="1204"/>
    <cellStyle name="20% - Accent6 10 2" xfId="1205"/>
    <cellStyle name="20% - Accent6 10 2 2" xfId="1206"/>
    <cellStyle name="20% - Accent6 10 3" xfId="1207"/>
    <cellStyle name="20% - Accent6 10 4" xfId="58136"/>
    <cellStyle name="20% - Accent6 11" xfId="1208"/>
    <cellStyle name="20% - Accent6 11 2" xfId="1209"/>
    <cellStyle name="20% - Accent6 11 2 2" xfId="1210"/>
    <cellStyle name="20% - Accent6 11 3" xfId="1211"/>
    <cellStyle name="20% - Accent6 11 4" xfId="58137"/>
    <cellStyle name="20% - Accent6 12" xfId="1212"/>
    <cellStyle name="20% - Accent6 12 2" xfId="1213"/>
    <cellStyle name="20% - Accent6 12 3" xfId="58138"/>
    <cellStyle name="20% - Accent6 13" xfId="1214"/>
    <cellStyle name="20% - Accent6 13 2" xfId="58139"/>
    <cellStyle name="20% - Accent6 14" xfId="8969"/>
    <cellStyle name="20% - Accent6 15" xfId="17374"/>
    <cellStyle name="20% - Accent6 16" xfId="17375"/>
    <cellStyle name="20% - Accent6 17" xfId="17376"/>
    <cellStyle name="20% - Accent6 17 2" xfId="58140"/>
    <cellStyle name="20% - Accent6 18" xfId="58141"/>
    <cellStyle name="20% - Accent6 19" xfId="58142"/>
    <cellStyle name="20% - Accent6 2" xfId="1215"/>
    <cellStyle name="20% - Accent6 2 2" xfId="1216"/>
    <cellStyle name="20% - Accent6 2 2 2" xfId="1217"/>
    <cellStyle name="20% - Accent6 2 2 2 2" xfId="1218"/>
    <cellStyle name="20% - Accent6 2 2 2 2 2" xfId="1219"/>
    <cellStyle name="20% - Accent6 2 2 2 2 2 2" xfId="1220"/>
    <cellStyle name="20% - Accent6 2 2 2 2 2 2 2" xfId="1221"/>
    <cellStyle name="20% - Accent6 2 2 2 2 2 3" xfId="1222"/>
    <cellStyle name="20% - Accent6 2 2 2 2 3" xfId="1223"/>
    <cellStyle name="20% - Accent6 2 2 2 2 3 2" xfId="1224"/>
    <cellStyle name="20% - Accent6 2 2 2 2 4" xfId="1225"/>
    <cellStyle name="20% - Accent6 2 2 2 2 5" xfId="58143"/>
    <cellStyle name="20% - Accent6 2 2 2 3" xfId="1226"/>
    <cellStyle name="20% - Accent6 2 2 2 3 2" xfId="1227"/>
    <cellStyle name="20% - Accent6 2 2 2 3 2 2" xfId="1228"/>
    <cellStyle name="20% - Accent6 2 2 2 3 3" xfId="1229"/>
    <cellStyle name="20% - Accent6 2 2 2 4" xfId="1230"/>
    <cellStyle name="20% - Accent6 2 2 2 4 2" xfId="1231"/>
    <cellStyle name="20% - Accent6 2 2 2 5" xfId="1232"/>
    <cellStyle name="20% - Accent6 2 2 2 6" xfId="58144"/>
    <cellStyle name="20% - Accent6 2 2 3" xfId="1233"/>
    <cellStyle name="20% - Accent6 2 2 3 2" xfId="1234"/>
    <cellStyle name="20% - Accent6 2 2 3 2 2" xfId="1235"/>
    <cellStyle name="20% - Accent6 2 2 3 2 2 2" xfId="1236"/>
    <cellStyle name="20% - Accent6 2 2 3 2 3" xfId="1237"/>
    <cellStyle name="20% - Accent6 2 2 3 3" xfId="1238"/>
    <cellStyle name="20% - Accent6 2 2 3 3 2" xfId="1239"/>
    <cellStyle name="20% - Accent6 2 2 3 4" xfId="1240"/>
    <cellStyle name="20% - Accent6 2 2 3 5" xfId="58145"/>
    <cellStyle name="20% - Accent6 2 2 4" xfId="1241"/>
    <cellStyle name="20% - Accent6 2 2 4 2" xfId="1242"/>
    <cellStyle name="20% - Accent6 2 2 4 2 2" xfId="1243"/>
    <cellStyle name="20% - Accent6 2 2 4 3" xfId="1244"/>
    <cellStyle name="20% - Accent6 2 2 5" xfId="1245"/>
    <cellStyle name="20% - Accent6 2 2 5 2" xfId="1246"/>
    <cellStyle name="20% - Accent6 2 2 6" xfId="1247"/>
    <cellStyle name="20% - Accent6 2 2 7" xfId="58146"/>
    <cellStyle name="20% - Accent6 2 3" xfId="1248"/>
    <cellStyle name="20% - Accent6 2 3 2" xfId="1249"/>
    <cellStyle name="20% - Accent6 2 3 2 2" xfId="1250"/>
    <cellStyle name="20% - Accent6 2 3 2 2 2" xfId="1251"/>
    <cellStyle name="20% - Accent6 2 3 2 2 2 2" xfId="1252"/>
    <cellStyle name="20% - Accent6 2 3 2 2 3" xfId="1253"/>
    <cellStyle name="20% - Accent6 2 3 2 3" xfId="1254"/>
    <cellStyle name="20% - Accent6 2 3 2 3 2" xfId="1255"/>
    <cellStyle name="20% - Accent6 2 3 2 4" xfId="1256"/>
    <cellStyle name="20% - Accent6 2 3 3" xfId="1257"/>
    <cellStyle name="20% - Accent6 2 3 3 2" xfId="1258"/>
    <cellStyle name="20% - Accent6 2 3 3 2 2" xfId="1259"/>
    <cellStyle name="20% - Accent6 2 3 3 3" xfId="1260"/>
    <cellStyle name="20% - Accent6 2 3 4" xfId="1261"/>
    <cellStyle name="20% - Accent6 2 3 4 2" xfId="1262"/>
    <cellStyle name="20% - Accent6 2 3 5" xfId="1263"/>
    <cellStyle name="20% - Accent6 2 3 6" xfId="58147"/>
    <cellStyle name="20% - Accent6 2 4" xfId="1264"/>
    <cellStyle name="20% - Accent6 2 4 2" xfId="1265"/>
    <cellStyle name="20% - Accent6 2 4 2 2" xfId="1266"/>
    <cellStyle name="20% - Accent6 2 4 2 2 2" xfId="1267"/>
    <cellStyle name="20% - Accent6 2 4 2 3" xfId="1268"/>
    <cellStyle name="20% - Accent6 2 4 3" xfId="1269"/>
    <cellStyle name="20% - Accent6 2 4 3 2" xfId="1270"/>
    <cellStyle name="20% - Accent6 2 4 4" xfId="1271"/>
    <cellStyle name="20% - Accent6 2 4 5" xfId="58148"/>
    <cellStyle name="20% - Accent6 2 5" xfId="1272"/>
    <cellStyle name="20% - Accent6 2 5 2" xfId="1273"/>
    <cellStyle name="20% - Accent6 2 5 2 2" xfId="1274"/>
    <cellStyle name="20% - Accent6 2 5 3" xfId="1275"/>
    <cellStyle name="20% - Accent6 2 5 4" xfId="58149"/>
    <cellStyle name="20% - Accent6 2 6" xfId="1276"/>
    <cellStyle name="20% - Accent6 2 6 2" xfId="1277"/>
    <cellStyle name="20% - Accent6 2 6 3" xfId="58150"/>
    <cellStyle name="20% - Accent6 2 7" xfId="1278"/>
    <cellStyle name="20% - Accent6 2 8" xfId="1279"/>
    <cellStyle name="20% - Accent6 2 9" xfId="58151"/>
    <cellStyle name="20% - Accent6 20" xfId="58152"/>
    <cellStyle name="20% - Accent6 21" xfId="58153"/>
    <cellStyle name="20% - Accent6 3" xfId="1280"/>
    <cellStyle name="20% - Accent6 3 2" xfId="1281"/>
    <cellStyle name="20% - Accent6 3 2 2" xfId="1282"/>
    <cellStyle name="20% - Accent6 3 2 2 2" xfId="1283"/>
    <cellStyle name="20% - Accent6 3 2 2 2 2" xfId="1284"/>
    <cellStyle name="20% - Accent6 3 2 2 2 2 2" xfId="1285"/>
    <cellStyle name="20% - Accent6 3 2 2 2 2 2 2" xfId="1286"/>
    <cellStyle name="20% - Accent6 3 2 2 2 2 3" xfId="1287"/>
    <cellStyle name="20% - Accent6 3 2 2 2 3" xfId="1288"/>
    <cellStyle name="20% - Accent6 3 2 2 2 3 2" xfId="1289"/>
    <cellStyle name="20% - Accent6 3 2 2 2 4" xfId="1290"/>
    <cellStyle name="20% - Accent6 3 2 2 2 5" xfId="8970"/>
    <cellStyle name="20% - Accent6 3 2 2 3" xfId="1291"/>
    <cellStyle name="20% - Accent6 3 2 2 3 2" xfId="1292"/>
    <cellStyle name="20% - Accent6 3 2 2 3 2 2" xfId="1293"/>
    <cellStyle name="20% - Accent6 3 2 2 3 3" xfId="1294"/>
    <cellStyle name="20% - Accent6 3 2 2 4" xfId="1295"/>
    <cellStyle name="20% - Accent6 3 2 2 4 2" xfId="1296"/>
    <cellStyle name="20% - Accent6 3 2 2 5" xfId="1297"/>
    <cellStyle name="20% - Accent6 3 2 2 6" xfId="8971"/>
    <cellStyle name="20% - Accent6 3 2 3" xfId="1298"/>
    <cellStyle name="20% - Accent6 3 2 3 2" xfId="1299"/>
    <cellStyle name="20% - Accent6 3 2 3 2 2" xfId="1300"/>
    <cellStyle name="20% - Accent6 3 2 3 2 2 2" xfId="1301"/>
    <cellStyle name="20% - Accent6 3 2 3 2 3" xfId="1302"/>
    <cellStyle name="20% - Accent6 3 2 3 3" xfId="1303"/>
    <cellStyle name="20% - Accent6 3 2 3 3 2" xfId="1304"/>
    <cellStyle name="20% - Accent6 3 2 3 4" xfId="1305"/>
    <cellStyle name="20% - Accent6 3 2 3 5" xfId="8972"/>
    <cellStyle name="20% - Accent6 3 2 4" xfId="1306"/>
    <cellStyle name="20% - Accent6 3 2 4 2" xfId="1307"/>
    <cellStyle name="20% - Accent6 3 2 4 2 2" xfId="1308"/>
    <cellStyle name="20% - Accent6 3 2 4 3" xfId="1309"/>
    <cellStyle name="20% - Accent6 3 2 5" xfId="1310"/>
    <cellStyle name="20% - Accent6 3 2 5 2" xfId="1311"/>
    <cellStyle name="20% - Accent6 3 2 6" xfId="1312"/>
    <cellStyle name="20% - Accent6 3 2 7" xfId="8973"/>
    <cellStyle name="20% - Accent6 3 3" xfId="1313"/>
    <cellStyle name="20% - Accent6 3 3 2" xfId="1314"/>
    <cellStyle name="20% - Accent6 3 3 2 2" xfId="1315"/>
    <cellStyle name="20% - Accent6 3 3 2 2 2" xfId="1316"/>
    <cellStyle name="20% - Accent6 3 3 2 2 2 2" xfId="1317"/>
    <cellStyle name="20% - Accent6 3 3 2 2 3" xfId="1318"/>
    <cellStyle name="20% - Accent6 3 3 2 3" xfId="1319"/>
    <cellStyle name="20% - Accent6 3 3 2 3 2" xfId="1320"/>
    <cellStyle name="20% - Accent6 3 3 2 4" xfId="1321"/>
    <cellStyle name="20% - Accent6 3 3 2 5" xfId="8974"/>
    <cellStyle name="20% - Accent6 3 3 3" xfId="1322"/>
    <cellStyle name="20% - Accent6 3 3 3 2" xfId="1323"/>
    <cellStyle name="20% - Accent6 3 3 3 2 2" xfId="1324"/>
    <cellStyle name="20% - Accent6 3 3 3 3" xfId="1325"/>
    <cellStyle name="20% - Accent6 3 3 4" xfId="1326"/>
    <cellStyle name="20% - Accent6 3 3 4 2" xfId="1327"/>
    <cellStyle name="20% - Accent6 3 3 5" xfId="1328"/>
    <cellStyle name="20% - Accent6 3 3 6" xfId="8975"/>
    <cellStyle name="20% - Accent6 3 4" xfId="1329"/>
    <cellStyle name="20% - Accent6 3 4 2" xfId="1330"/>
    <cellStyle name="20% - Accent6 3 4 2 2" xfId="1331"/>
    <cellStyle name="20% - Accent6 3 4 2 2 2" xfId="1332"/>
    <cellStyle name="20% - Accent6 3 4 2 3" xfId="1333"/>
    <cellStyle name="20% - Accent6 3 4 3" xfId="1334"/>
    <cellStyle name="20% - Accent6 3 4 3 2" xfId="1335"/>
    <cellStyle name="20% - Accent6 3 4 4" xfId="1336"/>
    <cellStyle name="20% - Accent6 3 4 5" xfId="8976"/>
    <cellStyle name="20% - Accent6 3 5" xfId="1337"/>
    <cellStyle name="20% - Accent6 3 5 2" xfId="1338"/>
    <cellStyle name="20% - Accent6 3 5 2 2" xfId="1339"/>
    <cellStyle name="20% - Accent6 3 5 3" xfId="1340"/>
    <cellStyle name="20% - Accent6 3 6" xfId="1341"/>
    <cellStyle name="20% - Accent6 3 6 2" xfId="1342"/>
    <cellStyle name="20% - Accent6 3 7" xfId="1343"/>
    <cellStyle name="20% - Accent6 3 8" xfId="1344"/>
    <cellStyle name="20% - Accent6 3 9" xfId="8977"/>
    <cellStyle name="20% - Accent6 4" xfId="1345"/>
    <cellStyle name="20% - Accent6 4 10" xfId="17377"/>
    <cellStyle name="20% - Accent6 4 10 2" xfId="17378"/>
    <cellStyle name="20% - Accent6 4 10 2 2" xfId="17379"/>
    <cellStyle name="20% - Accent6 4 10 2 3" xfId="17380"/>
    <cellStyle name="20% - Accent6 4 10 3" xfId="17381"/>
    <cellStyle name="20% - Accent6 4 10 3 2" xfId="17382"/>
    <cellStyle name="20% - Accent6 4 10 4" xfId="17383"/>
    <cellStyle name="20% - Accent6 4 10 5" xfId="17384"/>
    <cellStyle name="20% - Accent6 4 11" xfId="17385"/>
    <cellStyle name="20% - Accent6 4 11 2" xfId="17386"/>
    <cellStyle name="20% - Accent6 4 11 3" xfId="17387"/>
    <cellStyle name="20% - Accent6 4 12" xfId="17388"/>
    <cellStyle name="20% - Accent6 4 12 2" xfId="17389"/>
    <cellStyle name="20% - Accent6 4 12 3" xfId="17390"/>
    <cellStyle name="20% - Accent6 4 13" xfId="17391"/>
    <cellStyle name="20% - Accent6 4 13 2" xfId="17392"/>
    <cellStyle name="20% - Accent6 4 14" xfId="17393"/>
    <cellStyle name="20% - Accent6 4 15" xfId="17394"/>
    <cellStyle name="20% - Accent6 4 16" xfId="17395"/>
    <cellStyle name="20% - Accent6 4 2" xfId="1346"/>
    <cellStyle name="20% - Accent6 4 2 10" xfId="17396"/>
    <cellStyle name="20% - Accent6 4 2 10 2" xfId="17397"/>
    <cellStyle name="20% - Accent6 4 2 10 3" xfId="17398"/>
    <cellStyle name="20% - Accent6 4 2 11" xfId="17399"/>
    <cellStyle name="20% - Accent6 4 2 11 2" xfId="17400"/>
    <cellStyle name="20% - Accent6 4 2 11 3" xfId="17401"/>
    <cellStyle name="20% - Accent6 4 2 12" xfId="17402"/>
    <cellStyle name="20% - Accent6 4 2 12 2" xfId="17403"/>
    <cellStyle name="20% - Accent6 4 2 13" xfId="17404"/>
    <cellStyle name="20% - Accent6 4 2 14" xfId="17405"/>
    <cellStyle name="20% - Accent6 4 2 15" xfId="17406"/>
    <cellStyle name="20% - Accent6 4 2 2" xfId="1347"/>
    <cellStyle name="20% - Accent6 4 2 2 10" xfId="17407"/>
    <cellStyle name="20% - Accent6 4 2 2 10 2" xfId="17408"/>
    <cellStyle name="20% - Accent6 4 2 2 10 3" xfId="17409"/>
    <cellStyle name="20% - Accent6 4 2 2 11" xfId="17410"/>
    <cellStyle name="20% - Accent6 4 2 2 11 2" xfId="17411"/>
    <cellStyle name="20% - Accent6 4 2 2 12" xfId="17412"/>
    <cellStyle name="20% - Accent6 4 2 2 13" xfId="17413"/>
    <cellStyle name="20% - Accent6 4 2 2 2" xfId="1348"/>
    <cellStyle name="20% - Accent6 4 2 2 2 10" xfId="17414"/>
    <cellStyle name="20% - Accent6 4 2 2 2 10 2" xfId="17415"/>
    <cellStyle name="20% - Accent6 4 2 2 2 11" xfId="17416"/>
    <cellStyle name="20% - Accent6 4 2 2 2 12" xfId="17417"/>
    <cellStyle name="20% - Accent6 4 2 2 2 2" xfId="1349"/>
    <cellStyle name="20% - Accent6 4 2 2 2 2 10" xfId="17418"/>
    <cellStyle name="20% - Accent6 4 2 2 2 2 2" xfId="1350"/>
    <cellStyle name="20% - Accent6 4 2 2 2 2 2 2" xfId="17419"/>
    <cellStyle name="20% - Accent6 4 2 2 2 2 2 2 2" xfId="17420"/>
    <cellStyle name="20% - Accent6 4 2 2 2 2 2 2 2 2" xfId="17421"/>
    <cellStyle name="20% - Accent6 4 2 2 2 2 2 2 2 3" xfId="17422"/>
    <cellStyle name="20% - Accent6 4 2 2 2 2 2 2 3" xfId="17423"/>
    <cellStyle name="20% - Accent6 4 2 2 2 2 2 2 3 2" xfId="17424"/>
    <cellStyle name="20% - Accent6 4 2 2 2 2 2 2 3 3" xfId="17425"/>
    <cellStyle name="20% - Accent6 4 2 2 2 2 2 2 4" xfId="17426"/>
    <cellStyle name="20% - Accent6 4 2 2 2 2 2 2 4 2" xfId="17427"/>
    <cellStyle name="20% - Accent6 4 2 2 2 2 2 2 5" xfId="17428"/>
    <cellStyle name="20% - Accent6 4 2 2 2 2 2 2 6" xfId="17429"/>
    <cellStyle name="20% - Accent6 4 2 2 2 2 2 3" xfId="17430"/>
    <cellStyle name="20% - Accent6 4 2 2 2 2 2 3 2" xfId="17431"/>
    <cellStyle name="20% - Accent6 4 2 2 2 2 2 3 2 2" xfId="17432"/>
    <cellStyle name="20% - Accent6 4 2 2 2 2 2 3 2 3" xfId="17433"/>
    <cellStyle name="20% - Accent6 4 2 2 2 2 2 3 3" xfId="17434"/>
    <cellStyle name="20% - Accent6 4 2 2 2 2 2 3 3 2" xfId="17435"/>
    <cellStyle name="20% - Accent6 4 2 2 2 2 2 3 3 3" xfId="17436"/>
    <cellStyle name="20% - Accent6 4 2 2 2 2 2 3 4" xfId="17437"/>
    <cellStyle name="20% - Accent6 4 2 2 2 2 2 3 4 2" xfId="17438"/>
    <cellStyle name="20% - Accent6 4 2 2 2 2 2 3 5" xfId="17439"/>
    <cellStyle name="20% - Accent6 4 2 2 2 2 2 3 6" xfId="17440"/>
    <cellStyle name="20% - Accent6 4 2 2 2 2 2 4" xfId="17441"/>
    <cellStyle name="20% - Accent6 4 2 2 2 2 2 4 2" xfId="17442"/>
    <cellStyle name="20% - Accent6 4 2 2 2 2 2 4 2 2" xfId="17443"/>
    <cellStyle name="20% - Accent6 4 2 2 2 2 2 4 2 3" xfId="17444"/>
    <cellStyle name="20% - Accent6 4 2 2 2 2 2 4 3" xfId="17445"/>
    <cellStyle name="20% - Accent6 4 2 2 2 2 2 4 3 2" xfId="17446"/>
    <cellStyle name="20% - Accent6 4 2 2 2 2 2 4 4" xfId="17447"/>
    <cellStyle name="20% - Accent6 4 2 2 2 2 2 4 5" xfId="17448"/>
    <cellStyle name="20% - Accent6 4 2 2 2 2 2 5" xfId="17449"/>
    <cellStyle name="20% - Accent6 4 2 2 2 2 2 5 2" xfId="17450"/>
    <cellStyle name="20% - Accent6 4 2 2 2 2 2 5 3" xfId="17451"/>
    <cellStyle name="20% - Accent6 4 2 2 2 2 2 6" xfId="17452"/>
    <cellStyle name="20% - Accent6 4 2 2 2 2 2 6 2" xfId="17453"/>
    <cellStyle name="20% - Accent6 4 2 2 2 2 2 6 3" xfId="17454"/>
    <cellStyle name="20% - Accent6 4 2 2 2 2 2 7" xfId="17455"/>
    <cellStyle name="20% - Accent6 4 2 2 2 2 2 7 2" xfId="17456"/>
    <cellStyle name="20% - Accent6 4 2 2 2 2 2 8" xfId="17457"/>
    <cellStyle name="20% - Accent6 4 2 2 2 2 2 9" xfId="17458"/>
    <cellStyle name="20% - Accent6 4 2 2 2 2 3" xfId="17459"/>
    <cellStyle name="20% - Accent6 4 2 2 2 2 3 2" xfId="17460"/>
    <cellStyle name="20% - Accent6 4 2 2 2 2 3 2 2" xfId="17461"/>
    <cellStyle name="20% - Accent6 4 2 2 2 2 3 2 3" xfId="17462"/>
    <cellStyle name="20% - Accent6 4 2 2 2 2 3 3" xfId="17463"/>
    <cellStyle name="20% - Accent6 4 2 2 2 2 3 3 2" xfId="17464"/>
    <cellStyle name="20% - Accent6 4 2 2 2 2 3 3 3" xfId="17465"/>
    <cellStyle name="20% - Accent6 4 2 2 2 2 3 4" xfId="17466"/>
    <cellStyle name="20% - Accent6 4 2 2 2 2 3 4 2" xfId="17467"/>
    <cellStyle name="20% - Accent6 4 2 2 2 2 3 5" xfId="17468"/>
    <cellStyle name="20% - Accent6 4 2 2 2 2 3 6" xfId="17469"/>
    <cellStyle name="20% - Accent6 4 2 2 2 2 4" xfId="17470"/>
    <cellStyle name="20% - Accent6 4 2 2 2 2 4 2" xfId="17471"/>
    <cellStyle name="20% - Accent6 4 2 2 2 2 4 2 2" xfId="17472"/>
    <cellStyle name="20% - Accent6 4 2 2 2 2 4 2 3" xfId="17473"/>
    <cellStyle name="20% - Accent6 4 2 2 2 2 4 3" xfId="17474"/>
    <cellStyle name="20% - Accent6 4 2 2 2 2 4 3 2" xfId="17475"/>
    <cellStyle name="20% - Accent6 4 2 2 2 2 4 3 3" xfId="17476"/>
    <cellStyle name="20% - Accent6 4 2 2 2 2 4 4" xfId="17477"/>
    <cellStyle name="20% - Accent6 4 2 2 2 2 4 4 2" xfId="17478"/>
    <cellStyle name="20% - Accent6 4 2 2 2 2 4 5" xfId="17479"/>
    <cellStyle name="20% - Accent6 4 2 2 2 2 4 6" xfId="17480"/>
    <cellStyle name="20% - Accent6 4 2 2 2 2 5" xfId="17481"/>
    <cellStyle name="20% - Accent6 4 2 2 2 2 5 2" xfId="17482"/>
    <cellStyle name="20% - Accent6 4 2 2 2 2 5 2 2" xfId="17483"/>
    <cellStyle name="20% - Accent6 4 2 2 2 2 5 2 3" xfId="17484"/>
    <cellStyle name="20% - Accent6 4 2 2 2 2 5 3" xfId="17485"/>
    <cellStyle name="20% - Accent6 4 2 2 2 2 5 3 2" xfId="17486"/>
    <cellStyle name="20% - Accent6 4 2 2 2 2 5 4" xfId="17487"/>
    <cellStyle name="20% - Accent6 4 2 2 2 2 5 5" xfId="17488"/>
    <cellStyle name="20% - Accent6 4 2 2 2 2 6" xfId="17489"/>
    <cellStyle name="20% - Accent6 4 2 2 2 2 6 2" xfId="17490"/>
    <cellStyle name="20% - Accent6 4 2 2 2 2 6 3" xfId="17491"/>
    <cellStyle name="20% - Accent6 4 2 2 2 2 7" xfId="17492"/>
    <cellStyle name="20% - Accent6 4 2 2 2 2 7 2" xfId="17493"/>
    <cellStyle name="20% - Accent6 4 2 2 2 2 7 3" xfId="17494"/>
    <cellStyle name="20% - Accent6 4 2 2 2 2 8" xfId="17495"/>
    <cellStyle name="20% - Accent6 4 2 2 2 2 8 2" xfId="17496"/>
    <cellStyle name="20% - Accent6 4 2 2 2 2 9" xfId="17497"/>
    <cellStyle name="20% - Accent6 4 2 2 2 3" xfId="1351"/>
    <cellStyle name="20% - Accent6 4 2 2 2 3 2" xfId="17498"/>
    <cellStyle name="20% - Accent6 4 2 2 2 3 2 2" xfId="17499"/>
    <cellStyle name="20% - Accent6 4 2 2 2 3 2 2 2" xfId="17500"/>
    <cellStyle name="20% - Accent6 4 2 2 2 3 2 2 3" xfId="17501"/>
    <cellStyle name="20% - Accent6 4 2 2 2 3 2 3" xfId="17502"/>
    <cellStyle name="20% - Accent6 4 2 2 2 3 2 3 2" xfId="17503"/>
    <cellStyle name="20% - Accent6 4 2 2 2 3 2 3 3" xfId="17504"/>
    <cellStyle name="20% - Accent6 4 2 2 2 3 2 4" xfId="17505"/>
    <cellStyle name="20% - Accent6 4 2 2 2 3 2 4 2" xfId="17506"/>
    <cellStyle name="20% - Accent6 4 2 2 2 3 2 5" xfId="17507"/>
    <cellStyle name="20% - Accent6 4 2 2 2 3 2 6" xfId="17508"/>
    <cellStyle name="20% - Accent6 4 2 2 2 3 3" xfId="17509"/>
    <cellStyle name="20% - Accent6 4 2 2 2 3 3 2" xfId="17510"/>
    <cellStyle name="20% - Accent6 4 2 2 2 3 3 2 2" xfId="17511"/>
    <cellStyle name="20% - Accent6 4 2 2 2 3 3 2 3" xfId="17512"/>
    <cellStyle name="20% - Accent6 4 2 2 2 3 3 3" xfId="17513"/>
    <cellStyle name="20% - Accent6 4 2 2 2 3 3 3 2" xfId="17514"/>
    <cellStyle name="20% - Accent6 4 2 2 2 3 3 3 3" xfId="17515"/>
    <cellStyle name="20% - Accent6 4 2 2 2 3 3 4" xfId="17516"/>
    <cellStyle name="20% - Accent6 4 2 2 2 3 3 4 2" xfId="17517"/>
    <cellStyle name="20% - Accent6 4 2 2 2 3 3 5" xfId="17518"/>
    <cellStyle name="20% - Accent6 4 2 2 2 3 3 6" xfId="17519"/>
    <cellStyle name="20% - Accent6 4 2 2 2 3 4" xfId="17520"/>
    <cellStyle name="20% - Accent6 4 2 2 2 3 4 2" xfId="17521"/>
    <cellStyle name="20% - Accent6 4 2 2 2 3 4 2 2" xfId="17522"/>
    <cellStyle name="20% - Accent6 4 2 2 2 3 4 2 3" xfId="17523"/>
    <cellStyle name="20% - Accent6 4 2 2 2 3 4 3" xfId="17524"/>
    <cellStyle name="20% - Accent6 4 2 2 2 3 4 3 2" xfId="17525"/>
    <cellStyle name="20% - Accent6 4 2 2 2 3 4 4" xfId="17526"/>
    <cellStyle name="20% - Accent6 4 2 2 2 3 4 5" xfId="17527"/>
    <cellStyle name="20% - Accent6 4 2 2 2 3 5" xfId="17528"/>
    <cellStyle name="20% - Accent6 4 2 2 2 3 5 2" xfId="17529"/>
    <cellStyle name="20% - Accent6 4 2 2 2 3 5 3" xfId="17530"/>
    <cellStyle name="20% - Accent6 4 2 2 2 3 6" xfId="17531"/>
    <cellStyle name="20% - Accent6 4 2 2 2 3 6 2" xfId="17532"/>
    <cellStyle name="20% - Accent6 4 2 2 2 3 6 3" xfId="17533"/>
    <cellStyle name="20% - Accent6 4 2 2 2 3 7" xfId="17534"/>
    <cellStyle name="20% - Accent6 4 2 2 2 3 7 2" xfId="17535"/>
    <cellStyle name="20% - Accent6 4 2 2 2 3 8" xfId="17536"/>
    <cellStyle name="20% - Accent6 4 2 2 2 3 9" xfId="17537"/>
    <cellStyle name="20% - Accent6 4 2 2 2 4" xfId="17538"/>
    <cellStyle name="20% - Accent6 4 2 2 2 4 2" xfId="17539"/>
    <cellStyle name="20% - Accent6 4 2 2 2 4 2 2" xfId="17540"/>
    <cellStyle name="20% - Accent6 4 2 2 2 4 2 2 2" xfId="17541"/>
    <cellStyle name="20% - Accent6 4 2 2 2 4 2 2 3" xfId="17542"/>
    <cellStyle name="20% - Accent6 4 2 2 2 4 2 3" xfId="17543"/>
    <cellStyle name="20% - Accent6 4 2 2 2 4 2 3 2" xfId="17544"/>
    <cellStyle name="20% - Accent6 4 2 2 2 4 2 3 3" xfId="17545"/>
    <cellStyle name="20% - Accent6 4 2 2 2 4 2 4" xfId="17546"/>
    <cellStyle name="20% - Accent6 4 2 2 2 4 2 4 2" xfId="17547"/>
    <cellStyle name="20% - Accent6 4 2 2 2 4 2 5" xfId="17548"/>
    <cellStyle name="20% - Accent6 4 2 2 2 4 2 6" xfId="17549"/>
    <cellStyle name="20% - Accent6 4 2 2 2 4 3" xfId="17550"/>
    <cellStyle name="20% - Accent6 4 2 2 2 4 3 2" xfId="17551"/>
    <cellStyle name="20% - Accent6 4 2 2 2 4 3 2 2" xfId="17552"/>
    <cellStyle name="20% - Accent6 4 2 2 2 4 3 2 3" xfId="17553"/>
    <cellStyle name="20% - Accent6 4 2 2 2 4 3 3" xfId="17554"/>
    <cellStyle name="20% - Accent6 4 2 2 2 4 3 3 2" xfId="17555"/>
    <cellStyle name="20% - Accent6 4 2 2 2 4 3 3 3" xfId="17556"/>
    <cellStyle name="20% - Accent6 4 2 2 2 4 3 4" xfId="17557"/>
    <cellStyle name="20% - Accent6 4 2 2 2 4 3 4 2" xfId="17558"/>
    <cellStyle name="20% - Accent6 4 2 2 2 4 3 5" xfId="17559"/>
    <cellStyle name="20% - Accent6 4 2 2 2 4 3 6" xfId="17560"/>
    <cellStyle name="20% - Accent6 4 2 2 2 4 4" xfId="17561"/>
    <cellStyle name="20% - Accent6 4 2 2 2 4 4 2" xfId="17562"/>
    <cellStyle name="20% - Accent6 4 2 2 2 4 4 2 2" xfId="17563"/>
    <cellStyle name="20% - Accent6 4 2 2 2 4 4 2 3" xfId="17564"/>
    <cellStyle name="20% - Accent6 4 2 2 2 4 4 3" xfId="17565"/>
    <cellStyle name="20% - Accent6 4 2 2 2 4 4 3 2" xfId="17566"/>
    <cellStyle name="20% - Accent6 4 2 2 2 4 4 4" xfId="17567"/>
    <cellStyle name="20% - Accent6 4 2 2 2 4 4 5" xfId="17568"/>
    <cellStyle name="20% - Accent6 4 2 2 2 4 5" xfId="17569"/>
    <cellStyle name="20% - Accent6 4 2 2 2 4 5 2" xfId="17570"/>
    <cellStyle name="20% - Accent6 4 2 2 2 4 5 3" xfId="17571"/>
    <cellStyle name="20% - Accent6 4 2 2 2 4 6" xfId="17572"/>
    <cellStyle name="20% - Accent6 4 2 2 2 4 6 2" xfId="17573"/>
    <cellStyle name="20% - Accent6 4 2 2 2 4 6 3" xfId="17574"/>
    <cellStyle name="20% - Accent6 4 2 2 2 4 7" xfId="17575"/>
    <cellStyle name="20% - Accent6 4 2 2 2 4 7 2" xfId="17576"/>
    <cellStyle name="20% - Accent6 4 2 2 2 4 8" xfId="17577"/>
    <cellStyle name="20% - Accent6 4 2 2 2 4 9" xfId="17578"/>
    <cellStyle name="20% - Accent6 4 2 2 2 5" xfId="17579"/>
    <cellStyle name="20% - Accent6 4 2 2 2 5 2" xfId="17580"/>
    <cellStyle name="20% - Accent6 4 2 2 2 5 2 2" xfId="17581"/>
    <cellStyle name="20% - Accent6 4 2 2 2 5 2 3" xfId="17582"/>
    <cellStyle name="20% - Accent6 4 2 2 2 5 3" xfId="17583"/>
    <cellStyle name="20% - Accent6 4 2 2 2 5 3 2" xfId="17584"/>
    <cellStyle name="20% - Accent6 4 2 2 2 5 3 3" xfId="17585"/>
    <cellStyle name="20% - Accent6 4 2 2 2 5 4" xfId="17586"/>
    <cellStyle name="20% - Accent6 4 2 2 2 5 4 2" xfId="17587"/>
    <cellStyle name="20% - Accent6 4 2 2 2 5 5" xfId="17588"/>
    <cellStyle name="20% - Accent6 4 2 2 2 5 6" xfId="17589"/>
    <cellStyle name="20% - Accent6 4 2 2 2 6" xfId="17590"/>
    <cellStyle name="20% - Accent6 4 2 2 2 6 2" xfId="17591"/>
    <cellStyle name="20% - Accent6 4 2 2 2 6 2 2" xfId="17592"/>
    <cellStyle name="20% - Accent6 4 2 2 2 6 2 3" xfId="17593"/>
    <cellStyle name="20% - Accent6 4 2 2 2 6 3" xfId="17594"/>
    <cellStyle name="20% - Accent6 4 2 2 2 6 3 2" xfId="17595"/>
    <cellStyle name="20% - Accent6 4 2 2 2 6 3 3" xfId="17596"/>
    <cellStyle name="20% - Accent6 4 2 2 2 6 4" xfId="17597"/>
    <cellStyle name="20% - Accent6 4 2 2 2 6 4 2" xfId="17598"/>
    <cellStyle name="20% - Accent6 4 2 2 2 6 5" xfId="17599"/>
    <cellStyle name="20% - Accent6 4 2 2 2 6 6" xfId="17600"/>
    <cellStyle name="20% - Accent6 4 2 2 2 7" xfId="17601"/>
    <cellStyle name="20% - Accent6 4 2 2 2 7 2" xfId="17602"/>
    <cellStyle name="20% - Accent6 4 2 2 2 7 2 2" xfId="17603"/>
    <cellStyle name="20% - Accent6 4 2 2 2 7 2 3" xfId="17604"/>
    <cellStyle name="20% - Accent6 4 2 2 2 7 3" xfId="17605"/>
    <cellStyle name="20% - Accent6 4 2 2 2 7 3 2" xfId="17606"/>
    <cellStyle name="20% - Accent6 4 2 2 2 7 4" xfId="17607"/>
    <cellStyle name="20% - Accent6 4 2 2 2 7 5" xfId="17608"/>
    <cellStyle name="20% - Accent6 4 2 2 2 8" xfId="17609"/>
    <cellStyle name="20% - Accent6 4 2 2 2 8 2" xfId="17610"/>
    <cellStyle name="20% - Accent6 4 2 2 2 8 3" xfId="17611"/>
    <cellStyle name="20% - Accent6 4 2 2 2 9" xfId="17612"/>
    <cellStyle name="20% - Accent6 4 2 2 2 9 2" xfId="17613"/>
    <cellStyle name="20% - Accent6 4 2 2 2 9 3" xfId="17614"/>
    <cellStyle name="20% - Accent6 4 2 2 3" xfId="1352"/>
    <cellStyle name="20% - Accent6 4 2 2 3 10" xfId="17615"/>
    <cellStyle name="20% - Accent6 4 2 2 3 2" xfId="1353"/>
    <cellStyle name="20% - Accent6 4 2 2 3 2 2" xfId="17616"/>
    <cellStyle name="20% - Accent6 4 2 2 3 2 2 2" xfId="17617"/>
    <cellStyle name="20% - Accent6 4 2 2 3 2 2 2 2" xfId="17618"/>
    <cellStyle name="20% - Accent6 4 2 2 3 2 2 2 3" xfId="17619"/>
    <cellStyle name="20% - Accent6 4 2 2 3 2 2 3" xfId="17620"/>
    <cellStyle name="20% - Accent6 4 2 2 3 2 2 3 2" xfId="17621"/>
    <cellStyle name="20% - Accent6 4 2 2 3 2 2 3 3" xfId="17622"/>
    <cellStyle name="20% - Accent6 4 2 2 3 2 2 4" xfId="17623"/>
    <cellStyle name="20% - Accent6 4 2 2 3 2 2 4 2" xfId="17624"/>
    <cellStyle name="20% - Accent6 4 2 2 3 2 2 5" xfId="17625"/>
    <cellStyle name="20% - Accent6 4 2 2 3 2 2 6" xfId="17626"/>
    <cellStyle name="20% - Accent6 4 2 2 3 2 3" xfId="17627"/>
    <cellStyle name="20% - Accent6 4 2 2 3 2 3 2" xfId="17628"/>
    <cellStyle name="20% - Accent6 4 2 2 3 2 3 2 2" xfId="17629"/>
    <cellStyle name="20% - Accent6 4 2 2 3 2 3 2 3" xfId="17630"/>
    <cellStyle name="20% - Accent6 4 2 2 3 2 3 3" xfId="17631"/>
    <cellStyle name="20% - Accent6 4 2 2 3 2 3 3 2" xfId="17632"/>
    <cellStyle name="20% - Accent6 4 2 2 3 2 3 3 3" xfId="17633"/>
    <cellStyle name="20% - Accent6 4 2 2 3 2 3 4" xfId="17634"/>
    <cellStyle name="20% - Accent6 4 2 2 3 2 3 4 2" xfId="17635"/>
    <cellStyle name="20% - Accent6 4 2 2 3 2 3 5" xfId="17636"/>
    <cellStyle name="20% - Accent6 4 2 2 3 2 3 6" xfId="17637"/>
    <cellStyle name="20% - Accent6 4 2 2 3 2 4" xfId="17638"/>
    <cellStyle name="20% - Accent6 4 2 2 3 2 4 2" xfId="17639"/>
    <cellStyle name="20% - Accent6 4 2 2 3 2 4 2 2" xfId="17640"/>
    <cellStyle name="20% - Accent6 4 2 2 3 2 4 2 3" xfId="17641"/>
    <cellStyle name="20% - Accent6 4 2 2 3 2 4 3" xfId="17642"/>
    <cellStyle name="20% - Accent6 4 2 2 3 2 4 3 2" xfId="17643"/>
    <cellStyle name="20% - Accent6 4 2 2 3 2 4 4" xfId="17644"/>
    <cellStyle name="20% - Accent6 4 2 2 3 2 4 5" xfId="17645"/>
    <cellStyle name="20% - Accent6 4 2 2 3 2 5" xfId="17646"/>
    <cellStyle name="20% - Accent6 4 2 2 3 2 5 2" xfId="17647"/>
    <cellStyle name="20% - Accent6 4 2 2 3 2 5 3" xfId="17648"/>
    <cellStyle name="20% - Accent6 4 2 2 3 2 6" xfId="17649"/>
    <cellStyle name="20% - Accent6 4 2 2 3 2 6 2" xfId="17650"/>
    <cellStyle name="20% - Accent6 4 2 2 3 2 6 3" xfId="17651"/>
    <cellStyle name="20% - Accent6 4 2 2 3 2 7" xfId="17652"/>
    <cellStyle name="20% - Accent6 4 2 2 3 2 7 2" xfId="17653"/>
    <cellStyle name="20% - Accent6 4 2 2 3 2 8" xfId="17654"/>
    <cellStyle name="20% - Accent6 4 2 2 3 2 9" xfId="17655"/>
    <cellStyle name="20% - Accent6 4 2 2 3 3" xfId="17656"/>
    <cellStyle name="20% - Accent6 4 2 2 3 3 2" xfId="17657"/>
    <cellStyle name="20% - Accent6 4 2 2 3 3 2 2" xfId="17658"/>
    <cellStyle name="20% - Accent6 4 2 2 3 3 2 3" xfId="17659"/>
    <cellStyle name="20% - Accent6 4 2 2 3 3 3" xfId="17660"/>
    <cellStyle name="20% - Accent6 4 2 2 3 3 3 2" xfId="17661"/>
    <cellStyle name="20% - Accent6 4 2 2 3 3 3 3" xfId="17662"/>
    <cellStyle name="20% - Accent6 4 2 2 3 3 4" xfId="17663"/>
    <cellStyle name="20% - Accent6 4 2 2 3 3 4 2" xfId="17664"/>
    <cellStyle name="20% - Accent6 4 2 2 3 3 5" xfId="17665"/>
    <cellStyle name="20% - Accent6 4 2 2 3 3 6" xfId="17666"/>
    <cellStyle name="20% - Accent6 4 2 2 3 4" xfId="17667"/>
    <cellStyle name="20% - Accent6 4 2 2 3 4 2" xfId="17668"/>
    <cellStyle name="20% - Accent6 4 2 2 3 4 2 2" xfId="17669"/>
    <cellStyle name="20% - Accent6 4 2 2 3 4 2 3" xfId="17670"/>
    <cellStyle name="20% - Accent6 4 2 2 3 4 3" xfId="17671"/>
    <cellStyle name="20% - Accent6 4 2 2 3 4 3 2" xfId="17672"/>
    <cellStyle name="20% - Accent6 4 2 2 3 4 3 3" xfId="17673"/>
    <cellStyle name="20% - Accent6 4 2 2 3 4 4" xfId="17674"/>
    <cellStyle name="20% - Accent6 4 2 2 3 4 4 2" xfId="17675"/>
    <cellStyle name="20% - Accent6 4 2 2 3 4 5" xfId="17676"/>
    <cellStyle name="20% - Accent6 4 2 2 3 4 6" xfId="17677"/>
    <cellStyle name="20% - Accent6 4 2 2 3 5" xfId="17678"/>
    <cellStyle name="20% - Accent6 4 2 2 3 5 2" xfId="17679"/>
    <cellStyle name="20% - Accent6 4 2 2 3 5 2 2" xfId="17680"/>
    <cellStyle name="20% - Accent6 4 2 2 3 5 2 3" xfId="17681"/>
    <cellStyle name="20% - Accent6 4 2 2 3 5 3" xfId="17682"/>
    <cellStyle name="20% - Accent6 4 2 2 3 5 3 2" xfId="17683"/>
    <cellStyle name="20% - Accent6 4 2 2 3 5 4" xfId="17684"/>
    <cellStyle name="20% - Accent6 4 2 2 3 5 5" xfId="17685"/>
    <cellStyle name="20% - Accent6 4 2 2 3 6" xfId="17686"/>
    <cellStyle name="20% - Accent6 4 2 2 3 6 2" xfId="17687"/>
    <cellStyle name="20% - Accent6 4 2 2 3 6 3" xfId="17688"/>
    <cellStyle name="20% - Accent6 4 2 2 3 7" xfId="17689"/>
    <cellStyle name="20% - Accent6 4 2 2 3 7 2" xfId="17690"/>
    <cellStyle name="20% - Accent6 4 2 2 3 7 3" xfId="17691"/>
    <cellStyle name="20% - Accent6 4 2 2 3 8" xfId="17692"/>
    <cellStyle name="20% - Accent6 4 2 2 3 8 2" xfId="17693"/>
    <cellStyle name="20% - Accent6 4 2 2 3 9" xfId="17694"/>
    <cellStyle name="20% - Accent6 4 2 2 4" xfId="1354"/>
    <cellStyle name="20% - Accent6 4 2 2 4 2" xfId="17695"/>
    <cellStyle name="20% - Accent6 4 2 2 4 2 2" xfId="17696"/>
    <cellStyle name="20% - Accent6 4 2 2 4 2 2 2" xfId="17697"/>
    <cellStyle name="20% - Accent6 4 2 2 4 2 2 3" xfId="17698"/>
    <cellStyle name="20% - Accent6 4 2 2 4 2 3" xfId="17699"/>
    <cellStyle name="20% - Accent6 4 2 2 4 2 3 2" xfId="17700"/>
    <cellStyle name="20% - Accent6 4 2 2 4 2 3 3" xfId="17701"/>
    <cellStyle name="20% - Accent6 4 2 2 4 2 4" xfId="17702"/>
    <cellStyle name="20% - Accent6 4 2 2 4 2 4 2" xfId="17703"/>
    <cellStyle name="20% - Accent6 4 2 2 4 2 5" xfId="17704"/>
    <cellStyle name="20% - Accent6 4 2 2 4 2 6" xfId="17705"/>
    <cellStyle name="20% - Accent6 4 2 2 4 3" xfId="17706"/>
    <cellStyle name="20% - Accent6 4 2 2 4 3 2" xfId="17707"/>
    <cellStyle name="20% - Accent6 4 2 2 4 3 2 2" xfId="17708"/>
    <cellStyle name="20% - Accent6 4 2 2 4 3 2 3" xfId="17709"/>
    <cellStyle name="20% - Accent6 4 2 2 4 3 3" xfId="17710"/>
    <cellStyle name="20% - Accent6 4 2 2 4 3 3 2" xfId="17711"/>
    <cellStyle name="20% - Accent6 4 2 2 4 3 3 3" xfId="17712"/>
    <cellStyle name="20% - Accent6 4 2 2 4 3 4" xfId="17713"/>
    <cellStyle name="20% - Accent6 4 2 2 4 3 4 2" xfId="17714"/>
    <cellStyle name="20% - Accent6 4 2 2 4 3 5" xfId="17715"/>
    <cellStyle name="20% - Accent6 4 2 2 4 3 6" xfId="17716"/>
    <cellStyle name="20% - Accent6 4 2 2 4 4" xfId="17717"/>
    <cellStyle name="20% - Accent6 4 2 2 4 4 2" xfId="17718"/>
    <cellStyle name="20% - Accent6 4 2 2 4 4 2 2" xfId="17719"/>
    <cellStyle name="20% - Accent6 4 2 2 4 4 2 3" xfId="17720"/>
    <cellStyle name="20% - Accent6 4 2 2 4 4 3" xfId="17721"/>
    <cellStyle name="20% - Accent6 4 2 2 4 4 3 2" xfId="17722"/>
    <cellStyle name="20% - Accent6 4 2 2 4 4 4" xfId="17723"/>
    <cellStyle name="20% - Accent6 4 2 2 4 4 5" xfId="17724"/>
    <cellStyle name="20% - Accent6 4 2 2 4 5" xfId="17725"/>
    <cellStyle name="20% - Accent6 4 2 2 4 5 2" xfId="17726"/>
    <cellStyle name="20% - Accent6 4 2 2 4 5 3" xfId="17727"/>
    <cellStyle name="20% - Accent6 4 2 2 4 6" xfId="17728"/>
    <cellStyle name="20% - Accent6 4 2 2 4 6 2" xfId="17729"/>
    <cellStyle name="20% - Accent6 4 2 2 4 6 3" xfId="17730"/>
    <cellStyle name="20% - Accent6 4 2 2 4 7" xfId="17731"/>
    <cellStyle name="20% - Accent6 4 2 2 4 7 2" xfId="17732"/>
    <cellStyle name="20% - Accent6 4 2 2 4 8" xfId="17733"/>
    <cellStyle name="20% - Accent6 4 2 2 4 9" xfId="17734"/>
    <cellStyle name="20% - Accent6 4 2 2 5" xfId="17735"/>
    <cellStyle name="20% - Accent6 4 2 2 5 2" xfId="17736"/>
    <cellStyle name="20% - Accent6 4 2 2 5 2 2" xfId="17737"/>
    <cellStyle name="20% - Accent6 4 2 2 5 2 2 2" xfId="17738"/>
    <cellStyle name="20% - Accent6 4 2 2 5 2 2 3" xfId="17739"/>
    <cellStyle name="20% - Accent6 4 2 2 5 2 3" xfId="17740"/>
    <cellStyle name="20% - Accent6 4 2 2 5 2 3 2" xfId="17741"/>
    <cellStyle name="20% - Accent6 4 2 2 5 2 3 3" xfId="17742"/>
    <cellStyle name="20% - Accent6 4 2 2 5 2 4" xfId="17743"/>
    <cellStyle name="20% - Accent6 4 2 2 5 2 4 2" xfId="17744"/>
    <cellStyle name="20% - Accent6 4 2 2 5 2 5" xfId="17745"/>
    <cellStyle name="20% - Accent6 4 2 2 5 2 6" xfId="17746"/>
    <cellStyle name="20% - Accent6 4 2 2 5 3" xfId="17747"/>
    <cellStyle name="20% - Accent6 4 2 2 5 3 2" xfId="17748"/>
    <cellStyle name="20% - Accent6 4 2 2 5 3 2 2" xfId="17749"/>
    <cellStyle name="20% - Accent6 4 2 2 5 3 2 3" xfId="17750"/>
    <cellStyle name="20% - Accent6 4 2 2 5 3 3" xfId="17751"/>
    <cellStyle name="20% - Accent6 4 2 2 5 3 3 2" xfId="17752"/>
    <cellStyle name="20% - Accent6 4 2 2 5 3 3 3" xfId="17753"/>
    <cellStyle name="20% - Accent6 4 2 2 5 3 4" xfId="17754"/>
    <cellStyle name="20% - Accent6 4 2 2 5 3 4 2" xfId="17755"/>
    <cellStyle name="20% - Accent6 4 2 2 5 3 5" xfId="17756"/>
    <cellStyle name="20% - Accent6 4 2 2 5 3 6" xfId="17757"/>
    <cellStyle name="20% - Accent6 4 2 2 5 4" xfId="17758"/>
    <cellStyle name="20% - Accent6 4 2 2 5 4 2" xfId="17759"/>
    <cellStyle name="20% - Accent6 4 2 2 5 4 2 2" xfId="17760"/>
    <cellStyle name="20% - Accent6 4 2 2 5 4 2 3" xfId="17761"/>
    <cellStyle name="20% - Accent6 4 2 2 5 4 3" xfId="17762"/>
    <cellStyle name="20% - Accent6 4 2 2 5 4 3 2" xfId="17763"/>
    <cellStyle name="20% - Accent6 4 2 2 5 4 4" xfId="17764"/>
    <cellStyle name="20% - Accent6 4 2 2 5 4 5" xfId="17765"/>
    <cellStyle name="20% - Accent6 4 2 2 5 5" xfId="17766"/>
    <cellStyle name="20% - Accent6 4 2 2 5 5 2" xfId="17767"/>
    <cellStyle name="20% - Accent6 4 2 2 5 5 3" xfId="17768"/>
    <cellStyle name="20% - Accent6 4 2 2 5 6" xfId="17769"/>
    <cellStyle name="20% - Accent6 4 2 2 5 6 2" xfId="17770"/>
    <cellStyle name="20% - Accent6 4 2 2 5 6 3" xfId="17771"/>
    <cellStyle name="20% - Accent6 4 2 2 5 7" xfId="17772"/>
    <cellStyle name="20% - Accent6 4 2 2 5 7 2" xfId="17773"/>
    <cellStyle name="20% - Accent6 4 2 2 5 8" xfId="17774"/>
    <cellStyle name="20% - Accent6 4 2 2 5 9" xfId="17775"/>
    <cellStyle name="20% - Accent6 4 2 2 6" xfId="17776"/>
    <cellStyle name="20% - Accent6 4 2 2 6 2" xfId="17777"/>
    <cellStyle name="20% - Accent6 4 2 2 6 2 2" xfId="17778"/>
    <cellStyle name="20% - Accent6 4 2 2 6 2 3" xfId="17779"/>
    <cellStyle name="20% - Accent6 4 2 2 6 3" xfId="17780"/>
    <cellStyle name="20% - Accent6 4 2 2 6 3 2" xfId="17781"/>
    <cellStyle name="20% - Accent6 4 2 2 6 3 3" xfId="17782"/>
    <cellStyle name="20% - Accent6 4 2 2 6 4" xfId="17783"/>
    <cellStyle name="20% - Accent6 4 2 2 6 4 2" xfId="17784"/>
    <cellStyle name="20% - Accent6 4 2 2 6 5" xfId="17785"/>
    <cellStyle name="20% - Accent6 4 2 2 6 6" xfId="17786"/>
    <cellStyle name="20% - Accent6 4 2 2 7" xfId="17787"/>
    <cellStyle name="20% - Accent6 4 2 2 7 2" xfId="17788"/>
    <cellStyle name="20% - Accent6 4 2 2 7 2 2" xfId="17789"/>
    <cellStyle name="20% - Accent6 4 2 2 7 2 3" xfId="17790"/>
    <cellStyle name="20% - Accent6 4 2 2 7 3" xfId="17791"/>
    <cellStyle name="20% - Accent6 4 2 2 7 3 2" xfId="17792"/>
    <cellStyle name="20% - Accent6 4 2 2 7 3 3" xfId="17793"/>
    <cellStyle name="20% - Accent6 4 2 2 7 4" xfId="17794"/>
    <cellStyle name="20% - Accent6 4 2 2 7 4 2" xfId="17795"/>
    <cellStyle name="20% - Accent6 4 2 2 7 5" xfId="17796"/>
    <cellStyle name="20% - Accent6 4 2 2 7 6" xfId="17797"/>
    <cellStyle name="20% - Accent6 4 2 2 8" xfId="17798"/>
    <cellStyle name="20% - Accent6 4 2 2 8 2" xfId="17799"/>
    <cellStyle name="20% - Accent6 4 2 2 8 2 2" xfId="17800"/>
    <cellStyle name="20% - Accent6 4 2 2 8 2 3" xfId="17801"/>
    <cellStyle name="20% - Accent6 4 2 2 8 3" xfId="17802"/>
    <cellStyle name="20% - Accent6 4 2 2 8 3 2" xfId="17803"/>
    <cellStyle name="20% - Accent6 4 2 2 8 4" xfId="17804"/>
    <cellStyle name="20% - Accent6 4 2 2 8 5" xfId="17805"/>
    <cellStyle name="20% - Accent6 4 2 2 9" xfId="17806"/>
    <cellStyle name="20% - Accent6 4 2 2 9 2" xfId="17807"/>
    <cellStyle name="20% - Accent6 4 2 2 9 3" xfId="17808"/>
    <cellStyle name="20% - Accent6 4 2 3" xfId="1355"/>
    <cellStyle name="20% - Accent6 4 2 3 10" xfId="17809"/>
    <cellStyle name="20% - Accent6 4 2 3 10 2" xfId="17810"/>
    <cellStyle name="20% - Accent6 4 2 3 11" xfId="17811"/>
    <cellStyle name="20% - Accent6 4 2 3 12" xfId="17812"/>
    <cellStyle name="20% - Accent6 4 2 3 2" xfId="1356"/>
    <cellStyle name="20% - Accent6 4 2 3 2 10" xfId="17813"/>
    <cellStyle name="20% - Accent6 4 2 3 2 2" xfId="1357"/>
    <cellStyle name="20% - Accent6 4 2 3 2 2 2" xfId="17814"/>
    <cellStyle name="20% - Accent6 4 2 3 2 2 2 2" xfId="17815"/>
    <cellStyle name="20% - Accent6 4 2 3 2 2 2 2 2" xfId="17816"/>
    <cellStyle name="20% - Accent6 4 2 3 2 2 2 2 3" xfId="17817"/>
    <cellStyle name="20% - Accent6 4 2 3 2 2 2 3" xfId="17818"/>
    <cellStyle name="20% - Accent6 4 2 3 2 2 2 3 2" xfId="17819"/>
    <cellStyle name="20% - Accent6 4 2 3 2 2 2 3 3" xfId="17820"/>
    <cellStyle name="20% - Accent6 4 2 3 2 2 2 4" xfId="17821"/>
    <cellStyle name="20% - Accent6 4 2 3 2 2 2 4 2" xfId="17822"/>
    <cellStyle name="20% - Accent6 4 2 3 2 2 2 5" xfId="17823"/>
    <cellStyle name="20% - Accent6 4 2 3 2 2 2 6" xfId="17824"/>
    <cellStyle name="20% - Accent6 4 2 3 2 2 3" xfId="17825"/>
    <cellStyle name="20% - Accent6 4 2 3 2 2 3 2" xfId="17826"/>
    <cellStyle name="20% - Accent6 4 2 3 2 2 3 2 2" xfId="17827"/>
    <cellStyle name="20% - Accent6 4 2 3 2 2 3 2 3" xfId="17828"/>
    <cellStyle name="20% - Accent6 4 2 3 2 2 3 3" xfId="17829"/>
    <cellStyle name="20% - Accent6 4 2 3 2 2 3 3 2" xfId="17830"/>
    <cellStyle name="20% - Accent6 4 2 3 2 2 3 3 3" xfId="17831"/>
    <cellStyle name="20% - Accent6 4 2 3 2 2 3 4" xfId="17832"/>
    <cellStyle name="20% - Accent6 4 2 3 2 2 3 4 2" xfId="17833"/>
    <cellStyle name="20% - Accent6 4 2 3 2 2 3 5" xfId="17834"/>
    <cellStyle name="20% - Accent6 4 2 3 2 2 3 6" xfId="17835"/>
    <cellStyle name="20% - Accent6 4 2 3 2 2 4" xfId="17836"/>
    <cellStyle name="20% - Accent6 4 2 3 2 2 4 2" xfId="17837"/>
    <cellStyle name="20% - Accent6 4 2 3 2 2 4 2 2" xfId="17838"/>
    <cellStyle name="20% - Accent6 4 2 3 2 2 4 2 3" xfId="17839"/>
    <cellStyle name="20% - Accent6 4 2 3 2 2 4 3" xfId="17840"/>
    <cellStyle name="20% - Accent6 4 2 3 2 2 4 3 2" xfId="17841"/>
    <cellStyle name="20% - Accent6 4 2 3 2 2 4 4" xfId="17842"/>
    <cellStyle name="20% - Accent6 4 2 3 2 2 4 5" xfId="17843"/>
    <cellStyle name="20% - Accent6 4 2 3 2 2 5" xfId="17844"/>
    <cellStyle name="20% - Accent6 4 2 3 2 2 5 2" xfId="17845"/>
    <cellStyle name="20% - Accent6 4 2 3 2 2 5 3" xfId="17846"/>
    <cellStyle name="20% - Accent6 4 2 3 2 2 6" xfId="17847"/>
    <cellStyle name="20% - Accent6 4 2 3 2 2 6 2" xfId="17848"/>
    <cellStyle name="20% - Accent6 4 2 3 2 2 6 3" xfId="17849"/>
    <cellStyle name="20% - Accent6 4 2 3 2 2 7" xfId="17850"/>
    <cellStyle name="20% - Accent6 4 2 3 2 2 7 2" xfId="17851"/>
    <cellStyle name="20% - Accent6 4 2 3 2 2 8" xfId="17852"/>
    <cellStyle name="20% - Accent6 4 2 3 2 2 9" xfId="17853"/>
    <cellStyle name="20% - Accent6 4 2 3 2 3" xfId="17854"/>
    <cellStyle name="20% - Accent6 4 2 3 2 3 2" xfId="17855"/>
    <cellStyle name="20% - Accent6 4 2 3 2 3 2 2" xfId="17856"/>
    <cellStyle name="20% - Accent6 4 2 3 2 3 2 3" xfId="17857"/>
    <cellStyle name="20% - Accent6 4 2 3 2 3 3" xfId="17858"/>
    <cellStyle name="20% - Accent6 4 2 3 2 3 3 2" xfId="17859"/>
    <cellStyle name="20% - Accent6 4 2 3 2 3 3 3" xfId="17860"/>
    <cellStyle name="20% - Accent6 4 2 3 2 3 4" xfId="17861"/>
    <cellStyle name="20% - Accent6 4 2 3 2 3 4 2" xfId="17862"/>
    <cellStyle name="20% - Accent6 4 2 3 2 3 5" xfId="17863"/>
    <cellStyle name="20% - Accent6 4 2 3 2 3 6" xfId="17864"/>
    <cellStyle name="20% - Accent6 4 2 3 2 4" xfId="17865"/>
    <cellStyle name="20% - Accent6 4 2 3 2 4 2" xfId="17866"/>
    <cellStyle name="20% - Accent6 4 2 3 2 4 2 2" xfId="17867"/>
    <cellStyle name="20% - Accent6 4 2 3 2 4 2 3" xfId="17868"/>
    <cellStyle name="20% - Accent6 4 2 3 2 4 3" xfId="17869"/>
    <cellStyle name="20% - Accent6 4 2 3 2 4 3 2" xfId="17870"/>
    <cellStyle name="20% - Accent6 4 2 3 2 4 3 3" xfId="17871"/>
    <cellStyle name="20% - Accent6 4 2 3 2 4 4" xfId="17872"/>
    <cellStyle name="20% - Accent6 4 2 3 2 4 4 2" xfId="17873"/>
    <cellStyle name="20% - Accent6 4 2 3 2 4 5" xfId="17874"/>
    <cellStyle name="20% - Accent6 4 2 3 2 4 6" xfId="17875"/>
    <cellStyle name="20% - Accent6 4 2 3 2 5" xfId="17876"/>
    <cellStyle name="20% - Accent6 4 2 3 2 5 2" xfId="17877"/>
    <cellStyle name="20% - Accent6 4 2 3 2 5 2 2" xfId="17878"/>
    <cellStyle name="20% - Accent6 4 2 3 2 5 2 3" xfId="17879"/>
    <cellStyle name="20% - Accent6 4 2 3 2 5 3" xfId="17880"/>
    <cellStyle name="20% - Accent6 4 2 3 2 5 3 2" xfId="17881"/>
    <cellStyle name="20% - Accent6 4 2 3 2 5 4" xfId="17882"/>
    <cellStyle name="20% - Accent6 4 2 3 2 5 5" xfId="17883"/>
    <cellStyle name="20% - Accent6 4 2 3 2 6" xfId="17884"/>
    <cellStyle name="20% - Accent6 4 2 3 2 6 2" xfId="17885"/>
    <cellStyle name="20% - Accent6 4 2 3 2 6 3" xfId="17886"/>
    <cellStyle name="20% - Accent6 4 2 3 2 7" xfId="17887"/>
    <cellStyle name="20% - Accent6 4 2 3 2 7 2" xfId="17888"/>
    <cellStyle name="20% - Accent6 4 2 3 2 7 3" xfId="17889"/>
    <cellStyle name="20% - Accent6 4 2 3 2 8" xfId="17890"/>
    <cellStyle name="20% - Accent6 4 2 3 2 8 2" xfId="17891"/>
    <cellStyle name="20% - Accent6 4 2 3 2 9" xfId="17892"/>
    <cellStyle name="20% - Accent6 4 2 3 3" xfId="1358"/>
    <cellStyle name="20% - Accent6 4 2 3 3 2" xfId="17893"/>
    <cellStyle name="20% - Accent6 4 2 3 3 2 2" xfId="17894"/>
    <cellStyle name="20% - Accent6 4 2 3 3 2 2 2" xfId="17895"/>
    <cellStyle name="20% - Accent6 4 2 3 3 2 2 3" xfId="17896"/>
    <cellStyle name="20% - Accent6 4 2 3 3 2 3" xfId="17897"/>
    <cellStyle name="20% - Accent6 4 2 3 3 2 3 2" xfId="17898"/>
    <cellStyle name="20% - Accent6 4 2 3 3 2 3 3" xfId="17899"/>
    <cellStyle name="20% - Accent6 4 2 3 3 2 4" xfId="17900"/>
    <cellStyle name="20% - Accent6 4 2 3 3 2 4 2" xfId="17901"/>
    <cellStyle name="20% - Accent6 4 2 3 3 2 5" xfId="17902"/>
    <cellStyle name="20% - Accent6 4 2 3 3 2 6" xfId="17903"/>
    <cellStyle name="20% - Accent6 4 2 3 3 3" xfId="17904"/>
    <cellStyle name="20% - Accent6 4 2 3 3 3 2" xfId="17905"/>
    <cellStyle name="20% - Accent6 4 2 3 3 3 2 2" xfId="17906"/>
    <cellStyle name="20% - Accent6 4 2 3 3 3 2 3" xfId="17907"/>
    <cellStyle name="20% - Accent6 4 2 3 3 3 3" xfId="17908"/>
    <cellStyle name="20% - Accent6 4 2 3 3 3 3 2" xfId="17909"/>
    <cellStyle name="20% - Accent6 4 2 3 3 3 3 3" xfId="17910"/>
    <cellStyle name="20% - Accent6 4 2 3 3 3 4" xfId="17911"/>
    <cellStyle name="20% - Accent6 4 2 3 3 3 4 2" xfId="17912"/>
    <cellStyle name="20% - Accent6 4 2 3 3 3 5" xfId="17913"/>
    <cellStyle name="20% - Accent6 4 2 3 3 3 6" xfId="17914"/>
    <cellStyle name="20% - Accent6 4 2 3 3 4" xfId="17915"/>
    <cellStyle name="20% - Accent6 4 2 3 3 4 2" xfId="17916"/>
    <cellStyle name="20% - Accent6 4 2 3 3 4 2 2" xfId="17917"/>
    <cellStyle name="20% - Accent6 4 2 3 3 4 2 3" xfId="17918"/>
    <cellStyle name="20% - Accent6 4 2 3 3 4 3" xfId="17919"/>
    <cellStyle name="20% - Accent6 4 2 3 3 4 3 2" xfId="17920"/>
    <cellStyle name="20% - Accent6 4 2 3 3 4 4" xfId="17921"/>
    <cellStyle name="20% - Accent6 4 2 3 3 4 5" xfId="17922"/>
    <cellStyle name="20% - Accent6 4 2 3 3 5" xfId="17923"/>
    <cellStyle name="20% - Accent6 4 2 3 3 5 2" xfId="17924"/>
    <cellStyle name="20% - Accent6 4 2 3 3 5 3" xfId="17925"/>
    <cellStyle name="20% - Accent6 4 2 3 3 6" xfId="17926"/>
    <cellStyle name="20% - Accent6 4 2 3 3 6 2" xfId="17927"/>
    <cellStyle name="20% - Accent6 4 2 3 3 6 3" xfId="17928"/>
    <cellStyle name="20% - Accent6 4 2 3 3 7" xfId="17929"/>
    <cellStyle name="20% - Accent6 4 2 3 3 7 2" xfId="17930"/>
    <cellStyle name="20% - Accent6 4 2 3 3 8" xfId="17931"/>
    <cellStyle name="20% - Accent6 4 2 3 3 9" xfId="17932"/>
    <cellStyle name="20% - Accent6 4 2 3 4" xfId="17933"/>
    <cellStyle name="20% - Accent6 4 2 3 4 2" xfId="17934"/>
    <cellStyle name="20% - Accent6 4 2 3 4 2 2" xfId="17935"/>
    <cellStyle name="20% - Accent6 4 2 3 4 2 2 2" xfId="17936"/>
    <cellStyle name="20% - Accent6 4 2 3 4 2 2 3" xfId="17937"/>
    <cellStyle name="20% - Accent6 4 2 3 4 2 3" xfId="17938"/>
    <cellStyle name="20% - Accent6 4 2 3 4 2 3 2" xfId="17939"/>
    <cellStyle name="20% - Accent6 4 2 3 4 2 3 3" xfId="17940"/>
    <cellStyle name="20% - Accent6 4 2 3 4 2 4" xfId="17941"/>
    <cellStyle name="20% - Accent6 4 2 3 4 2 4 2" xfId="17942"/>
    <cellStyle name="20% - Accent6 4 2 3 4 2 5" xfId="17943"/>
    <cellStyle name="20% - Accent6 4 2 3 4 2 6" xfId="17944"/>
    <cellStyle name="20% - Accent6 4 2 3 4 3" xfId="17945"/>
    <cellStyle name="20% - Accent6 4 2 3 4 3 2" xfId="17946"/>
    <cellStyle name="20% - Accent6 4 2 3 4 3 2 2" xfId="17947"/>
    <cellStyle name="20% - Accent6 4 2 3 4 3 2 3" xfId="17948"/>
    <cellStyle name="20% - Accent6 4 2 3 4 3 3" xfId="17949"/>
    <cellStyle name="20% - Accent6 4 2 3 4 3 3 2" xfId="17950"/>
    <cellStyle name="20% - Accent6 4 2 3 4 3 3 3" xfId="17951"/>
    <cellStyle name="20% - Accent6 4 2 3 4 3 4" xfId="17952"/>
    <cellStyle name="20% - Accent6 4 2 3 4 3 4 2" xfId="17953"/>
    <cellStyle name="20% - Accent6 4 2 3 4 3 5" xfId="17954"/>
    <cellStyle name="20% - Accent6 4 2 3 4 3 6" xfId="17955"/>
    <cellStyle name="20% - Accent6 4 2 3 4 4" xfId="17956"/>
    <cellStyle name="20% - Accent6 4 2 3 4 4 2" xfId="17957"/>
    <cellStyle name="20% - Accent6 4 2 3 4 4 2 2" xfId="17958"/>
    <cellStyle name="20% - Accent6 4 2 3 4 4 2 3" xfId="17959"/>
    <cellStyle name="20% - Accent6 4 2 3 4 4 3" xfId="17960"/>
    <cellStyle name="20% - Accent6 4 2 3 4 4 3 2" xfId="17961"/>
    <cellStyle name="20% - Accent6 4 2 3 4 4 4" xfId="17962"/>
    <cellStyle name="20% - Accent6 4 2 3 4 4 5" xfId="17963"/>
    <cellStyle name="20% - Accent6 4 2 3 4 5" xfId="17964"/>
    <cellStyle name="20% - Accent6 4 2 3 4 5 2" xfId="17965"/>
    <cellStyle name="20% - Accent6 4 2 3 4 5 3" xfId="17966"/>
    <cellStyle name="20% - Accent6 4 2 3 4 6" xfId="17967"/>
    <cellStyle name="20% - Accent6 4 2 3 4 6 2" xfId="17968"/>
    <cellStyle name="20% - Accent6 4 2 3 4 6 3" xfId="17969"/>
    <cellStyle name="20% - Accent6 4 2 3 4 7" xfId="17970"/>
    <cellStyle name="20% - Accent6 4 2 3 4 7 2" xfId="17971"/>
    <cellStyle name="20% - Accent6 4 2 3 4 8" xfId="17972"/>
    <cellStyle name="20% - Accent6 4 2 3 4 9" xfId="17973"/>
    <cellStyle name="20% - Accent6 4 2 3 5" xfId="17974"/>
    <cellStyle name="20% - Accent6 4 2 3 5 2" xfId="17975"/>
    <cellStyle name="20% - Accent6 4 2 3 5 2 2" xfId="17976"/>
    <cellStyle name="20% - Accent6 4 2 3 5 2 3" xfId="17977"/>
    <cellStyle name="20% - Accent6 4 2 3 5 3" xfId="17978"/>
    <cellStyle name="20% - Accent6 4 2 3 5 3 2" xfId="17979"/>
    <cellStyle name="20% - Accent6 4 2 3 5 3 3" xfId="17980"/>
    <cellStyle name="20% - Accent6 4 2 3 5 4" xfId="17981"/>
    <cellStyle name="20% - Accent6 4 2 3 5 4 2" xfId="17982"/>
    <cellStyle name="20% - Accent6 4 2 3 5 5" xfId="17983"/>
    <cellStyle name="20% - Accent6 4 2 3 5 6" xfId="17984"/>
    <cellStyle name="20% - Accent6 4 2 3 6" xfId="17985"/>
    <cellStyle name="20% - Accent6 4 2 3 6 2" xfId="17986"/>
    <cellStyle name="20% - Accent6 4 2 3 6 2 2" xfId="17987"/>
    <cellStyle name="20% - Accent6 4 2 3 6 2 3" xfId="17988"/>
    <cellStyle name="20% - Accent6 4 2 3 6 3" xfId="17989"/>
    <cellStyle name="20% - Accent6 4 2 3 6 3 2" xfId="17990"/>
    <cellStyle name="20% - Accent6 4 2 3 6 3 3" xfId="17991"/>
    <cellStyle name="20% - Accent6 4 2 3 6 4" xfId="17992"/>
    <cellStyle name="20% - Accent6 4 2 3 6 4 2" xfId="17993"/>
    <cellStyle name="20% - Accent6 4 2 3 6 5" xfId="17994"/>
    <cellStyle name="20% - Accent6 4 2 3 6 6" xfId="17995"/>
    <cellStyle name="20% - Accent6 4 2 3 7" xfId="17996"/>
    <cellStyle name="20% - Accent6 4 2 3 7 2" xfId="17997"/>
    <cellStyle name="20% - Accent6 4 2 3 7 2 2" xfId="17998"/>
    <cellStyle name="20% - Accent6 4 2 3 7 2 3" xfId="17999"/>
    <cellStyle name="20% - Accent6 4 2 3 7 3" xfId="18000"/>
    <cellStyle name="20% - Accent6 4 2 3 7 3 2" xfId="18001"/>
    <cellStyle name="20% - Accent6 4 2 3 7 4" xfId="18002"/>
    <cellStyle name="20% - Accent6 4 2 3 7 5" xfId="18003"/>
    <cellStyle name="20% - Accent6 4 2 3 8" xfId="18004"/>
    <cellStyle name="20% - Accent6 4 2 3 8 2" xfId="18005"/>
    <cellStyle name="20% - Accent6 4 2 3 8 3" xfId="18006"/>
    <cellStyle name="20% - Accent6 4 2 3 9" xfId="18007"/>
    <cellStyle name="20% - Accent6 4 2 3 9 2" xfId="18008"/>
    <cellStyle name="20% - Accent6 4 2 3 9 3" xfId="18009"/>
    <cellStyle name="20% - Accent6 4 2 4" xfId="1359"/>
    <cellStyle name="20% - Accent6 4 2 4 10" xfId="18010"/>
    <cellStyle name="20% - Accent6 4 2 4 2" xfId="1360"/>
    <cellStyle name="20% - Accent6 4 2 4 2 2" xfId="18011"/>
    <cellStyle name="20% - Accent6 4 2 4 2 2 2" xfId="18012"/>
    <cellStyle name="20% - Accent6 4 2 4 2 2 2 2" xfId="18013"/>
    <cellStyle name="20% - Accent6 4 2 4 2 2 2 3" xfId="18014"/>
    <cellStyle name="20% - Accent6 4 2 4 2 2 3" xfId="18015"/>
    <cellStyle name="20% - Accent6 4 2 4 2 2 3 2" xfId="18016"/>
    <cellStyle name="20% - Accent6 4 2 4 2 2 3 3" xfId="18017"/>
    <cellStyle name="20% - Accent6 4 2 4 2 2 4" xfId="18018"/>
    <cellStyle name="20% - Accent6 4 2 4 2 2 4 2" xfId="18019"/>
    <cellStyle name="20% - Accent6 4 2 4 2 2 5" xfId="18020"/>
    <cellStyle name="20% - Accent6 4 2 4 2 2 6" xfId="18021"/>
    <cellStyle name="20% - Accent6 4 2 4 2 3" xfId="18022"/>
    <cellStyle name="20% - Accent6 4 2 4 2 3 2" xfId="18023"/>
    <cellStyle name="20% - Accent6 4 2 4 2 3 2 2" xfId="18024"/>
    <cellStyle name="20% - Accent6 4 2 4 2 3 2 3" xfId="18025"/>
    <cellStyle name="20% - Accent6 4 2 4 2 3 3" xfId="18026"/>
    <cellStyle name="20% - Accent6 4 2 4 2 3 3 2" xfId="18027"/>
    <cellStyle name="20% - Accent6 4 2 4 2 3 3 3" xfId="18028"/>
    <cellStyle name="20% - Accent6 4 2 4 2 3 4" xfId="18029"/>
    <cellStyle name="20% - Accent6 4 2 4 2 3 4 2" xfId="18030"/>
    <cellStyle name="20% - Accent6 4 2 4 2 3 5" xfId="18031"/>
    <cellStyle name="20% - Accent6 4 2 4 2 3 6" xfId="18032"/>
    <cellStyle name="20% - Accent6 4 2 4 2 4" xfId="18033"/>
    <cellStyle name="20% - Accent6 4 2 4 2 4 2" xfId="18034"/>
    <cellStyle name="20% - Accent6 4 2 4 2 4 2 2" xfId="18035"/>
    <cellStyle name="20% - Accent6 4 2 4 2 4 2 3" xfId="18036"/>
    <cellStyle name="20% - Accent6 4 2 4 2 4 3" xfId="18037"/>
    <cellStyle name="20% - Accent6 4 2 4 2 4 3 2" xfId="18038"/>
    <cellStyle name="20% - Accent6 4 2 4 2 4 4" xfId="18039"/>
    <cellStyle name="20% - Accent6 4 2 4 2 4 5" xfId="18040"/>
    <cellStyle name="20% - Accent6 4 2 4 2 5" xfId="18041"/>
    <cellStyle name="20% - Accent6 4 2 4 2 5 2" xfId="18042"/>
    <cellStyle name="20% - Accent6 4 2 4 2 5 3" xfId="18043"/>
    <cellStyle name="20% - Accent6 4 2 4 2 6" xfId="18044"/>
    <cellStyle name="20% - Accent6 4 2 4 2 6 2" xfId="18045"/>
    <cellStyle name="20% - Accent6 4 2 4 2 6 3" xfId="18046"/>
    <cellStyle name="20% - Accent6 4 2 4 2 7" xfId="18047"/>
    <cellStyle name="20% - Accent6 4 2 4 2 7 2" xfId="18048"/>
    <cellStyle name="20% - Accent6 4 2 4 2 8" xfId="18049"/>
    <cellStyle name="20% - Accent6 4 2 4 2 9" xfId="18050"/>
    <cellStyle name="20% - Accent6 4 2 4 3" xfId="18051"/>
    <cellStyle name="20% - Accent6 4 2 4 3 2" xfId="18052"/>
    <cellStyle name="20% - Accent6 4 2 4 3 2 2" xfId="18053"/>
    <cellStyle name="20% - Accent6 4 2 4 3 2 3" xfId="18054"/>
    <cellStyle name="20% - Accent6 4 2 4 3 3" xfId="18055"/>
    <cellStyle name="20% - Accent6 4 2 4 3 3 2" xfId="18056"/>
    <cellStyle name="20% - Accent6 4 2 4 3 3 3" xfId="18057"/>
    <cellStyle name="20% - Accent6 4 2 4 3 4" xfId="18058"/>
    <cellStyle name="20% - Accent6 4 2 4 3 4 2" xfId="18059"/>
    <cellStyle name="20% - Accent6 4 2 4 3 5" xfId="18060"/>
    <cellStyle name="20% - Accent6 4 2 4 3 6" xfId="18061"/>
    <cellStyle name="20% - Accent6 4 2 4 4" xfId="18062"/>
    <cellStyle name="20% - Accent6 4 2 4 4 2" xfId="18063"/>
    <cellStyle name="20% - Accent6 4 2 4 4 2 2" xfId="18064"/>
    <cellStyle name="20% - Accent6 4 2 4 4 2 3" xfId="18065"/>
    <cellStyle name="20% - Accent6 4 2 4 4 3" xfId="18066"/>
    <cellStyle name="20% - Accent6 4 2 4 4 3 2" xfId="18067"/>
    <cellStyle name="20% - Accent6 4 2 4 4 3 3" xfId="18068"/>
    <cellStyle name="20% - Accent6 4 2 4 4 4" xfId="18069"/>
    <cellStyle name="20% - Accent6 4 2 4 4 4 2" xfId="18070"/>
    <cellStyle name="20% - Accent6 4 2 4 4 5" xfId="18071"/>
    <cellStyle name="20% - Accent6 4 2 4 4 6" xfId="18072"/>
    <cellStyle name="20% - Accent6 4 2 4 5" xfId="18073"/>
    <cellStyle name="20% - Accent6 4 2 4 5 2" xfId="18074"/>
    <cellStyle name="20% - Accent6 4 2 4 5 2 2" xfId="18075"/>
    <cellStyle name="20% - Accent6 4 2 4 5 2 3" xfId="18076"/>
    <cellStyle name="20% - Accent6 4 2 4 5 3" xfId="18077"/>
    <cellStyle name="20% - Accent6 4 2 4 5 3 2" xfId="18078"/>
    <cellStyle name="20% - Accent6 4 2 4 5 4" xfId="18079"/>
    <cellStyle name="20% - Accent6 4 2 4 5 5" xfId="18080"/>
    <cellStyle name="20% - Accent6 4 2 4 6" xfId="18081"/>
    <cellStyle name="20% - Accent6 4 2 4 6 2" xfId="18082"/>
    <cellStyle name="20% - Accent6 4 2 4 6 3" xfId="18083"/>
    <cellStyle name="20% - Accent6 4 2 4 7" xfId="18084"/>
    <cellStyle name="20% - Accent6 4 2 4 7 2" xfId="18085"/>
    <cellStyle name="20% - Accent6 4 2 4 7 3" xfId="18086"/>
    <cellStyle name="20% - Accent6 4 2 4 8" xfId="18087"/>
    <cellStyle name="20% - Accent6 4 2 4 8 2" xfId="18088"/>
    <cellStyle name="20% - Accent6 4 2 4 9" xfId="18089"/>
    <cellStyle name="20% - Accent6 4 2 5" xfId="1361"/>
    <cellStyle name="20% - Accent6 4 2 5 2" xfId="18090"/>
    <cellStyle name="20% - Accent6 4 2 5 2 2" xfId="18091"/>
    <cellStyle name="20% - Accent6 4 2 5 2 2 2" xfId="18092"/>
    <cellStyle name="20% - Accent6 4 2 5 2 2 3" xfId="18093"/>
    <cellStyle name="20% - Accent6 4 2 5 2 3" xfId="18094"/>
    <cellStyle name="20% - Accent6 4 2 5 2 3 2" xfId="18095"/>
    <cellStyle name="20% - Accent6 4 2 5 2 3 3" xfId="18096"/>
    <cellStyle name="20% - Accent6 4 2 5 2 4" xfId="18097"/>
    <cellStyle name="20% - Accent6 4 2 5 2 4 2" xfId="18098"/>
    <cellStyle name="20% - Accent6 4 2 5 2 5" xfId="18099"/>
    <cellStyle name="20% - Accent6 4 2 5 2 6" xfId="18100"/>
    <cellStyle name="20% - Accent6 4 2 5 3" xfId="18101"/>
    <cellStyle name="20% - Accent6 4 2 5 3 2" xfId="18102"/>
    <cellStyle name="20% - Accent6 4 2 5 3 2 2" xfId="18103"/>
    <cellStyle name="20% - Accent6 4 2 5 3 2 3" xfId="18104"/>
    <cellStyle name="20% - Accent6 4 2 5 3 3" xfId="18105"/>
    <cellStyle name="20% - Accent6 4 2 5 3 3 2" xfId="18106"/>
    <cellStyle name="20% - Accent6 4 2 5 3 3 3" xfId="18107"/>
    <cellStyle name="20% - Accent6 4 2 5 3 4" xfId="18108"/>
    <cellStyle name="20% - Accent6 4 2 5 3 4 2" xfId="18109"/>
    <cellStyle name="20% - Accent6 4 2 5 3 5" xfId="18110"/>
    <cellStyle name="20% - Accent6 4 2 5 3 6" xfId="18111"/>
    <cellStyle name="20% - Accent6 4 2 5 4" xfId="18112"/>
    <cellStyle name="20% - Accent6 4 2 5 4 2" xfId="18113"/>
    <cellStyle name="20% - Accent6 4 2 5 4 2 2" xfId="18114"/>
    <cellStyle name="20% - Accent6 4 2 5 4 2 3" xfId="18115"/>
    <cellStyle name="20% - Accent6 4 2 5 4 3" xfId="18116"/>
    <cellStyle name="20% - Accent6 4 2 5 4 3 2" xfId="18117"/>
    <cellStyle name="20% - Accent6 4 2 5 4 4" xfId="18118"/>
    <cellStyle name="20% - Accent6 4 2 5 4 5" xfId="18119"/>
    <cellStyle name="20% - Accent6 4 2 5 5" xfId="18120"/>
    <cellStyle name="20% - Accent6 4 2 5 5 2" xfId="18121"/>
    <cellStyle name="20% - Accent6 4 2 5 5 3" xfId="18122"/>
    <cellStyle name="20% - Accent6 4 2 5 6" xfId="18123"/>
    <cellStyle name="20% - Accent6 4 2 5 6 2" xfId="18124"/>
    <cellStyle name="20% - Accent6 4 2 5 6 3" xfId="18125"/>
    <cellStyle name="20% - Accent6 4 2 5 7" xfId="18126"/>
    <cellStyle name="20% - Accent6 4 2 5 7 2" xfId="18127"/>
    <cellStyle name="20% - Accent6 4 2 5 8" xfId="18128"/>
    <cellStyle name="20% - Accent6 4 2 5 9" xfId="18129"/>
    <cellStyle name="20% - Accent6 4 2 6" xfId="18130"/>
    <cellStyle name="20% - Accent6 4 2 6 2" xfId="18131"/>
    <cellStyle name="20% - Accent6 4 2 6 2 2" xfId="18132"/>
    <cellStyle name="20% - Accent6 4 2 6 2 2 2" xfId="18133"/>
    <cellStyle name="20% - Accent6 4 2 6 2 2 3" xfId="18134"/>
    <cellStyle name="20% - Accent6 4 2 6 2 3" xfId="18135"/>
    <cellStyle name="20% - Accent6 4 2 6 2 3 2" xfId="18136"/>
    <cellStyle name="20% - Accent6 4 2 6 2 3 3" xfId="18137"/>
    <cellStyle name="20% - Accent6 4 2 6 2 4" xfId="18138"/>
    <cellStyle name="20% - Accent6 4 2 6 2 4 2" xfId="18139"/>
    <cellStyle name="20% - Accent6 4 2 6 2 5" xfId="18140"/>
    <cellStyle name="20% - Accent6 4 2 6 2 6" xfId="18141"/>
    <cellStyle name="20% - Accent6 4 2 6 3" xfId="18142"/>
    <cellStyle name="20% - Accent6 4 2 6 3 2" xfId="18143"/>
    <cellStyle name="20% - Accent6 4 2 6 3 2 2" xfId="18144"/>
    <cellStyle name="20% - Accent6 4 2 6 3 2 3" xfId="18145"/>
    <cellStyle name="20% - Accent6 4 2 6 3 3" xfId="18146"/>
    <cellStyle name="20% - Accent6 4 2 6 3 3 2" xfId="18147"/>
    <cellStyle name="20% - Accent6 4 2 6 3 3 3" xfId="18148"/>
    <cellStyle name="20% - Accent6 4 2 6 3 4" xfId="18149"/>
    <cellStyle name="20% - Accent6 4 2 6 3 4 2" xfId="18150"/>
    <cellStyle name="20% - Accent6 4 2 6 3 5" xfId="18151"/>
    <cellStyle name="20% - Accent6 4 2 6 3 6" xfId="18152"/>
    <cellStyle name="20% - Accent6 4 2 6 4" xfId="18153"/>
    <cellStyle name="20% - Accent6 4 2 6 4 2" xfId="18154"/>
    <cellStyle name="20% - Accent6 4 2 6 4 2 2" xfId="18155"/>
    <cellStyle name="20% - Accent6 4 2 6 4 2 3" xfId="18156"/>
    <cellStyle name="20% - Accent6 4 2 6 4 3" xfId="18157"/>
    <cellStyle name="20% - Accent6 4 2 6 4 3 2" xfId="18158"/>
    <cellStyle name="20% - Accent6 4 2 6 4 4" xfId="18159"/>
    <cellStyle name="20% - Accent6 4 2 6 4 5" xfId="18160"/>
    <cellStyle name="20% - Accent6 4 2 6 5" xfId="18161"/>
    <cellStyle name="20% - Accent6 4 2 6 5 2" xfId="18162"/>
    <cellStyle name="20% - Accent6 4 2 6 5 3" xfId="18163"/>
    <cellStyle name="20% - Accent6 4 2 6 6" xfId="18164"/>
    <cellStyle name="20% - Accent6 4 2 6 6 2" xfId="18165"/>
    <cellStyle name="20% - Accent6 4 2 6 6 3" xfId="18166"/>
    <cellStyle name="20% - Accent6 4 2 6 7" xfId="18167"/>
    <cellStyle name="20% - Accent6 4 2 6 7 2" xfId="18168"/>
    <cellStyle name="20% - Accent6 4 2 6 8" xfId="18169"/>
    <cellStyle name="20% - Accent6 4 2 6 9" xfId="18170"/>
    <cellStyle name="20% - Accent6 4 2 7" xfId="18171"/>
    <cellStyle name="20% - Accent6 4 2 7 2" xfId="18172"/>
    <cellStyle name="20% - Accent6 4 2 7 2 2" xfId="18173"/>
    <cellStyle name="20% - Accent6 4 2 7 2 3" xfId="18174"/>
    <cellStyle name="20% - Accent6 4 2 7 3" xfId="18175"/>
    <cellStyle name="20% - Accent6 4 2 7 3 2" xfId="18176"/>
    <cellStyle name="20% - Accent6 4 2 7 3 3" xfId="18177"/>
    <cellStyle name="20% - Accent6 4 2 7 4" xfId="18178"/>
    <cellStyle name="20% - Accent6 4 2 7 4 2" xfId="18179"/>
    <cellStyle name="20% - Accent6 4 2 7 5" xfId="18180"/>
    <cellStyle name="20% - Accent6 4 2 7 6" xfId="18181"/>
    <cellStyle name="20% - Accent6 4 2 8" xfId="18182"/>
    <cellStyle name="20% - Accent6 4 2 8 2" xfId="18183"/>
    <cellStyle name="20% - Accent6 4 2 8 2 2" xfId="18184"/>
    <cellStyle name="20% - Accent6 4 2 8 2 3" xfId="18185"/>
    <cellStyle name="20% - Accent6 4 2 8 3" xfId="18186"/>
    <cellStyle name="20% - Accent6 4 2 8 3 2" xfId="18187"/>
    <cellStyle name="20% - Accent6 4 2 8 3 3" xfId="18188"/>
    <cellStyle name="20% - Accent6 4 2 8 4" xfId="18189"/>
    <cellStyle name="20% - Accent6 4 2 8 4 2" xfId="18190"/>
    <cellStyle name="20% - Accent6 4 2 8 5" xfId="18191"/>
    <cellStyle name="20% - Accent6 4 2 8 6" xfId="18192"/>
    <cellStyle name="20% - Accent6 4 2 9" xfId="18193"/>
    <cellStyle name="20% - Accent6 4 2 9 2" xfId="18194"/>
    <cellStyle name="20% - Accent6 4 2 9 2 2" xfId="18195"/>
    <cellStyle name="20% - Accent6 4 2 9 2 3" xfId="18196"/>
    <cellStyle name="20% - Accent6 4 2 9 3" xfId="18197"/>
    <cellStyle name="20% - Accent6 4 2 9 3 2" xfId="18198"/>
    <cellStyle name="20% - Accent6 4 2 9 4" xfId="18199"/>
    <cellStyle name="20% - Accent6 4 2 9 5" xfId="18200"/>
    <cellStyle name="20% - Accent6 4 3" xfId="1362"/>
    <cellStyle name="20% - Accent6 4 3 10" xfId="18201"/>
    <cellStyle name="20% - Accent6 4 3 10 2" xfId="18202"/>
    <cellStyle name="20% - Accent6 4 3 10 3" xfId="18203"/>
    <cellStyle name="20% - Accent6 4 3 11" xfId="18204"/>
    <cellStyle name="20% - Accent6 4 3 11 2" xfId="18205"/>
    <cellStyle name="20% - Accent6 4 3 12" xfId="18206"/>
    <cellStyle name="20% - Accent6 4 3 13" xfId="18207"/>
    <cellStyle name="20% - Accent6 4 3 14" xfId="18208"/>
    <cellStyle name="20% - Accent6 4 3 2" xfId="1363"/>
    <cellStyle name="20% - Accent6 4 3 2 10" xfId="18209"/>
    <cellStyle name="20% - Accent6 4 3 2 10 2" xfId="18210"/>
    <cellStyle name="20% - Accent6 4 3 2 11" xfId="18211"/>
    <cellStyle name="20% - Accent6 4 3 2 12" xfId="18212"/>
    <cellStyle name="20% - Accent6 4 3 2 2" xfId="1364"/>
    <cellStyle name="20% - Accent6 4 3 2 2 10" xfId="18213"/>
    <cellStyle name="20% - Accent6 4 3 2 2 2" xfId="1365"/>
    <cellStyle name="20% - Accent6 4 3 2 2 2 2" xfId="18214"/>
    <cellStyle name="20% - Accent6 4 3 2 2 2 2 2" xfId="18215"/>
    <cellStyle name="20% - Accent6 4 3 2 2 2 2 2 2" xfId="18216"/>
    <cellStyle name="20% - Accent6 4 3 2 2 2 2 2 3" xfId="18217"/>
    <cellStyle name="20% - Accent6 4 3 2 2 2 2 3" xfId="18218"/>
    <cellStyle name="20% - Accent6 4 3 2 2 2 2 3 2" xfId="18219"/>
    <cellStyle name="20% - Accent6 4 3 2 2 2 2 3 3" xfId="18220"/>
    <cellStyle name="20% - Accent6 4 3 2 2 2 2 4" xfId="18221"/>
    <cellStyle name="20% - Accent6 4 3 2 2 2 2 4 2" xfId="18222"/>
    <cellStyle name="20% - Accent6 4 3 2 2 2 2 5" xfId="18223"/>
    <cellStyle name="20% - Accent6 4 3 2 2 2 2 6" xfId="18224"/>
    <cellStyle name="20% - Accent6 4 3 2 2 2 3" xfId="18225"/>
    <cellStyle name="20% - Accent6 4 3 2 2 2 3 2" xfId="18226"/>
    <cellStyle name="20% - Accent6 4 3 2 2 2 3 2 2" xfId="18227"/>
    <cellStyle name="20% - Accent6 4 3 2 2 2 3 2 3" xfId="18228"/>
    <cellStyle name="20% - Accent6 4 3 2 2 2 3 3" xfId="18229"/>
    <cellStyle name="20% - Accent6 4 3 2 2 2 3 3 2" xfId="18230"/>
    <cellStyle name="20% - Accent6 4 3 2 2 2 3 3 3" xfId="18231"/>
    <cellStyle name="20% - Accent6 4 3 2 2 2 3 4" xfId="18232"/>
    <cellStyle name="20% - Accent6 4 3 2 2 2 3 4 2" xfId="18233"/>
    <cellStyle name="20% - Accent6 4 3 2 2 2 3 5" xfId="18234"/>
    <cellStyle name="20% - Accent6 4 3 2 2 2 3 6" xfId="18235"/>
    <cellStyle name="20% - Accent6 4 3 2 2 2 4" xfId="18236"/>
    <cellStyle name="20% - Accent6 4 3 2 2 2 4 2" xfId="18237"/>
    <cellStyle name="20% - Accent6 4 3 2 2 2 4 2 2" xfId="18238"/>
    <cellStyle name="20% - Accent6 4 3 2 2 2 4 2 3" xfId="18239"/>
    <cellStyle name="20% - Accent6 4 3 2 2 2 4 3" xfId="18240"/>
    <cellStyle name="20% - Accent6 4 3 2 2 2 4 3 2" xfId="18241"/>
    <cellStyle name="20% - Accent6 4 3 2 2 2 4 4" xfId="18242"/>
    <cellStyle name="20% - Accent6 4 3 2 2 2 4 5" xfId="18243"/>
    <cellStyle name="20% - Accent6 4 3 2 2 2 5" xfId="18244"/>
    <cellStyle name="20% - Accent6 4 3 2 2 2 5 2" xfId="18245"/>
    <cellStyle name="20% - Accent6 4 3 2 2 2 5 3" xfId="18246"/>
    <cellStyle name="20% - Accent6 4 3 2 2 2 6" xfId="18247"/>
    <cellStyle name="20% - Accent6 4 3 2 2 2 6 2" xfId="18248"/>
    <cellStyle name="20% - Accent6 4 3 2 2 2 6 3" xfId="18249"/>
    <cellStyle name="20% - Accent6 4 3 2 2 2 7" xfId="18250"/>
    <cellStyle name="20% - Accent6 4 3 2 2 2 7 2" xfId="18251"/>
    <cellStyle name="20% - Accent6 4 3 2 2 2 8" xfId="18252"/>
    <cellStyle name="20% - Accent6 4 3 2 2 2 9" xfId="18253"/>
    <cellStyle name="20% - Accent6 4 3 2 2 3" xfId="18254"/>
    <cellStyle name="20% - Accent6 4 3 2 2 3 2" xfId="18255"/>
    <cellStyle name="20% - Accent6 4 3 2 2 3 2 2" xfId="18256"/>
    <cellStyle name="20% - Accent6 4 3 2 2 3 2 3" xfId="18257"/>
    <cellStyle name="20% - Accent6 4 3 2 2 3 3" xfId="18258"/>
    <cellStyle name="20% - Accent6 4 3 2 2 3 3 2" xfId="18259"/>
    <cellStyle name="20% - Accent6 4 3 2 2 3 3 3" xfId="18260"/>
    <cellStyle name="20% - Accent6 4 3 2 2 3 4" xfId="18261"/>
    <cellStyle name="20% - Accent6 4 3 2 2 3 4 2" xfId="18262"/>
    <cellStyle name="20% - Accent6 4 3 2 2 3 5" xfId="18263"/>
    <cellStyle name="20% - Accent6 4 3 2 2 3 6" xfId="18264"/>
    <cellStyle name="20% - Accent6 4 3 2 2 4" xfId="18265"/>
    <cellStyle name="20% - Accent6 4 3 2 2 4 2" xfId="18266"/>
    <cellStyle name="20% - Accent6 4 3 2 2 4 2 2" xfId="18267"/>
    <cellStyle name="20% - Accent6 4 3 2 2 4 2 3" xfId="18268"/>
    <cellStyle name="20% - Accent6 4 3 2 2 4 3" xfId="18269"/>
    <cellStyle name="20% - Accent6 4 3 2 2 4 3 2" xfId="18270"/>
    <cellStyle name="20% - Accent6 4 3 2 2 4 3 3" xfId="18271"/>
    <cellStyle name="20% - Accent6 4 3 2 2 4 4" xfId="18272"/>
    <cellStyle name="20% - Accent6 4 3 2 2 4 4 2" xfId="18273"/>
    <cellStyle name="20% - Accent6 4 3 2 2 4 5" xfId="18274"/>
    <cellStyle name="20% - Accent6 4 3 2 2 4 6" xfId="18275"/>
    <cellStyle name="20% - Accent6 4 3 2 2 5" xfId="18276"/>
    <cellStyle name="20% - Accent6 4 3 2 2 5 2" xfId="18277"/>
    <cellStyle name="20% - Accent6 4 3 2 2 5 2 2" xfId="18278"/>
    <cellStyle name="20% - Accent6 4 3 2 2 5 2 3" xfId="18279"/>
    <cellStyle name="20% - Accent6 4 3 2 2 5 3" xfId="18280"/>
    <cellStyle name="20% - Accent6 4 3 2 2 5 3 2" xfId="18281"/>
    <cellStyle name="20% - Accent6 4 3 2 2 5 4" xfId="18282"/>
    <cellStyle name="20% - Accent6 4 3 2 2 5 5" xfId="18283"/>
    <cellStyle name="20% - Accent6 4 3 2 2 6" xfId="18284"/>
    <cellStyle name="20% - Accent6 4 3 2 2 6 2" xfId="18285"/>
    <cellStyle name="20% - Accent6 4 3 2 2 6 3" xfId="18286"/>
    <cellStyle name="20% - Accent6 4 3 2 2 7" xfId="18287"/>
    <cellStyle name="20% - Accent6 4 3 2 2 7 2" xfId="18288"/>
    <cellStyle name="20% - Accent6 4 3 2 2 7 3" xfId="18289"/>
    <cellStyle name="20% - Accent6 4 3 2 2 8" xfId="18290"/>
    <cellStyle name="20% - Accent6 4 3 2 2 8 2" xfId="18291"/>
    <cellStyle name="20% - Accent6 4 3 2 2 9" xfId="18292"/>
    <cellStyle name="20% - Accent6 4 3 2 3" xfId="1366"/>
    <cellStyle name="20% - Accent6 4 3 2 3 2" xfId="18293"/>
    <cellStyle name="20% - Accent6 4 3 2 3 2 2" xfId="18294"/>
    <cellStyle name="20% - Accent6 4 3 2 3 2 2 2" xfId="18295"/>
    <cellStyle name="20% - Accent6 4 3 2 3 2 2 3" xfId="18296"/>
    <cellStyle name="20% - Accent6 4 3 2 3 2 3" xfId="18297"/>
    <cellStyle name="20% - Accent6 4 3 2 3 2 3 2" xfId="18298"/>
    <cellStyle name="20% - Accent6 4 3 2 3 2 3 3" xfId="18299"/>
    <cellStyle name="20% - Accent6 4 3 2 3 2 4" xfId="18300"/>
    <cellStyle name="20% - Accent6 4 3 2 3 2 4 2" xfId="18301"/>
    <cellStyle name="20% - Accent6 4 3 2 3 2 5" xfId="18302"/>
    <cellStyle name="20% - Accent6 4 3 2 3 2 6" xfId="18303"/>
    <cellStyle name="20% - Accent6 4 3 2 3 3" xfId="18304"/>
    <cellStyle name="20% - Accent6 4 3 2 3 3 2" xfId="18305"/>
    <cellStyle name="20% - Accent6 4 3 2 3 3 2 2" xfId="18306"/>
    <cellStyle name="20% - Accent6 4 3 2 3 3 2 3" xfId="18307"/>
    <cellStyle name="20% - Accent6 4 3 2 3 3 3" xfId="18308"/>
    <cellStyle name="20% - Accent6 4 3 2 3 3 3 2" xfId="18309"/>
    <cellStyle name="20% - Accent6 4 3 2 3 3 3 3" xfId="18310"/>
    <cellStyle name="20% - Accent6 4 3 2 3 3 4" xfId="18311"/>
    <cellStyle name="20% - Accent6 4 3 2 3 3 4 2" xfId="18312"/>
    <cellStyle name="20% - Accent6 4 3 2 3 3 5" xfId="18313"/>
    <cellStyle name="20% - Accent6 4 3 2 3 3 6" xfId="18314"/>
    <cellStyle name="20% - Accent6 4 3 2 3 4" xfId="18315"/>
    <cellStyle name="20% - Accent6 4 3 2 3 4 2" xfId="18316"/>
    <cellStyle name="20% - Accent6 4 3 2 3 4 2 2" xfId="18317"/>
    <cellStyle name="20% - Accent6 4 3 2 3 4 2 3" xfId="18318"/>
    <cellStyle name="20% - Accent6 4 3 2 3 4 3" xfId="18319"/>
    <cellStyle name="20% - Accent6 4 3 2 3 4 3 2" xfId="18320"/>
    <cellStyle name="20% - Accent6 4 3 2 3 4 4" xfId="18321"/>
    <cellStyle name="20% - Accent6 4 3 2 3 4 5" xfId="18322"/>
    <cellStyle name="20% - Accent6 4 3 2 3 5" xfId="18323"/>
    <cellStyle name="20% - Accent6 4 3 2 3 5 2" xfId="18324"/>
    <cellStyle name="20% - Accent6 4 3 2 3 5 3" xfId="18325"/>
    <cellStyle name="20% - Accent6 4 3 2 3 6" xfId="18326"/>
    <cellStyle name="20% - Accent6 4 3 2 3 6 2" xfId="18327"/>
    <cellStyle name="20% - Accent6 4 3 2 3 6 3" xfId="18328"/>
    <cellStyle name="20% - Accent6 4 3 2 3 7" xfId="18329"/>
    <cellStyle name="20% - Accent6 4 3 2 3 7 2" xfId="18330"/>
    <cellStyle name="20% - Accent6 4 3 2 3 8" xfId="18331"/>
    <cellStyle name="20% - Accent6 4 3 2 3 9" xfId="18332"/>
    <cellStyle name="20% - Accent6 4 3 2 4" xfId="18333"/>
    <cellStyle name="20% - Accent6 4 3 2 4 2" xfId="18334"/>
    <cellStyle name="20% - Accent6 4 3 2 4 2 2" xfId="18335"/>
    <cellStyle name="20% - Accent6 4 3 2 4 2 2 2" xfId="18336"/>
    <cellStyle name="20% - Accent6 4 3 2 4 2 2 3" xfId="18337"/>
    <cellStyle name="20% - Accent6 4 3 2 4 2 3" xfId="18338"/>
    <cellStyle name="20% - Accent6 4 3 2 4 2 3 2" xfId="18339"/>
    <cellStyle name="20% - Accent6 4 3 2 4 2 3 3" xfId="18340"/>
    <cellStyle name="20% - Accent6 4 3 2 4 2 4" xfId="18341"/>
    <cellStyle name="20% - Accent6 4 3 2 4 2 4 2" xfId="18342"/>
    <cellStyle name="20% - Accent6 4 3 2 4 2 5" xfId="18343"/>
    <cellStyle name="20% - Accent6 4 3 2 4 2 6" xfId="18344"/>
    <cellStyle name="20% - Accent6 4 3 2 4 3" xfId="18345"/>
    <cellStyle name="20% - Accent6 4 3 2 4 3 2" xfId="18346"/>
    <cellStyle name="20% - Accent6 4 3 2 4 3 2 2" xfId="18347"/>
    <cellStyle name="20% - Accent6 4 3 2 4 3 2 3" xfId="18348"/>
    <cellStyle name="20% - Accent6 4 3 2 4 3 3" xfId="18349"/>
    <cellStyle name="20% - Accent6 4 3 2 4 3 3 2" xfId="18350"/>
    <cellStyle name="20% - Accent6 4 3 2 4 3 3 3" xfId="18351"/>
    <cellStyle name="20% - Accent6 4 3 2 4 3 4" xfId="18352"/>
    <cellStyle name="20% - Accent6 4 3 2 4 3 4 2" xfId="18353"/>
    <cellStyle name="20% - Accent6 4 3 2 4 3 5" xfId="18354"/>
    <cellStyle name="20% - Accent6 4 3 2 4 3 6" xfId="18355"/>
    <cellStyle name="20% - Accent6 4 3 2 4 4" xfId="18356"/>
    <cellStyle name="20% - Accent6 4 3 2 4 4 2" xfId="18357"/>
    <cellStyle name="20% - Accent6 4 3 2 4 4 2 2" xfId="18358"/>
    <cellStyle name="20% - Accent6 4 3 2 4 4 2 3" xfId="18359"/>
    <cellStyle name="20% - Accent6 4 3 2 4 4 3" xfId="18360"/>
    <cellStyle name="20% - Accent6 4 3 2 4 4 3 2" xfId="18361"/>
    <cellStyle name="20% - Accent6 4 3 2 4 4 4" xfId="18362"/>
    <cellStyle name="20% - Accent6 4 3 2 4 4 5" xfId="18363"/>
    <cellStyle name="20% - Accent6 4 3 2 4 5" xfId="18364"/>
    <cellStyle name="20% - Accent6 4 3 2 4 5 2" xfId="18365"/>
    <cellStyle name="20% - Accent6 4 3 2 4 5 3" xfId="18366"/>
    <cellStyle name="20% - Accent6 4 3 2 4 6" xfId="18367"/>
    <cellStyle name="20% - Accent6 4 3 2 4 6 2" xfId="18368"/>
    <cellStyle name="20% - Accent6 4 3 2 4 6 3" xfId="18369"/>
    <cellStyle name="20% - Accent6 4 3 2 4 7" xfId="18370"/>
    <cellStyle name="20% - Accent6 4 3 2 4 7 2" xfId="18371"/>
    <cellStyle name="20% - Accent6 4 3 2 4 8" xfId="18372"/>
    <cellStyle name="20% - Accent6 4 3 2 4 9" xfId="18373"/>
    <cellStyle name="20% - Accent6 4 3 2 5" xfId="18374"/>
    <cellStyle name="20% - Accent6 4 3 2 5 2" xfId="18375"/>
    <cellStyle name="20% - Accent6 4 3 2 5 2 2" xfId="18376"/>
    <cellStyle name="20% - Accent6 4 3 2 5 2 3" xfId="18377"/>
    <cellStyle name="20% - Accent6 4 3 2 5 3" xfId="18378"/>
    <cellStyle name="20% - Accent6 4 3 2 5 3 2" xfId="18379"/>
    <cellStyle name="20% - Accent6 4 3 2 5 3 3" xfId="18380"/>
    <cellStyle name="20% - Accent6 4 3 2 5 4" xfId="18381"/>
    <cellStyle name="20% - Accent6 4 3 2 5 4 2" xfId="18382"/>
    <cellStyle name="20% - Accent6 4 3 2 5 5" xfId="18383"/>
    <cellStyle name="20% - Accent6 4 3 2 5 6" xfId="18384"/>
    <cellStyle name="20% - Accent6 4 3 2 6" xfId="18385"/>
    <cellStyle name="20% - Accent6 4 3 2 6 2" xfId="18386"/>
    <cellStyle name="20% - Accent6 4 3 2 6 2 2" xfId="18387"/>
    <cellStyle name="20% - Accent6 4 3 2 6 2 3" xfId="18388"/>
    <cellStyle name="20% - Accent6 4 3 2 6 3" xfId="18389"/>
    <cellStyle name="20% - Accent6 4 3 2 6 3 2" xfId="18390"/>
    <cellStyle name="20% - Accent6 4 3 2 6 3 3" xfId="18391"/>
    <cellStyle name="20% - Accent6 4 3 2 6 4" xfId="18392"/>
    <cellStyle name="20% - Accent6 4 3 2 6 4 2" xfId="18393"/>
    <cellStyle name="20% - Accent6 4 3 2 6 5" xfId="18394"/>
    <cellStyle name="20% - Accent6 4 3 2 6 6" xfId="18395"/>
    <cellStyle name="20% - Accent6 4 3 2 7" xfId="18396"/>
    <cellStyle name="20% - Accent6 4 3 2 7 2" xfId="18397"/>
    <cellStyle name="20% - Accent6 4 3 2 7 2 2" xfId="18398"/>
    <cellStyle name="20% - Accent6 4 3 2 7 2 3" xfId="18399"/>
    <cellStyle name="20% - Accent6 4 3 2 7 3" xfId="18400"/>
    <cellStyle name="20% - Accent6 4 3 2 7 3 2" xfId="18401"/>
    <cellStyle name="20% - Accent6 4 3 2 7 4" xfId="18402"/>
    <cellStyle name="20% - Accent6 4 3 2 7 5" xfId="18403"/>
    <cellStyle name="20% - Accent6 4 3 2 8" xfId="18404"/>
    <cellStyle name="20% - Accent6 4 3 2 8 2" xfId="18405"/>
    <cellStyle name="20% - Accent6 4 3 2 8 3" xfId="18406"/>
    <cellStyle name="20% - Accent6 4 3 2 9" xfId="18407"/>
    <cellStyle name="20% - Accent6 4 3 2 9 2" xfId="18408"/>
    <cellStyle name="20% - Accent6 4 3 2 9 3" xfId="18409"/>
    <cellStyle name="20% - Accent6 4 3 3" xfId="1367"/>
    <cellStyle name="20% - Accent6 4 3 3 10" xfId="18410"/>
    <cellStyle name="20% - Accent6 4 3 3 2" xfId="1368"/>
    <cellStyle name="20% - Accent6 4 3 3 2 2" xfId="18411"/>
    <cellStyle name="20% - Accent6 4 3 3 2 2 2" xfId="18412"/>
    <cellStyle name="20% - Accent6 4 3 3 2 2 2 2" xfId="18413"/>
    <cellStyle name="20% - Accent6 4 3 3 2 2 2 3" xfId="18414"/>
    <cellStyle name="20% - Accent6 4 3 3 2 2 3" xfId="18415"/>
    <cellStyle name="20% - Accent6 4 3 3 2 2 3 2" xfId="18416"/>
    <cellStyle name="20% - Accent6 4 3 3 2 2 3 3" xfId="18417"/>
    <cellStyle name="20% - Accent6 4 3 3 2 2 4" xfId="18418"/>
    <cellStyle name="20% - Accent6 4 3 3 2 2 4 2" xfId="18419"/>
    <cellStyle name="20% - Accent6 4 3 3 2 2 5" xfId="18420"/>
    <cellStyle name="20% - Accent6 4 3 3 2 2 6" xfId="18421"/>
    <cellStyle name="20% - Accent6 4 3 3 2 3" xfId="18422"/>
    <cellStyle name="20% - Accent6 4 3 3 2 3 2" xfId="18423"/>
    <cellStyle name="20% - Accent6 4 3 3 2 3 2 2" xfId="18424"/>
    <cellStyle name="20% - Accent6 4 3 3 2 3 2 3" xfId="18425"/>
    <cellStyle name="20% - Accent6 4 3 3 2 3 3" xfId="18426"/>
    <cellStyle name="20% - Accent6 4 3 3 2 3 3 2" xfId="18427"/>
    <cellStyle name="20% - Accent6 4 3 3 2 3 3 3" xfId="18428"/>
    <cellStyle name="20% - Accent6 4 3 3 2 3 4" xfId="18429"/>
    <cellStyle name="20% - Accent6 4 3 3 2 3 4 2" xfId="18430"/>
    <cellStyle name="20% - Accent6 4 3 3 2 3 5" xfId="18431"/>
    <cellStyle name="20% - Accent6 4 3 3 2 3 6" xfId="18432"/>
    <cellStyle name="20% - Accent6 4 3 3 2 4" xfId="18433"/>
    <cellStyle name="20% - Accent6 4 3 3 2 4 2" xfId="18434"/>
    <cellStyle name="20% - Accent6 4 3 3 2 4 2 2" xfId="18435"/>
    <cellStyle name="20% - Accent6 4 3 3 2 4 2 3" xfId="18436"/>
    <cellStyle name="20% - Accent6 4 3 3 2 4 3" xfId="18437"/>
    <cellStyle name="20% - Accent6 4 3 3 2 4 3 2" xfId="18438"/>
    <cellStyle name="20% - Accent6 4 3 3 2 4 4" xfId="18439"/>
    <cellStyle name="20% - Accent6 4 3 3 2 4 5" xfId="18440"/>
    <cellStyle name="20% - Accent6 4 3 3 2 5" xfId="18441"/>
    <cellStyle name="20% - Accent6 4 3 3 2 5 2" xfId="18442"/>
    <cellStyle name="20% - Accent6 4 3 3 2 5 3" xfId="18443"/>
    <cellStyle name="20% - Accent6 4 3 3 2 6" xfId="18444"/>
    <cellStyle name="20% - Accent6 4 3 3 2 6 2" xfId="18445"/>
    <cellStyle name="20% - Accent6 4 3 3 2 6 3" xfId="18446"/>
    <cellStyle name="20% - Accent6 4 3 3 2 7" xfId="18447"/>
    <cellStyle name="20% - Accent6 4 3 3 2 7 2" xfId="18448"/>
    <cellStyle name="20% - Accent6 4 3 3 2 8" xfId="18449"/>
    <cellStyle name="20% - Accent6 4 3 3 2 9" xfId="18450"/>
    <cellStyle name="20% - Accent6 4 3 3 3" xfId="18451"/>
    <cellStyle name="20% - Accent6 4 3 3 3 2" xfId="18452"/>
    <cellStyle name="20% - Accent6 4 3 3 3 2 2" xfId="18453"/>
    <cellStyle name="20% - Accent6 4 3 3 3 2 3" xfId="18454"/>
    <cellStyle name="20% - Accent6 4 3 3 3 3" xfId="18455"/>
    <cellStyle name="20% - Accent6 4 3 3 3 3 2" xfId="18456"/>
    <cellStyle name="20% - Accent6 4 3 3 3 3 3" xfId="18457"/>
    <cellStyle name="20% - Accent6 4 3 3 3 4" xfId="18458"/>
    <cellStyle name="20% - Accent6 4 3 3 3 4 2" xfId="18459"/>
    <cellStyle name="20% - Accent6 4 3 3 3 5" xfId="18460"/>
    <cellStyle name="20% - Accent6 4 3 3 3 6" xfId="18461"/>
    <cellStyle name="20% - Accent6 4 3 3 4" xfId="18462"/>
    <cellStyle name="20% - Accent6 4 3 3 4 2" xfId="18463"/>
    <cellStyle name="20% - Accent6 4 3 3 4 2 2" xfId="18464"/>
    <cellStyle name="20% - Accent6 4 3 3 4 2 3" xfId="18465"/>
    <cellStyle name="20% - Accent6 4 3 3 4 3" xfId="18466"/>
    <cellStyle name="20% - Accent6 4 3 3 4 3 2" xfId="18467"/>
    <cellStyle name="20% - Accent6 4 3 3 4 3 3" xfId="18468"/>
    <cellStyle name="20% - Accent6 4 3 3 4 4" xfId="18469"/>
    <cellStyle name="20% - Accent6 4 3 3 4 4 2" xfId="18470"/>
    <cellStyle name="20% - Accent6 4 3 3 4 5" xfId="18471"/>
    <cellStyle name="20% - Accent6 4 3 3 4 6" xfId="18472"/>
    <cellStyle name="20% - Accent6 4 3 3 5" xfId="18473"/>
    <cellStyle name="20% - Accent6 4 3 3 5 2" xfId="18474"/>
    <cellStyle name="20% - Accent6 4 3 3 5 2 2" xfId="18475"/>
    <cellStyle name="20% - Accent6 4 3 3 5 2 3" xfId="18476"/>
    <cellStyle name="20% - Accent6 4 3 3 5 3" xfId="18477"/>
    <cellStyle name="20% - Accent6 4 3 3 5 3 2" xfId="18478"/>
    <cellStyle name="20% - Accent6 4 3 3 5 4" xfId="18479"/>
    <cellStyle name="20% - Accent6 4 3 3 5 5" xfId="18480"/>
    <cellStyle name="20% - Accent6 4 3 3 6" xfId="18481"/>
    <cellStyle name="20% - Accent6 4 3 3 6 2" xfId="18482"/>
    <cellStyle name="20% - Accent6 4 3 3 6 3" xfId="18483"/>
    <cellStyle name="20% - Accent6 4 3 3 7" xfId="18484"/>
    <cellStyle name="20% - Accent6 4 3 3 7 2" xfId="18485"/>
    <cellStyle name="20% - Accent6 4 3 3 7 3" xfId="18486"/>
    <cellStyle name="20% - Accent6 4 3 3 8" xfId="18487"/>
    <cellStyle name="20% - Accent6 4 3 3 8 2" xfId="18488"/>
    <cellStyle name="20% - Accent6 4 3 3 9" xfId="18489"/>
    <cellStyle name="20% - Accent6 4 3 4" xfId="1369"/>
    <cellStyle name="20% - Accent6 4 3 4 2" xfId="18490"/>
    <cellStyle name="20% - Accent6 4 3 4 2 2" xfId="18491"/>
    <cellStyle name="20% - Accent6 4 3 4 2 2 2" xfId="18492"/>
    <cellStyle name="20% - Accent6 4 3 4 2 2 3" xfId="18493"/>
    <cellStyle name="20% - Accent6 4 3 4 2 3" xfId="18494"/>
    <cellStyle name="20% - Accent6 4 3 4 2 3 2" xfId="18495"/>
    <cellStyle name="20% - Accent6 4 3 4 2 3 3" xfId="18496"/>
    <cellStyle name="20% - Accent6 4 3 4 2 4" xfId="18497"/>
    <cellStyle name="20% - Accent6 4 3 4 2 4 2" xfId="18498"/>
    <cellStyle name="20% - Accent6 4 3 4 2 5" xfId="18499"/>
    <cellStyle name="20% - Accent6 4 3 4 2 6" xfId="18500"/>
    <cellStyle name="20% - Accent6 4 3 4 3" xfId="18501"/>
    <cellStyle name="20% - Accent6 4 3 4 3 2" xfId="18502"/>
    <cellStyle name="20% - Accent6 4 3 4 3 2 2" xfId="18503"/>
    <cellStyle name="20% - Accent6 4 3 4 3 2 3" xfId="18504"/>
    <cellStyle name="20% - Accent6 4 3 4 3 3" xfId="18505"/>
    <cellStyle name="20% - Accent6 4 3 4 3 3 2" xfId="18506"/>
    <cellStyle name="20% - Accent6 4 3 4 3 3 3" xfId="18507"/>
    <cellStyle name="20% - Accent6 4 3 4 3 4" xfId="18508"/>
    <cellStyle name="20% - Accent6 4 3 4 3 4 2" xfId="18509"/>
    <cellStyle name="20% - Accent6 4 3 4 3 5" xfId="18510"/>
    <cellStyle name="20% - Accent6 4 3 4 3 6" xfId="18511"/>
    <cellStyle name="20% - Accent6 4 3 4 4" xfId="18512"/>
    <cellStyle name="20% - Accent6 4 3 4 4 2" xfId="18513"/>
    <cellStyle name="20% - Accent6 4 3 4 4 2 2" xfId="18514"/>
    <cellStyle name="20% - Accent6 4 3 4 4 2 3" xfId="18515"/>
    <cellStyle name="20% - Accent6 4 3 4 4 3" xfId="18516"/>
    <cellStyle name="20% - Accent6 4 3 4 4 3 2" xfId="18517"/>
    <cellStyle name="20% - Accent6 4 3 4 4 4" xfId="18518"/>
    <cellStyle name="20% - Accent6 4 3 4 4 5" xfId="18519"/>
    <cellStyle name="20% - Accent6 4 3 4 5" xfId="18520"/>
    <cellStyle name="20% - Accent6 4 3 4 5 2" xfId="18521"/>
    <cellStyle name="20% - Accent6 4 3 4 5 3" xfId="18522"/>
    <cellStyle name="20% - Accent6 4 3 4 6" xfId="18523"/>
    <cellStyle name="20% - Accent6 4 3 4 6 2" xfId="18524"/>
    <cellStyle name="20% - Accent6 4 3 4 6 3" xfId="18525"/>
    <cellStyle name="20% - Accent6 4 3 4 7" xfId="18526"/>
    <cellStyle name="20% - Accent6 4 3 4 7 2" xfId="18527"/>
    <cellStyle name="20% - Accent6 4 3 4 8" xfId="18528"/>
    <cellStyle name="20% - Accent6 4 3 4 9" xfId="18529"/>
    <cellStyle name="20% - Accent6 4 3 5" xfId="18530"/>
    <cellStyle name="20% - Accent6 4 3 5 2" xfId="18531"/>
    <cellStyle name="20% - Accent6 4 3 5 2 2" xfId="18532"/>
    <cellStyle name="20% - Accent6 4 3 5 2 2 2" xfId="18533"/>
    <cellStyle name="20% - Accent6 4 3 5 2 2 3" xfId="18534"/>
    <cellStyle name="20% - Accent6 4 3 5 2 3" xfId="18535"/>
    <cellStyle name="20% - Accent6 4 3 5 2 3 2" xfId="18536"/>
    <cellStyle name="20% - Accent6 4 3 5 2 3 3" xfId="18537"/>
    <cellStyle name="20% - Accent6 4 3 5 2 4" xfId="18538"/>
    <cellStyle name="20% - Accent6 4 3 5 2 4 2" xfId="18539"/>
    <cellStyle name="20% - Accent6 4 3 5 2 5" xfId="18540"/>
    <cellStyle name="20% - Accent6 4 3 5 2 6" xfId="18541"/>
    <cellStyle name="20% - Accent6 4 3 5 3" xfId="18542"/>
    <cellStyle name="20% - Accent6 4 3 5 3 2" xfId="18543"/>
    <cellStyle name="20% - Accent6 4 3 5 3 2 2" xfId="18544"/>
    <cellStyle name="20% - Accent6 4 3 5 3 2 3" xfId="18545"/>
    <cellStyle name="20% - Accent6 4 3 5 3 3" xfId="18546"/>
    <cellStyle name="20% - Accent6 4 3 5 3 3 2" xfId="18547"/>
    <cellStyle name="20% - Accent6 4 3 5 3 3 3" xfId="18548"/>
    <cellStyle name="20% - Accent6 4 3 5 3 4" xfId="18549"/>
    <cellStyle name="20% - Accent6 4 3 5 3 4 2" xfId="18550"/>
    <cellStyle name="20% - Accent6 4 3 5 3 5" xfId="18551"/>
    <cellStyle name="20% - Accent6 4 3 5 3 6" xfId="18552"/>
    <cellStyle name="20% - Accent6 4 3 5 4" xfId="18553"/>
    <cellStyle name="20% - Accent6 4 3 5 4 2" xfId="18554"/>
    <cellStyle name="20% - Accent6 4 3 5 4 2 2" xfId="18555"/>
    <cellStyle name="20% - Accent6 4 3 5 4 2 3" xfId="18556"/>
    <cellStyle name="20% - Accent6 4 3 5 4 3" xfId="18557"/>
    <cellStyle name="20% - Accent6 4 3 5 4 3 2" xfId="18558"/>
    <cellStyle name="20% - Accent6 4 3 5 4 4" xfId="18559"/>
    <cellStyle name="20% - Accent6 4 3 5 4 5" xfId="18560"/>
    <cellStyle name="20% - Accent6 4 3 5 5" xfId="18561"/>
    <cellStyle name="20% - Accent6 4 3 5 5 2" xfId="18562"/>
    <cellStyle name="20% - Accent6 4 3 5 5 3" xfId="18563"/>
    <cellStyle name="20% - Accent6 4 3 5 6" xfId="18564"/>
    <cellStyle name="20% - Accent6 4 3 5 6 2" xfId="18565"/>
    <cellStyle name="20% - Accent6 4 3 5 6 3" xfId="18566"/>
    <cellStyle name="20% - Accent6 4 3 5 7" xfId="18567"/>
    <cellStyle name="20% - Accent6 4 3 5 7 2" xfId="18568"/>
    <cellStyle name="20% - Accent6 4 3 5 8" xfId="18569"/>
    <cellStyle name="20% - Accent6 4 3 5 9" xfId="18570"/>
    <cellStyle name="20% - Accent6 4 3 6" xfId="18571"/>
    <cellStyle name="20% - Accent6 4 3 6 2" xfId="18572"/>
    <cellStyle name="20% - Accent6 4 3 6 2 2" xfId="18573"/>
    <cellStyle name="20% - Accent6 4 3 6 2 3" xfId="18574"/>
    <cellStyle name="20% - Accent6 4 3 6 3" xfId="18575"/>
    <cellStyle name="20% - Accent6 4 3 6 3 2" xfId="18576"/>
    <cellStyle name="20% - Accent6 4 3 6 3 3" xfId="18577"/>
    <cellStyle name="20% - Accent6 4 3 6 4" xfId="18578"/>
    <cellStyle name="20% - Accent6 4 3 6 4 2" xfId="18579"/>
    <cellStyle name="20% - Accent6 4 3 6 5" xfId="18580"/>
    <cellStyle name="20% - Accent6 4 3 6 6" xfId="18581"/>
    <cellStyle name="20% - Accent6 4 3 7" xfId="18582"/>
    <cellStyle name="20% - Accent6 4 3 7 2" xfId="18583"/>
    <cellStyle name="20% - Accent6 4 3 7 2 2" xfId="18584"/>
    <cellStyle name="20% - Accent6 4 3 7 2 3" xfId="18585"/>
    <cellStyle name="20% - Accent6 4 3 7 3" xfId="18586"/>
    <cellStyle name="20% - Accent6 4 3 7 3 2" xfId="18587"/>
    <cellStyle name="20% - Accent6 4 3 7 3 3" xfId="18588"/>
    <cellStyle name="20% - Accent6 4 3 7 4" xfId="18589"/>
    <cellStyle name="20% - Accent6 4 3 7 4 2" xfId="18590"/>
    <cellStyle name="20% - Accent6 4 3 7 5" xfId="18591"/>
    <cellStyle name="20% - Accent6 4 3 7 6" xfId="18592"/>
    <cellStyle name="20% - Accent6 4 3 8" xfId="18593"/>
    <cellStyle name="20% - Accent6 4 3 8 2" xfId="18594"/>
    <cellStyle name="20% - Accent6 4 3 8 2 2" xfId="18595"/>
    <cellStyle name="20% - Accent6 4 3 8 2 3" xfId="18596"/>
    <cellStyle name="20% - Accent6 4 3 8 3" xfId="18597"/>
    <cellStyle name="20% - Accent6 4 3 8 3 2" xfId="18598"/>
    <cellStyle name="20% - Accent6 4 3 8 4" xfId="18599"/>
    <cellStyle name="20% - Accent6 4 3 8 5" xfId="18600"/>
    <cellStyle name="20% - Accent6 4 3 9" xfId="18601"/>
    <cellStyle name="20% - Accent6 4 3 9 2" xfId="18602"/>
    <cellStyle name="20% - Accent6 4 3 9 3" xfId="18603"/>
    <cellStyle name="20% - Accent6 4 4" xfId="1370"/>
    <cellStyle name="20% - Accent6 4 4 10" xfId="18604"/>
    <cellStyle name="20% - Accent6 4 4 10 2" xfId="18605"/>
    <cellStyle name="20% - Accent6 4 4 11" xfId="18606"/>
    <cellStyle name="20% - Accent6 4 4 12" xfId="18607"/>
    <cellStyle name="20% - Accent6 4 4 2" xfId="1371"/>
    <cellStyle name="20% - Accent6 4 4 2 10" xfId="18608"/>
    <cellStyle name="20% - Accent6 4 4 2 2" xfId="1372"/>
    <cellStyle name="20% - Accent6 4 4 2 2 2" xfId="18609"/>
    <cellStyle name="20% - Accent6 4 4 2 2 2 2" xfId="18610"/>
    <cellStyle name="20% - Accent6 4 4 2 2 2 2 2" xfId="18611"/>
    <cellStyle name="20% - Accent6 4 4 2 2 2 2 3" xfId="18612"/>
    <cellStyle name="20% - Accent6 4 4 2 2 2 3" xfId="18613"/>
    <cellStyle name="20% - Accent6 4 4 2 2 2 3 2" xfId="18614"/>
    <cellStyle name="20% - Accent6 4 4 2 2 2 3 3" xfId="18615"/>
    <cellStyle name="20% - Accent6 4 4 2 2 2 4" xfId="18616"/>
    <cellStyle name="20% - Accent6 4 4 2 2 2 4 2" xfId="18617"/>
    <cellStyle name="20% - Accent6 4 4 2 2 2 5" xfId="18618"/>
    <cellStyle name="20% - Accent6 4 4 2 2 2 6" xfId="18619"/>
    <cellStyle name="20% - Accent6 4 4 2 2 3" xfId="18620"/>
    <cellStyle name="20% - Accent6 4 4 2 2 3 2" xfId="18621"/>
    <cellStyle name="20% - Accent6 4 4 2 2 3 2 2" xfId="18622"/>
    <cellStyle name="20% - Accent6 4 4 2 2 3 2 3" xfId="18623"/>
    <cellStyle name="20% - Accent6 4 4 2 2 3 3" xfId="18624"/>
    <cellStyle name="20% - Accent6 4 4 2 2 3 3 2" xfId="18625"/>
    <cellStyle name="20% - Accent6 4 4 2 2 3 3 3" xfId="18626"/>
    <cellStyle name="20% - Accent6 4 4 2 2 3 4" xfId="18627"/>
    <cellStyle name="20% - Accent6 4 4 2 2 3 4 2" xfId="18628"/>
    <cellStyle name="20% - Accent6 4 4 2 2 3 5" xfId="18629"/>
    <cellStyle name="20% - Accent6 4 4 2 2 3 6" xfId="18630"/>
    <cellStyle name="20% - Accent6 4 4 2 2 4" xfId="18631"/>
    <cellStyle name="20% - Accent6 4 4 2 2 4 2" xfId="18632"/>
    <cellStyle name="20% - Accent6 4 4 2 2 4 2 2" xfId="18633"/>
    <cellStyle name="20% - Accent6 4 4 2 2 4 2 3" xfId="18634"/>
    <cellStyle name="20% - Accent6 4 4 2 2 4 3" xfId="18635"/>
    <cellStyle name="20% - Accent6 4 4 2 2 4 3 2" xfId="18636"/>
    <cellStyle name="20% - Accent6 4 4 2 2 4 4" xfId="18637"/>
    <cellStyle name="20% - Accent6 4 4 2 2 4 5" xfId="18638"/>
    <cellStyle name="20% - Accent6 4 4 2 2 5" xfId="18639"/>
    <cellStyle name="20% - Accent6 4 4 2 2 5 2" xfId="18640"/>
    <cellStyle name="20% - Accent6 4 4 2 2 5 3" xfId="18641"/>
    <cellStyle name="20% - Accent6 4 4 2 2 6" xfId="18642"/>
    <cellStyle name="20% - Accent6 4 4 2 2 6 2" xfId="18643"/>
    <cellStyle name="20% - Accent6 4 4 2 2 6 3" xfId="18644"/>
    <cellStyle name="20% - Accent6 4 4 2 2 7" xfId="18645"/>
    <cellStyle name="20% - Accent6 4 4 2 2 7 2" xfId="18646"/>
    <cellStyle name="20% - Accent6 4 4 2 2 8" xfId="18647"/>
    <cellStyle name="20% - Accent6 4 4 2 2 9" xfId="18648"/>
    <cellStyle name="20% - Accent6 4 4 2 3" xfId="18649"/>
    <cellStyle name="20% - Accent6 4 4 2 3 2" xfId="18650"/>
    <cellStyle name="20% - Accent6 4 4 2 3 2 2" xfId="18651"/>
    <cellStyle name="20% - Accent6 4 4 2 3 2 3" xfId="18652"/>
    <cellStyle name="20% - Accent6 4 4 2 3 3" xfId="18653"/>
    <cellStyle name="20% - Accent6 4 4 2 3 3 2" xfId="18654"/>
    <cellStyle name="20% - Accent6 4 4 2 3 3 3" xfId="18655"/>
    <cellStyle name="20% - Accent6 4 4 2 3 4" xfId="18656"/>
    <cellStyle name="20% - Accent6 4 4 2 3 4 2" xfId="18657"/>
    <cellStyle name="20% - Accent6 4 4 2 3 5" xfId="18658"/>
    <cellStyle name="20% - Accent6 4 4 2 3 6" xfId="18659"/>
    <cellStyle name="20% - Accent6 4 4 2 4" xfId="18660"/>
    <cellStyle name="20% - Accent6 4 4 2 4 2" xfId="18661"/>
    <cellStyle name="20% - Accent6 4 4 2 4 2 2" xfId="18662"/>
    <cellStyle name="20% - Accent6 4 4 2 4 2 3" xfId="18663"/>
    <cellStyle name="20% - Accent6 4 4 2 4 3" xfId="18664"/>
    <cellStyle name="20% - Accent6 4 4 2 4 3 2" xfId="18665"/>
    <cellStyle name="20% - Accent6 4 4 2 4 3 3" xfId="18666"/>
    <cellStyle name="20% - Accent6 4 4 2 4 4" xfId="18667"/>
    <cellStyle name="20% - Accent6 4 4 2 4 4 2" xfId="18668"/>
    <cellStyle name="20% - Accent6 4 4 2 4 5" xfId="18669"/>
    <cellStyle name="20% - Accent6 4 4 2 4 6" xfId="18670"/>
    <cellStyle name="20% - Accent6 4 4 2 5" xfId="18671"/>
    <cellStyle name="20% - Accent6 4 4 2 5 2" xfId="18672"/>
    <cellStyle name="20% - Accent6 4 4 2 5 2 2" xfId="18673"/>
    <cellStyle name="20% - Accent6 4 4 2 5 2 3" xfId="18674"/>
    <cellStyle name="20% - Accent6 4 4 2 5 3" xfId="18675"/>
    <cellStyle name="20% - Accent6 4 4 2 5 3 2" xfId="18676"/>
    <cellStyle name="20% - Accent6 4 4 2 5 4" xfId="18677"/>
    <cellStyle name="20% - Accent6 4 4 2 5 5" xfId="18678"/>
    <cellStyle name="20% - Accent6 4 4 2 6" xfId="18679"/>
    <cellStyle name="20% - Accent6 4 4 2 6 2" xfId="18680"/>
    <cellStyle name="20% - Accent6 4 4 2 6 3" xfId="18681"/>
    <cellStyle name="20% - Accent6 4 4 2 7" xfId="18682"/>
    <cellStyle name="20% - Accent6 4 4 2 7 2" xfId="18683"/>
    <cellStyle name="20% - Accent6 4 4 2 7 3" xfId="18684"/>
    <cellStyle name="20% - Accent6 4 4 2 8" xfId="18685"/>
    <cellStyle name="20% - Accent6 4 4 2 8 2" xfId="18686"/>
    <cellStyle name="20% - Accent6 4 4 2 9" xfId="18687"/>
    <cellStyle name="20% - Accent6 4 4 3" xfId="1373"/>
    <cellStyle name="20% - Accent6 4 4 3 2" xfId="18688"/>
    <cellStyle name="20% - Accent6 4 4 3 2 2" xfId="18689"/>
    <cellStyle name="20% - Accent6 4 4 3 2 2 2" xfId="18690"/>
    <cellStyle name="20% - Accent6 4 4 3 2 2 3" xfId="18691"/>
    <cellStyle name="20% - Accent6 4 4 3 2 3" xfId="18692"/>
    <cellStyle name="20% - Accent6 4 4 3 2 3 2" xfId="18693"/>
    <cellStyle name="20% - Accent6 4 4 3 2 3 3" xfId="18694"/>
    <cellStyle name="20% - Accent6 4 4 3 2 4" xfId="18695"/>
    <cellStyle name="20% - Accent6 4 4 3 2 4 2" xfId="18696"/>
    <cellStyle name="20% - Accent6 4 4 3 2 5" xfId="18697"/>
    <cellStyle name="20% - Accent6 4 4 3 2 6" xfId="18698"/>
    <cellStyle name="20% - Accent6 4 4 3 3" xfId="18699"/>
    <cellStyle name="20% - Accent6 4 4 3 3 2" xfId="18700"/>
    <cellStyle name="20% - Accent6 4 4 3 3 2 2" xfId="18701"/>
    <cellStyle name="20% - Accent6 4 4 3 3 2 3" xfId="18702"/>
    <cellStyle name="20% - Accent6 4 4 3 3 3" xfId="18703"/>
    <cellStyle name="20% - Accent6 4 4 3 3 3 2" xfId="18704"/>
    <cellStyle name="20% - Accent6 4 4 3 3 3 3" xfId="18705"/>
    <cellStyle name="20% - Accent6 4 4 3 3 4" xfId="18706"/>
    <cellStyle name="20% - Accent6 4 4 3 3 4 2" xfId="18707"/>
    <cellStyle name="20% - Accent6 4 4 3 3 5" xfId="18708"/>
    <cellStyle name="20% - Accent6 4 4 3 3 6" xfId="18709"/>
    <cellStyle name="20% - Accent6 4 4 3 4" xfId="18710"/>
    <cellStyle name="20% - Accent6 4 4 3 4 2" xfId="18711"/>
    <cellStyle name="20% - Accent6 4 4 3 4 2 2" xfId="18712"/>
    <cellStyle name="20% - Accent6 4 4 3 4 2 3" xfId="18713"/>
    <cellStyle name="20% - Accent6 4 4 3 4 3" xfId="18714"/>
    <cellStyle name="20% - Accent6 4 4 3 4 3 2" xfId="18715"/>
    <cellStyle name="20% - Accent6 4 4 3 4 4" xfId="18716"/>
    <cellStyle name="20% - Accent6 4 4 3 4 5" xfId="18717"/>
    <cellStyle name="20% - Accent6 4 4 3 5" xfId="18718"/>
    <cellStyle name="20% - Accent6 4 4 3 5 2" xfId="18719"/>
    <cellStyle name="20% - Accent6 4 4 3 5 3" xfId="18720"/>
    <cellStyle name="20% - Accent6 4 4 3 6" xfId="18721"/>
    <cellStyle name="20% - Accent6 4 4 3 6 2" xfId="18722"/>
    <cellStyle name="20% - Accent6 4 4 3 6 3" xfId="18723"/>
    <cellStyle name="20% - Accent6 4 4 3 7" xfId="18724"/>
    <cellStyle name="20% - Accent6 4 4 3 7 2" xfId="18725"/>
    <cellStyle name="20% - Accent6 4 4 3 8" xfId="18726"/>
    <cellStyle name="20% - Accent6 4 4 3 9" xfId="18727"/>
    <cellStyle name="20% - Accent6 4 4 4" xfId="18728"/>
    <cellStyle name="20% - Accent6 4 4 4 2" xfId="18729"/>
    <cellStyle name="20% - Accent6 4 4 4 2 2" xfId="18730"/>
    <cellStyle name="20% - Accent6 4 4 4 2 2 2" xfId="18731"/>
    <cellStyle name="20% - Accent6 4 4 4 2 2 3" xfId="18732"/>
    <cellStyle name="20% - Accent6 4 4 4 2 3" xfId="18733"/>
    <cellStyle name="20% - Accent6 4 4 4 2 3 2" xfId="18734"/>
    <cellStyle name="20% - Accent6 4 4 4 2 3 3" xfId="18735"/>
    <cellStyle name="20% - Accent6 4 4 4 2 4" xfId="18736"/>
    <cellStyle name="20% - Accent6 4 4 4 2 4 2" xfId="18737"/>
    <cellStyle name="20% - Accent6 4 4 4 2 5" xfId="18738"/>
    <cellStyle name="20% - Accent6 4 4 4 2 6" xfId="18739"/>
    <cellStyle name="20% - Accent6 4 4 4 3" xfId="18740"/>
    <cellStyle name="20% - Accent6 4 4 4 3 2" xfId="18741"/>
    <cellStyle name="20% - Accent6 4 4 4 3 2 2" xfId="18742"/>
    <cellStyle name="20% - Accent6 4 4 4 3 2 3" xfId="18743"/>
    <cellStyle name="20% - Accent6 4 4 4 3 3" xfId="18744"/>
    <cellStyle name="20% - Accent6 4 4 4 3 3 2" xfId="18745"/>
    <cellStyle name="20% - Accent6 4 4 4 3 3 3" xfId="18746"/>
    <cellStyle name="20% - Accent6 4 4 4 3 4" xfId="18747"/>
    <cellStyle name="20% - Accent6 4 4 4 3 4 2" xfId="18748"/>
    <cellStyle name="20% - Accent6 4 4 4 3 5" xfId="18749"/>
    <cellStyle name="20% - Accent6 4 4 4 3 6" xfId="18750"/>
    <cellStyle name="20% - Accent6 4 4 4 4" xfId="18751"/>
    <cellStyle name="20% - Accent6 4 4 4 4 2" xfId="18752"/>
    <cellStyle name="20% - Accent6 4 4 4 4 2 2" xfId="18753"/>
    <cellStyle name="20% - Accent6 4 4 4 4 2 3" xfId="18754"/>
    <cellStyle name="20% - Accent6 4 4 4 4 3" xfId="18755"/>
    <cellStyle name="20% - Accent6 4 4 4 4 3 2" xfId="18756"/>
    <cellStyle name="20% - Accent6 4 4 4 4 4" xfId="18757"/>
    <cellStyle name="20% - Accent6 4 4 4 4 5" xfId="18758"/>
    <cellStyle name="20% - Accent6 4 4 4 5" xfId="18759"/>
    <cellStyle name="20% - Accent6 4 4 4 5 2" xfId="18760"/>
    <cellStyle name="20% - Accent6 4 4 4 5 3" xfId="18761"/>
    <cellStyle name="20% - Accent6 4 4 4 6" xfId="18762"/>
    <cellStyle name="20% - Accent6 4 4 4 6 2" xfId="18763"/>
    <cellStyle name="20% - Accent6 4 4 4 6 3" xfId="18764"/>
    <cellStyle name="20% - Accent6 4 4 4 7" xfId="18765"/>
    <cellStyle name="20% - Accent6 4 4 4 7 2" xfId="18766"/>
    <cellStyle name="20% - Accent6 4 4 4 8" xfId="18767"/>
    <cellStyle name="20% - Accent6 4 4 4 9" xfId="18768"/>
    <cellStyle name="20% - Accent6 4 4 5" xfId="18769"/>
    <cellStyle name="20% - Accent6 4 4 5 2" xfId="18770"/>
    <cellStyle name="20% - Accent6 4 4 5 2 2" xfId="18771"/>
    <cellStyle name="20% - Accent6 4 4 5 2 3" xfId="18772"/>
    <cellStyle name="20% - Accent6 4 4 5 3" xfId="18773"/>
    <cellStyle name="20% - Accent6 4 4 5 3 2" xfId="18774"/>
    <cellStyle name="20% - Accent6 4 4 5 3 3" xfId="18775"/>
    <cellStyle name="20% - Accent6 4 4 5 4" xfId="18776"/>
    <cellStyle name="20% - Accent6 4 4 5 4 2" xfId="18777"/>
    <cellStyle name="20% - Accent6 4 4 5 5" xfId="18778"/>
    <cellStyle name="20% - Accent6 4 4 5 6" xfId="18779"/>
    <cellStyle name="20% - Accent6 4 4 6" xfId="18780"/>
    <cellStyle name="20% - Accent6 4 4 6 2" xfId="18781"/>
    <cellStyle name="20% - Accent6 4 4 6 2 2" xfId="18782"/>
    <cellStyle name="20% - Accent6 4 4 6 2 3" xfId="18783"/>
    <cellStyle name="20% - Accent6 4 4 6 3" xfId="18784"/>
    <cellStyle name="20% - Accent6 4 4 6 3 2" xfId="18785"/>
    <cellStyle name="20% - Accent6 4 4 6 3 3" xfId="18786"/>
    <cellStyle name="20% - Accent6 4 4 6 4" xfId="18787"/>
    <cellStyle name="20% - Accent6 4 4 6 4 2" xfId="18788"/>
    <cellStyle name="20% - Accent6 4 4 6 5" xfId="18789"/>
    <cellStyle name="20% - Accent6 4 4 6 6" xfId="18790"/>
    <cellStyle name="20% - Accent6 4 4 7" xfId="18791"/>
    <cellStyle name="20% - Accent6 4 4 7 2" xfId="18792"/>
    <cellStyle name="20% - Accent6 4 4 7 2 2" xfId="18793"/>
    <cellStyle name="20% - Accent6 4 4 7 2 3" xfId="18794"/>
    <cellStyle name="20% - Accent6 4 4 7 3" xfId="18795"/>
    <cellStyle name="20% - Accent6 4 4 7 3 2" xfId="18796"/>
    <cellStyle name="20% - Accent6 4 4 7 4" xfId="18797"/>
    <cellStyle name="20% - Accent6 4 4 7 5" xfId="18798"/>
    <cellStyle name="20% - Accent6 4 4 8" xfId="18799"/>
    <cellStyle name="20% - Accent6 4 4 8 2" xfId="18800"/>
    <cellStyle name="20% - Accent6 4 4 8 3" xfId="18801"/>
    <cellStyle name="20% - Accent6 4 4 9" xfId="18802"/>
    <cellStyle name="20% - Accent6 4 4 9 2" xfId="18803"/>
    <cellStyle name="20% - Accent6 4 4 9 3" xfId="18804"/>
    <cellStyle name="20% - Accent6 4 5" xfId="1374"/>
    <cellStyle name="20% - Accent6 4 5 10" xfId="18805"/>
    <cellStyle name="20% - Accent6 4 5 2" xfId="1375"/>
    <cellStyle name="20% - Accent6 4 5 2 2" xfId="18806"/>
    <cellStyle name="20% - Accent6 4 5 2 2 2" xfId="18807"/>
    <cellStyle name="20% - Accent6 4 5 2 2 2 2" xfId="18808"/>
    <cellStyle name="20% - Accent6 4 5 2 2 2 3" xfId="18809"/>
    <cellStyle name="20% - Accent6 4 5 2 2 3" xfId="18810"/>
    <cellStyle name="20% - Accent6 4 5 2 2 3 2" xfId="18811"/>
    <cellStyle name="20% - Accent6 4 5 2 2 3 3" xfId="18812"/>
    <cellStyle name="20% - Accent6 4 5 2 2 4" xfId="18813"/>
    <cellStyle name="20% - Accent6 4 5 2 2 4 2" xfId="18814"/>
    <cellStyle name="20% - Accent6 4 5 2 2 5" xfId="18815"/>
    <cellStyle name="20% - Accent6 4 5 2 2 6" xfId="18816"/>
    <cellStyle name="20% - Accent6 4 5 2 3" xfId="18817"/>
    <cellStyle name="20% - Accent6 4 5 2 3 2" xfId="18818"/>
    <cellStyle name="20% - Accent6 4 5 2 3 2 2" xfId="18819"/>
    <cellStyle name="20% - Accent6 4 5 2 3 2 3" xfId="18820"/>
    <cellStyle name="20% - Accent6 4 5 2 3 3" xfId="18821"/>
    <cellStyle name="20% - Accent6 4 5 2 3 3 2" xfId="18822"/>
    <cellStyle name="20% - Accent6 4 5 2 3 3 3" xfId="18823"/>
    <cellStyle name="20% - Accent6 4 5 2 3 4" xfId="18824"/>
    <cellStyle name="20% - Accent6 4 5 2 3 4 2" xfId="18825"/>
    <cellStyle name="20% - Accent6 4 5 2 3 5" xfId="18826"/>
    <cellStyle name="20% - Accent6 4 5 2 3 6" xfId="18827"/>
    <cellStyle name="20% - Accent6 4 5 2 4" xfId="18828"/>
    <cellStyle name="20% - Accent6 4 5 2 4 2" xfId="18829"/>
    <cellStyle name="20% - Accent6 4 5 2 4 2 2" xfId="18830"/>
    <cellStyle name="20% - Accent6 4 5 2 4 2 3" xfId="18831"/>
    <cellStyle name="20% - Accent6 4 5 2 4 3" xfId="18832"/>
    <cellStyle name="20% - Accent6 4 5 2 4 3 2" xfId="18833"/>
    <cellStyle name="20% - Accent6 4 5 2 4 4" xfId="18834"/>
    <cellStyle name="20% - Accent6 4 5 2 4 5" xfId="18835"/>
    <cellStyle name="20% - Accent6 4 5 2 5" xfId="18836"/>
    <cellStyle name="20% - Accent6 4 5 2 5 2" xfId="18837"/>
    <cellStyle name="20% - Accent6 4 5 2 5 3" xfId="18838"/>
    <cellStyle name="20% - Accent6 4 5 2 6" xfId="18839"/>
    <cellStyle name="20% - Accent6 4 5 2 6 2" xfId="18840"/>
    <cellStyle name="20% - Accent6 4 5 2 6 3" xfId="18841"/>
    <cellStyle name="20% - Accent6 4 5 2 7" xfId="18842"/>
    <cellStyle name="20% - Accent6 4 5 2 7 2" xfId="18843"/>
    <cellStyle name="20% - Accent6 4 5 2 8" xfId="18844"/>
    <cellStyle name="20% - Accent6 4 5 2 9" xfId="18845"/>
    <cellStyle name="20% - Accent6 4 5 3" xfId="18846"/>
    <cellStyle name="20% - Accent6 4 5 3 2" xfId="18847"/>
    <cellStyle name="20% - Accent6 4 5 3 2 2" xfId="18848"/>
    <cellStyle name="20% - Accent6 4 5 3 2 3" xfId="18849"/>
    <cellStyle name="20% - Accent6 4 5 3 3" xfId="18850"/>
    <cellStyle name="20% - Accent6 4 5 3 3 2" xfId="18851"/>
    <cellStyle name="20% - Accent6 4 5 3 3 3" xfId="18852"/>
    <cellStyle name="20% - Accent6 4 5 3 4" xfId="18853"/>
    <cellStyle name="20% - Accent6 4 5 3 4 2" xfId="18854"/>
    <cellStyle name="20% - Accent6 4 5 3 5" xfId="18855"/>
    <cellStyle name="20% - Accent6 4 5 3 6" xfId="18856"/>
    <cellStyle name="20% - Accent6 4 5 4" xfId="18857"/>
    <cellStyle name="20% - Accent6 4 5 4 2" xfId="18858"/>
    <cellStyle name="20% - Accent6 4 5 4 2 2" xfId="18859"/>
    <cellStyle name="20% - Accent6 4 5 4 2 3" xfId="18860"/>
    <cellStyle name="20% - Accent6 4 5 4 3" xfId="18861"/>
    <cellStyle name="20% - Accent6 4 5 4 3 2" xfId="18862"/>
    <cellStyle name="20% - Accent6 4 5 4 3 3" xfId="18863"/>
    <cellStyle name="20% - Accent6 4 5 4 4" xfId="18864"/>
    <cellStyle name="20% - Accent6 4 5 4 4 2" xfId="18865"/>
    <cellStyle name="20% - Accent6 4 5 4 5" xfId="18866"/>
    <cellStyle name="20% - Accent6 4 5 4 6" xfId="18867"/>
    <cellStyle name="20% - Accent6 4 5 5" xfId="18868"/>
    <cellStyle name="20% - Accent6 4 5 5 2" xfId="18869"/>
    <cellStyle name="20% - Accent6 4 5 5 2 2" xfId="18870"/>
    <cellStyle name="20% - Accent6 4 5 5 2 3" xfId="18871"/>
    <cellStyle name="20% - Accent6 4 5 5 3" xfId="18872"/>
    <cellStyle name="20% - Accent6 4 5 5 3 2" xfId="18873"/>
    <cellStyle name="20% - Accent6 4 5 5 4" xfId="18874"/>
    <cellStyle name="20% - Accent6 4 5 5 5" xfId="18875"/>
    <cellStyle name="20% - Accent6 4 5 6" xfId="18876"/>
    <cellStyle name="20% - Accent6 4 5 6 2" xfId="18877"/>
    <cellStyle name="20% - Accent6 4 5 6 3" xfId="18878"/>
    <cellStyle name="20% - Accent6 4 5 7" xfId="18879"/>
    <cellStyle name="20% - Accent6 4 5 7 2" xfId="18880"/>
    <cellStyle name="20% - Accent6 4 5 7 3" xfId="18881"/>
    <cellStyle name="20% - Accent6 4 5 8" xfId="18882"/>
    <cellStyle name="20% - Accent6 4 5 8 2" xfId="18883"/>
    <cellStyle name="20% - Accent6 4 5 9" xfId="18884"/>
    <cellStyle name="20% - Accent6 4 6" xfId="1376"/>
    <cellStyle name="20% - Accent6 4 6 2" xfId="18885"/>
    <cellStyle name="20% - Accent6 4 6 2 2" xfId="18886"/>
    <cellStyle name="20% - Accent6 4 6 2 2 2" xfId="18887"/>
    <cellStyle name="20% - Accent6 4 6 2 2 3" xfId="18888"/>
    <cellStyle name="20% - Accent6 4 6 2 3" xfId="18889"/>
    <cellStyle name="20% - Accent6 4 6 2 3 2" xfId="18890"/>
    <cellStyle name="20% - Accent6 4 6 2 3 3" xfId="18891"/>
    <cellStyle name="20% - Accent6 4 6 2 4" xfId="18892"/>
    <cellStyle name="20% - Accent6 4 6 2 4 2" xfId="18893"/>
    <cellStyle name="20% - Accent6 4 6 2 5" xfId="18894"/>
    <cellStyle name="20% - Accent6 4 6 2 6" xfId="18895"/>
    <cellStyle name="20% - Accent6 4 6 3" xfId="18896"/>
    <cellStyle name="20% - Accent6 4 6 3 2" xfId="18897"/>
    <cellStyle name="20% - Accent6 4 6 3 2 2" xfId="18898"/>
    <cellStyle name="20% - Accent6 4 6 3 2 3" xfId="18899"/>
    <cellStyle name="20% - Accent6 4 6 3 3" xfId="18900"/>
    <cellStyle name="20% - Accent6 4 6 3 3 2" xfId="18901"/>
    <cellStyle name="20% - Accent6 4 6 3 3 3" xfId="18902"/>
    <cellStyle name="20% - Accent6 4 6 3 4" xfId="18903"/>
    <cellStyle name="20% - Accent6 4 6 3 4 2" xfId="18904"/>
    <cellStyle name="20% - Accent6 4 6 3 5" xfId="18905"/>
    <cellStyle name="20% - Accent6 4 6 3 6" xfId="18906"/>
    <cellStyle name="20% - Accent6 4 6 4" xfId="18907"/>
    <cellStyle name="20% - Accent6 4 6 4 2" xfId="18908"/>
    <cellStyle name="20% - Accent6 4 6 4 2 2" xfId="18909"/>
    <cellStyle name="20% - Accent6 4 6 4 2 3" xfId="18910"/>
    <cellStyle name="20% - Accent6 4 6 4 3" xfId="18911"/>
    <cellStyle name="20% - Accent6 4 6 4 3 2" xfId="18912"/>
    <cellStyle name="20% - Accent6 4 6 4 4" xfId="18913"/>
    <cellStyle name="20% - Accent6 4 6 4 5" xfId="18914"/>
    <cellStyle name="20% - Accent6 4 6 5" xfId="18915"/>
    <cellStyle name="20% - Accent6 4 6 5 2" xfId="18916"/>
    <cellStyle name="20% - Accent6 4 6 5 3" xfId="18917"/>
    <cellStyle name="20% - Accent6 4 6 6" xfId="18918"/>
    <cellStyle name="20% - Accent6 4 6 6 2" xfId="18919"/>
    <cellStyle name="20% - Accent6 4 6 6 3" xfId="18920"/>
    <cellStyle name="20% - Accent6 4 6 7" xfId="18921"/>
    <cellStyle name="20% - Accent6 4 6 7 2" xfId="18922"/>
    <cellStyle name="20% - Accent6 4 6 8" xfId="18923"/>
    <cellStyle name="20% - Accent6 4 6 9" xfId="18924"/>
    <cellStyle name="20% - Accent6 4 7" xfId="8978"/>
    <cellStyle name="20% - Accent6 4 7 2" xfId="18925"/>
    <cellStyle name="20% - Accent6 4 7 2 2" xfId="18926"/>
    <cellStyle name="20% - Accent6 4 7 2 2 2" xfId="18927"/>
    <cellStyle name="20% - Accent6 4 7 2 2 3" xfId="18928"/>
    <cellStyle name="20% - Accent6 4 7 2 3" xfId="18929"/>
    <cellStyle name="20% - Accent6 4 7 2 3 2" xfId="18930"/>
    <cellStyle name="20% - Accent6 4 7 2 3 3" xfId="18931"/>
    <cellStyle name="20% - Accent6 4 7 2 4" xfId="18932"/>
    <cellStyle name="20% - Accent6 4 7 2 4 2" xfId="18933"/>
    <cellStyle name="20% - Accent6 4 7 2 5" xfId="18934"/>
    <cellStyle name="20% - Accent6 4 7 2 6" xfId="18935"/>
    <cellStyle name="20% - Accent6 4 7 3" xfId="18936"/>
    <cellStyle name="20% - Accent6 4 7 3 2" xfId="18937"/>
    <cellStyle name="20% - Accent6 4 7 3 2 2" xfId="18938"/>
    <cellStyle name="20% - Accent6 4 7 3 2 3" xfId="18939"/>
    <cellStyle name="20% - Accent6 4 7 3 3" xfId="18940"/>
    <cellStyle name="20% - Accent6 4 7 3 3 2" xfId="18941"/>
    <cellStyle name="20% - Accent6 4 7 3 3 3" xfId="18942"/>
    <cellStyle name="20% - Accent6 4 7 3 4" xfId="18943"/>
    <cellStyle name="20% - Accent6 4 7 3 4 2" xfId="18944"/>
    <cellStyle name="20% - Accent6 4 7 3 5" xfId="18945"/>
    <cellStyle name="20% - Accent6 4 7 3 6" xfId="18946"/>
    <cellStyle name="20% - Accent6 4 7 4" xfId="18947"/>
    <cellStyle name="20% - Accent6 4 7 4 2" xfId="18948"/>
    <cellStyle name="20% - Accent6 4 7 4 2 2" xfId="18949"/>
    <cellStyle name="20% - Accent6 4 7 4 2 3" xfId="18950"/>
    <cellStyle name="20% - Accent6 4 7 4 3" xfId="18951"/>
    <cellStyle name="20% - Accent6 4 7 4 3 2" xfId="18952"/>
    <cellStyle name="20% - Accent6 4 7 4 4" xfId="18953"/>
    <cellStyle name="20% - Accent6 4 7 4 5" xfId="18954"/>
    <cellStyle name="20% - Accent6 4 7 5" xfId="18955"/>
    <cellStyle name="20% - Accent6 4 7 5 2" xfId="18956"/>
    <cellStyle name="20% - Accent6 4 7 5 3" xfId="18957"/>
    <cellStyle name="20% - Accent6 4 7 6" xfId="18958"/>
    <cellStyle name="20% - Accent6 4 7 6 2" xfId="18959"/>
    <cellStyle name="20% - Accent6 4 7 6 3" xfId="18960"/>
    <cellStyle name="20% - Accent6 4 7 7" xfId="18961"/>
    <cellStyle name="20% - Accent6 4 7 7 2" xfId="18962"/>
    <cellStyle name="20% - Accent6 4 7 8" xfId="18963"/>
    <cellStyle name="20% - Accent6 4 7 9" xfId="18964"/>
    <cellStyle name="20% - Accent6 4 8" xfId="18965"/>
    <cellStyle name="20% - Accent6 4 8 2" xfId="18966"/>
    <cellStyle name="20% - Accent6 4 8 2 2" xfId="18967"/>
    <cellStyle name="20% - Accent6 4 8 2 3" xfId="18968"/>
    <cellStyle name="20% - Accent6 4 8 3" xfId="18969"/>
    <cellStyle name="20% - Accent6 4 8 3 2" xfId="18970"/>
    <cellStyle name="20% - Accent6 4 8 3 3" xfId="18971"/>
    <cellStyle name="20% - Accent6 4 8 4" xfId="18972"/>
    <cellStyle name="20% - Accent6 4 8 4 2" xfId="18973"/>
    <cellStyle name="20% - Accent6 4 8 5" xfId="18974"/>
    <cellStyle name="20% - Accent6 4 8 6" xfId="18975"/>
    <cellStyle name="20% - Accent6 4 9" xfId="18976"/>
    <cellStyle name="20% - Accent6 4 9 2" xfId="18977"/>
    <cellStyle name="20% - Accent6 4 9 2 2" xfId="18978"/>
    <cellStyle name="20% - Accent6 4 9 2 3" xfId="18979"/>
    <cellStyle name="20% - Accent6 4 9 3" xfId="18980"/>
    <cellStyle name="20% - Accent6 4 9 3 2" xfId="18981"/>
    <cellStyle name="20% - Accent6 4 9 3 3" xfId="18982"/>
    <cellStyle name="20% - Accent6 4 9 4" xfId="18983"/>
    <cellStyle name="20% - Accent6 4 9 4 2" xfId="18984"/>
    <cellStyle name="20% - Accent6 4 9 5" xfId="18985"/>
    <cellStyle name="20% - Accent6 4 9 6" xfId="18986"/>
    <cellStyle name="20% - Accent6 5" xfId="1377"/>
    <cellStyle name="20% - Accent6 5 2" xfId="1378"/>
    <cellStyle name="20% - Accent6 5 2 2" xfId="1379"/>
    <cellStyle name="20% - Accent6 5 2 2 2" xfId="1380"/>
    <cellStyle name="20% - Accent6 5 2 2 2 2" xfId="1381"/>
    <cellStyle name="20% - Accent6 5 2 2 3" xfId="1382"/>
    <cellStyle name="20% - Accent6 5 2 3" xfId="1383"/>
    <cellStyle name="20% - Accent6 5 2 3 2" xfId="1384"/>
    <cellStyle name="20% - Accent6 5 2 4" xfId="1385"/>
    <cellStyle name="20% - Accent6 5 2 5" xfId="58154"/>
    <cellStyle name="20% - Accent6 5 3" xfId="1386"/>
    <cellStyle name="20% - Accent6 5 3 2" xfId="1387"/>
    <cellStyle name="20% - Accent6 5 3 2 2" xfId="1388"/>
    <cellStyle name="20% - Accent6 5 3 3" xfId="1389"/>
    <cellStyle name="20% - Accent6 5 4" xfId="1390"/>
    <cellStyle name="20% - Accent6 5 4 2" xfId="1391"/>
    <cellStyle name="20% - Accent6 5 5" xfId="1392"/>
    <cellStyle name="20% - Accent6 5 6" xfId="8979"/>
    <cellStyle name="20% - Accent6 6" xfId="1393"/>
    <cellStyle name="20% - Accent6 6 2" xfId="1394"/>
    <cellStyle name="20% - Accent6 6 2 2" xfId="1395"/>
    <cellStyle name="20% - Accent6 6 2 2 2" xfId="1396"/>
    <cellStyle name="20% - Accent6 6 2 3" xfId="1397"/>
    <cellStyle name="20% - Accent6 6 2 4" xfId="58155"/>
    <cellStyle name="20% - Accent6 6 2 5" xfId="58156"/>
    <cellStyle name="20% - Accent6 6 3" xfId="1398"/>
    <cellStyle name="20% - Accent6 6 3 2" xfId="1399"/>
    <cellStyle name="20% - Accent6 6 4" xfId="1400"/>
    <cellStyle name="20% - Accent6 6 5" xfId="58157"/>
    <cellStyle name="20% - Accent6 7" xfId="1401"/>
    <cellStyle name="20% - Accent6 7 2" xfId="1402"/>
    <cellStyle name="20% - Accent6 7 2 2" xfId="1403"/>
    <cellStyle name="20% - Accent6 7 2 2 2" xfId="1404"/>
    <cellStyle name="20% - Accent6 7 2 3" xfId="1405"/>
    <cellStyle name="20% - Accent6 7 3" xfId="1406"/>
    <cellStyle name="20% - Accent6 7 3 2" xfId="1407"/>
    <cellStyle name="20% - Accent6 7 4" xfId="1408"/>
    <cellStyle name="20% - Accent6 7 5" xfId="58158"/>
    <cellStyle name="20% - Accent6 8" xfId="1409"/>
    <cellStyle name="20% - Accent6 8 2" xfId="1410"/>
    <cellStyle name="20% - Accent6 8 2 2" xfId="1411"/>
    <cellStyle name="20% - Accent6 8 2 2 2" xfId="1412"/>
    <cellStyle name="20% - Accent6 8 2 3" xfId="1413"/>
    <cellStyle name="20% - Accent6 8 3" xfId="1414"/>
    <cellStyle name="20% - Accent6 8 3 2" xfId="1415"/>
    <cellStyle name="20% - Accent6 8 4" xfId="1416"/>
    <cellStyle name="20% - Accent6 8 5" xfId="58159"/>
    <cellStyle name="20% - Accent6 9" xfId="1417"/>
    <cellStyle name="20% - Accent6 9 2" xfId="1418"/>
    <cellStyle name="20% - Accent6 9 2 2" xfId="1419"/>
    <cellStyle name="20% - Accent6 9 3" xfId="1420"/>
    <cellStyle name="20% - Accent6 9 4" xfId="58160"/>
    <cellStyle name="40% - Accent1 10" xfId="1421"/>
    <cellStyle name="40% - Accent1 10 2" xfId="1422"/>
    <cellStyle name="40% - Accent1 10 2 2" xfId="1423"/>
    <cellStyle name="40% - Accent1 10 3" xfId="1424"/>
    <cellStyle name="40% - Accent1 10 4" xfId="58161"/>
    <cellStyle name="40% - Accent1 11" xfId="1425"/>
    <cellStyle name="40% - Accent1 11 2" xfId="1426"/>
    <cellStyle name="40% - Accent1 11 2 2" xfId="1427"/>
    <cellStyle name="40% - Accent1 11 3" xfId="1428"/>
    <cellStyle name="40% - Accent1 11 4" xfId="58162"/>
    <cellStyle name="40% - Accent1 12" xfId="1429"/>
    <cellStyle name="40% - Accent1 12 2" xfId="1430"/>
    <cellStyle name="40% - Accent1 12 3" xfId="58163"/>
    <cellStyle name="40% - Accent1 13" xfId="1431"/>
    <cellStyle name="40% - Accent1 13 2" xfId="58164"/>
    <cellStyle name="40% - Accent1 14" xfId="8980"/>
    <cellStyle name="40% - Accent1 15" xfId="18987"/>
    <cellStyle name="40% - Accent1 16" xfId="18988"/>
    <cellStyle name="40% - Accent1 17" xfId="18989"/>
    <cellStyle name="40% - Accent1 17 2" xfId="58165"/>
    <cellStyle name="40% - Accent1 18" xfId="58166"/>
    <cellStyle name="40% - Accent1 19" xfId="58167"/>
    <cellStyle name="40% - Accent1 2" xfId="1432"/>
    <cellStyle name="40% - Accent1 2 2" xfId="1433"/>
    <cellStyle name="40% - Accent1 2 2 2" xfId="1434"/>
    <cellStyle name="40% - Accent1 2 2 2 2" xfId="1435"/>
    <cellStyle name="40% - Accent1 2 2 2 2 2" xfId="1436"/>
    <cellStyle name="40% - Accent1 2 2 2 2 2 2" xfId="1437"/>
    <cellStyle name="40% - Accent1 2 2 2 2 2 2 2" xfId="1438"/>
    <cellStyle name="40% - Accent1 2 2 2 2 2 3" xfId="1439"/>
    <cellStyle name="40% - Accent1 2 2 2 2 3" xfId="1440"/>
    <cellStyle name="40% - Accent1 2 2 2 2 3 2" xfId="1441"/>
    <cellStyle name="40% - Accent1 2 2 2 2 4" xfId="1442"/>
    <cellStyle name="40% - Accent1 2 2 2 2 5" xfId="58168"/>
    <cellStyle name="40% - Accent1 2 2 2 3" xfId="1443"/>
    <cellStyle name="40% - Accent1 2 2 2 3 2" xfId="1444"/>
    <cellStyle name="40% - Accent1 2 2 2 3 2 2" xfId="1445"/>
    <cellStyle name="40% - Accent1 2 2 2 3 3" xfId="1446"/>
    <cellStyle name="40% - Accent1 2 2 2 4" xfId="1447"/>
    <cellStyle name="40% - Accent1 2 2 2 4 2" xfId="1448"/>
    <cellStyle name="40% - Accent1 2 2 2 5" xfId="1449"/>
    <cellStyle name="40% - Accent1 2 2 2 6" xfId="58169"/>
    <cellStyle name="40% - Accent1 2 2 3" xfId="1450"/>
    <cellStyle name="40% - Accent1 2 2 3 2" xfId="1451"/>
    <cellStyle name="40% - Accent1 2 2 3 2 2" xfId="1452"/>
    <cellStyle name="40% - Accent1 2 2 3 2 2 2" xfId="1453"/>
    <cellStyle name="40% - Accent1 2 2 3 2 3" xfId="1454"/>
    <cellStyle name="40% - Accent1 2 2 3 3" xfId="1455"/>
    <cellStyle name="40% - Accent1 2 2 3 3 2" xfId="1456"/>
    <cellStyle name="40% - Accent1 2 2 3 4" xfId="1457"/>
    <cellStyle name="40% - Accent1 2 2 3 5" xfId="58170"/>
    <cellStyle name="40% - Accent1 2 2 4" xfId="1458"/>
    <cellStyle name="40% - Accent1 2 2 4 2" xfId="1459"/>
    <cellStyle name="40% - Accent1 2 2 4 2 2" xfId="1460"/>
    <cellStyle name="40% - Accent1 2 2 4 3" xfId="1461"/>
    <cellStyle name="40% - Accent1 2 2 5" xfId="1462"/>
    <cellStyle name="40% - Accent1 2 2 5 2" xfId="1463"/>
    <cellStyle name="40% - Accent1 2 2 6" xfId="1464"/>
    <cellStyle name="40% - Accent1 2 2 7" xfId="58171"/>
    <cellStyle name="40% - Accent1 2 3" xfId="1465"/>
    <cellStyle name="40% - Accent1 2 3 2" xfId="1466"/>
    <cellStyle name="40% - Accent1 2 3 2 2" xfId="1467"/>
    <cellStyle name="40% - Accent1 2 3 2 2 2" xfId="1468"/>
    <cellStyle name="40% - Accent1 2 3 2 2 2 2" xfId="1469"/>
    <cellStyle name="40% - Accent1 2 3 2 2 3" xfId="1470"/>
    <cellStyle name="40% - Accent1 2 3 2 3" xfId="1471"/>
    <cellStyle name="40% - Accent1 2 3 2 3 2" xfId="1472"/>
    <cellStyle name="40% - Accent1 2 3 2 4" xfId="1473"/>
    <cellStyle name="40% - Accent1 2 3 3" xfId="1474"/>
    <cellStyle name="40% - Accent1 2 3 3 2" xfId="1475"/>
    <cellStyle name="40% - Accent1 2 3 3 2 2" xfId="1476"/>
    <cellStyle name="40% - Accent1 2 3 3 3" xfId="1477"/>
    <cellStyle name="40% - Accent1 2 3 4" xfId="1478"/>
    <cellStyle name="40% - Accent1 2 3 4 2" xfId="1479"/>
    <cellStyle name="40% - Accent1 2 3 5" xfId="1480"/>
    <cellStyle name="40% - Accent1 2 3 6" xfId="58172"/>
    <cellStyle name="40% - Accent1 2 4" xfId="1481"/>
    <cellStyle name="40% - Accent1 2 4 2" xfId="1482"/>
    <cellStyle name="40% - Accent1 2 4 2 2" xfId="1483"/>
    <cellStyle name="40% - Accent1 2 4 2 2 2" xfId="1484"/>
    <cellStyle name="40% - Accent1 2 4 2 3" xfId="1485"/>
    <cellStyle name="40% - Accent1 2 4 3" xfId="1486"/>
    <cellStyle name="40% - Accent1 2 4 3 2" xfId="1487"/>
    <cellStyle name="40% - Accent1 2 4 4" xfId="1488"/>
    <cellStyle name="40% - Accent1 2 4 5" xfId="58173"/>
    <cellStyle name="40% - Accent1 2 5" xfId="1489"/>
    <cellStyle name="40% - Accent1 2 5 2" xfId="1490"/>
    <cellStyle name="40% - Accent1 2 5 2 2" xfId="1491"/>
    <cellStyle name="40% - Accent1 2 5 3" xfId="1492"/>
    <cellStyle name="40% - Accent1 2 5 4" xfId="58174"/>
    <cellStyle name="40% - Accent1 2 6" xfId="1493"/>
    <cellStyle name="40% - Accent1 2 6 2" xfId="1494"/>
    <cellStyle name="40% - Accent1 2 6 3" xfId="58175"/>
    <cellStyle name="40% - Accent1 2 7" xfId="1495"/>
    <cellStyle name="40% - Accent1 2 8" xfId="1496"/>
    <cellStyle name="40% - Accent1 2 9" xfId="58176"/>
    <cellStyle name="40% - Accent1 20" xfId="58177"/>
    <cellStyle name="40% - Accent1 21" xfId="58178"/>
    <cellStyle name="40% - Accent1 3" xfId="1497"/>
    <cellStyle name="40% - Accent1 3 2" xfId="1498"/>
    <cellStyle name="40% - Accent1 3 2 2" xfId="1499"/>
    <cellStyle name="40% - Accent1 3 2 2 2" xfId="1500"/>
    <cellStyle name="40% - Accent1 3 2 2 2 2" xfId="1501"/>
    <cellStyle name="40% - Accent1 3 2 2 2 2 2" xfId="1502"/>
    <cellStyle name="40% - Accent1 3 2 2 2 2 2 2" xfId="1503"/>
    <cellStyle name="40% - Accent1 3 2 2 2 2 3" xfId="1504"/>
    <cellStyle name="40% - Accent1 3 2 2 2 3" xfId="1505"/>
    <cellStyle name="40% - Accent1 3 2 2 2 3 2" xfId="1506"/>
    <cellStyle name="40% - Accent1 3 2 2 2 4" xfId="1507"/>
    <cellStyle name="40% - Accent1 3 2 2 2 5" xfId="8981"/>
    <cellStyle name="40% - Accent1 3 2 2 3" xfId="1508"/>
    <cellStyle name="40% - Accent1 3 2 2 3 2" xfId="1509"/>
    <cellStyle name="40% - Accent1 3 2 2 3 2 2" xfId="1510"/>
    <cellStyle name="40% - Accent1 3 2 2 3 3" xfId="1511"/>
    <cellStyle name="40% - Accent1 3 2 2 4" xfId="1512"/>
    <cellStyle name="40% - Accent1 3 2 2 4 2" xfId="1513"/>
    <cellStyle name="40% - Accent1 3 2 2 5" xfId="1514"/>
    <cellStyle name="40% - Accent1 3 2 2 6" xfId="8982"/>
    <cellStyle name="40% - Accent1 3 2 3" xfId="1515"/>
    <cellStyle name="40% - Accent1 3 2 3 2" xfId="1516"/>
    <cellStyle name="40% - Accent1 3 2 3 2 2" xfId="1517"/>
    <cellStyle name="40% - Accent1 3 2 3 2 2 2" xfId="1518"/>
    <cellStyle name="40% - Accent1 3 2 3 2 3" xfId="1519"/>
    <cellStyle name="40% - Accent1 3 2 3 3" xfId="1520"/>
    <cellStyle name="40% - Accent1 3 2 3 3 2" xfId="1521"/>
    <cellStyle name="40% - Accent1 3 2 3 4" xfId="1522"/>
    <cellStyle name="40% - Accent1 3 2 3 5" xfId="8983"/>
    <cellStyle name="40% - Accent1 3 2 4" xfId="1523"/>
    <cellStyle name="40% - Accent1 3 2 4 2" xfId="1524"/>
    <cellStyle name="40% - Accent1 3 2 4 2 2" xfId="1525"/>
    <cellStyle name="40% - Accent1 3 2 4 3" xfId="1526"/>
    <cellStyle name="40% - Accent1 3 2 5" xfId="1527"/>
    <cellStyle name="40% - Accent1 3 2 5 2" xfId="1528"/>
    <cellStyle name="40% - Accent1 3 2 6" xfId="1529"/>
    <cellStyle name="40% - Accent1 3 2 7" xfId="8984"/>
    <cellStyle name="40% - Accent1 3 3" xfId="1530"/>
    <cellStyle name="40% - Accent1 3 3 2" xfId="1531"/>
    <cellStyle name="40% - Accent1 3 3 2 2" xfId="1532"/>
    <cellStyle name="40% - Accent1 3 3 2 2 2" xfId="1533"/>
    <cellStyle name="40% - Accent1 3 3 2 2 2 2" xfId="1534"/>
    <cellStyle name="40% - Accent1 3 3 2 2 3" xfId="1535"/>
    <cellStyle name="40% - Accent1 3 3 2 3" xfId="1536"/>
    <cellStyle name="40% - Accent1 3 3 2 3 2" xfId="1537"/>
    <cellStyle name="40% - Accent1 3 3 2 4" xfId="1538"/>
    <cellStyle name="40% - Accent1 3 3 2 5" xfId="8985"/>
    <cellStyle name="40% - Accent1 3 3 3" xfId="1539"/>
    <cellStyle name="40% - Accent1 3 3 3 2" xfId="1540"/>
    <cellStyle name="40% - Accent1 3 3 3 2 2" xfId="1541"/>
    <cellStyle name="40% - Accent1 3 3 3 3" xfId="1542"/>
    <cellStyle name="40% - Accent1 3 3 4" xfId="1543"/>
    <cellStyle name="40% - Accent1 3 3 4 2" xfId="1544"/>
    <cellStyle name="40% - Accent1 3 3 5" xfId="1545"/>
    <cellStyle name="40% - Accent1 3 3 6" xfId="8986"/>
    <cellStyle name="40% - Accent1 3 4" xfId="1546"/>
    <cellStyle name="40% - Accent1 3 4 2" xfId="1547"/>
    <cellStyle name="40% - Accent1 3 4 2 2" xfId="1548"/>
    <cellStyle name="40% - Accent1 3 4 2 2 2" xfId="1549"/>
    <cellStyle name="40% - Accent1 3 4 2 3" xfId="1550"/>
    <cellStyle name="40% - Accent1 3 4 3" xfId="1551"/>
    <cellStyle name="40% - Accent1 3 4 3 2" xfId="1552"/>
    <cellStyle name="40% - Accent1 3 4 4" xfId="1553"/>
    <cellStyle name="40% - Accent1 3 4 5" xfId="8987"/>
    <cellStyle name="40% - Accent1 3 5" xfId="1554"/>
    <cellStyle name="40% - Accent1 3 5 2" xfId="1555"/>
    <cellStyle name="40% - Accent1 3 5 2 2" xfId="1556"/>
    <cellStyle name="40% - Accent1 3 5 3" xfId="1557"/>
    <cellStyle name="40% - Accent1 3 6" xfId="1558"/>
    <cellStyle name="40% - Accent1 3 6 2" xfId="1559"/>
    <cellStyle name="40% - Accent1 3 7" xfId="1560"/>
    <cellStyle name="40% - Accent1 3 8" xfId="1561"/>
    <cellStyle name="40% - Accent1 3 9" xfId="8988"/>
    <cellStyle name="40% - Accent1 4" xfId="1562"/>
    <cellStyle name="40% - Accent1 4 10" xfId="18990"/>
    <cellStyle name="40% - Accent1 4 10 2" xfId="18991"/>
    <cellStyle name="40% - Accent1 4 10 2 2" xfId="18992"/>
    <cellStyle name="40% - Accent1 4 10 2 3" xfId="18993"/>
    <cellStyle name="40% - Accent1 4 10 3" xfId="18994"/>
    <cellStyle name="40% - Accent1 4 10 3 2" xfId="18995"/>
    <cellStyle name="40% - Accent1 4 10 4" xfId="18996"/>
    <cellStyle name="40% - Accent1 4 10 5" xfId="18997"/>
    <cellStyle name="40% - Accent1 4 11" xfId="18998"/>
    <cellStyle name="40% - Accent1 4 11 2" xfId="18999"/>
    <cellStyle name="40% - Accent1 4 11 3" xfId="19000"/>
    <cellStyle name="40% - Accent1 4 12" xfId="19001"/>
    <cellStyle name="40% - Accent1 4 12 2" xfId="19002"/>
    <cellStyle name="40% - Accent1 4 12 3" xfId="19003"/>
    <cellStyle name="40% - Accent1 4 13" xfId="19004"/>
    <cellStyle name="40% - Accent1 4 13 2" xfId="19005"/>
    <cellStyle name="40% - Accent1 4 14" xfId="19006"/>
    <cellStyle name="40% - Accent1 4 15" xfId="19007"/>
    <cellStyle name="40% - Accent1 4 16" xfId="19008"/>
    <cellStyle name="40% - Accent1 4 2" xfId="1563"/>
    <cellStyle name="40% - Accent1 4 2 10" xfId="19009"/>
    <cellStyle name="40% - Accent1 4 2 10 2" xfId="19010"/>
    <cellStyle name="40% - Accent1 4 2 10 3" xfId="19011"/>
    <cellStyle name="40% - Accent1 4 2 11" xfId="19012"/>
    <cellStyle name="40% - Accent1 4 2 11 2" xfId="19013"/>
    <cellStyle name="40% - Accent1 4 2 11 3" xfId="19014"/>
    <cellStyle name="40% - Accent1 4 2 12" xfId="19015"/>
    <cellStyle name="40% - Accent1 4 2 12 2" xfId="19016"/>
    <cellStyle name="40% - Accent1 4 2 13" xfId="19017"/>
    <cellStyle name="40% - Accent1 4 2 14" xfId="19018"/>
    <cellStyle name="40% - Accent1 4 2 15" xfId="19019"/>
    <cellStyle name="40% - Accent1 4 2 2" xfId="1564"/>
    <cellStyle name="40% - Accent1 4 2 2 10" xfId="19020"/>
    <cellStyle name="40% - Accent1 4 2 2 10 2" xfId="19021"/>
    <cellStyle name="40% - Accent1 4 2 2 10 3" xfId="19022"/>
    <cellStyle name="40% - Accent1 4 2 2 11" xfId="19023"/>
    <cellStyle name="40% - Accent1 4 2 2 11 2" xfId="19024"/>
    <cellStyle name="40% - Accent1 4 2 2 12" xfId="19025"/>
    <cellStyle name="40% - Accent1 4 2 2 13" xfId="19026"/>
    <cellStyle name="40% - Accent1 4 2 2 2" xfId="1565"/>
    <cellStyle name="40% - Accent1 4 2 2 2 10" xfId="19027"/>
    <cellStyle name="40% - Accent1 4 2 2 2 10 2" xfId="19028"/>
    <cellStyle name="40% - Accent1 4 2 2 2 11" xfId="19029"/>
    <cellStyle name="40% - Accent1 4 2 2 2 12" xfId="19030"/>
    <cellStyle name="40% - Accent1 4 2 2 2 2" xfId="1566"/>
    <cellStyle name="40% - Accent1 4 2 2 2 2 10" xfId="19031"/>
    <cellStyle name="40% - Accent1 4 2 2 2 2 2" xfId="1567"/>
    <cellStyle name="40% - Accent1 4 2 2 2 2 2 2" xfId="19032"/>
    <cellStyle name="40% - Accent1 4 2 2 2 2 2 2 2" xfId="19033"/>
    <cellStyle name="40% - Accent1 4 2 2 2 2 2 2 2 2" xfId="19034"/>
    <cellStyle name="40% - Accent1 4 2 2 2 2 2 2 2 3" xfId="19035"/>
    <cellStyle name="40% - Accent1 4 2 2 2 2 2 2 3" xfId="19036"/>
    <cellStyle name="40% - Accent1 4 2 2 2 2 2 2 3 2" xfId="19037"/>
    <cellStyle name="40% - Accent1 4 2 2 2 2 2 2 3 3" xfId="19038"/>
    <cellStyle name="40% - Accent1 4 2 2 2 2 2 2 4" xfId="19039"/>
    <cellStyle name="40% - Accent1 4 2 2 2 2 2 2 4 2" xfId="19040"/>
    <cellStyle name="40% - Accent1 4 2 2 2 2 2 2 5" xfId="19041"/>
    <cellStyle name="40% - Accent1 4 2 2 2 2 2 2 6" xfId="19042"/>
    <cellStyle name="40% - Accent1 4 2 2 2 2 2 3" xfId="19043"/>
    <cellStyle name="40% - Accent1 4 2 2 2 2 2 3 2" xfId="19044"/>
    <cellStyle name="40% - Accent1 4 2 2 2 2 2 3 2 2" xfId="19045"/>
    <cellStyle name="40% - Accent1 4 2 2 2 2 2 3 2 3" xfId="19046"/>
    <cellStyle name="40% - Accent1 4 2 2 2 2 2 3 3" xfId="19047"/>
    <cellStyle name="40% - Accent1 4 2 2 2 2 2 3 3 2" xfId="19048"/>
    <cellStyle name="40% - Accent1 4 2 2 2 2 2 3 3 3" xfId="19049"/>
    <cellStyle name="40% - Accent1 4 2 2 2 2 2 3 4" xfId="19050"/>
    <cellStyle name="40% - Accent1 4 2 2 2 2 2 3 4 2" xfId="19051"/>
    <cellStyle name="40% - Accent1 4 2 2 2 2 2 3 5" xfId="19052"/>
    <cellStyle name="40% - Accent1 4 2 2 2 2 2 3 6" xfId="19053"/>
    <cellStyle name="40% - Accent1 4 2 2 2 2 2 4" xfId="19054"/>
    <cellStyle name="40% - Accent1 4 2 2 2 2 2 4 2" xfId="19055"/>
    <cellStyle name="40% - Accent1 4 2 2 2 2 2 4 2 2" xfId="19056"/>
    <cellStyle name="40% - Accent1 4 2 2 2 2 2 4 2 3" xfId="19057"/>
    <cellStyle name="40% - Accent1 4 2 2 2 2 2 4 3" xfId="19058"/>
    <cellStyle name="40% - Accent1 4 2 2 2 2 2 4 3 2" xfId="19059"/>
    <cellStyle name="40% - Accent1 4 2 2 2 2 2 4 4" xfId="19060"/>
    <cellStyle name="40% - Accent1 4 2 2 2 2 2 4 5" xfId="19061"/>
    <cellStyle name="40% - Accent1 4 2 2 2 2 2 5" xfId="19062"/>
    <cellStyle name="40% - Accent1 4 2 2 2 2 2 5 2" xfId="19063"/>
    <cellStyle name="40% - Accent1 4 2 2 2 2 2 5 3" xfId="19064"/>
    <cellStyle name="40% - Accent1 4 2 2 2 2 2 6" xfId="19065"/>
    <cellStyle name="40% - Accent1 4 2 2 2 2 2 6 2" xfId="19066"/>
    <cellStyle name="40% - Accent1 4 2 2 2 2 2 6 3" xfId="19067"/>
    <cellStyle name="40% - Accent1 4 2 2 2 2 2 7" xfId="19068"/>
    <cellStyle name="40% - Accent1 4 2 2 2 2 2 7 2" xfId="19069"/>
    <cellStyle name="40% - Accent1 4 2 2 2 2 2 8" xfId="19070"/>
    <cellStyle name="40% - Accent1 4 2 2 2 2 2 9" xfId="19071"/>
    <cellStyle name="40% - Accent1 4 2 2 2 2 3" xfId="19072"/>
    <cellStyle name="40% - Accent1 4 2 2 2 2 3 2" xfId="19073"/>
    <cellStyle name="40% - Accent1 4 2 2 2 2 3 2 2" xfId="19074"/>
    <cellStyle name="40% - Accent1 4 2 2 2 2 3 2 3" xfId="19075"/>
    <cellStyle name="40% - Accent1 4 2 2 2 2 3 3" xfId="19076"/>
    <cellStyle name="40% - Accent1 4 2 2 2 2 3 3 2" xfId="19077"/>
    <cellStyle name="40% - Accent1 4 2 2 2 2 3 3 3" xfId="19078"/>
    <cellStyle name="40% - Accent1 4 2 2 2 2 3 4" xfId="19079"/>
    <cellStyle name="40% - Accent1 4 2 2 2 2 3 4 2" xfId="19080"/>
    <cellStyle name="40% - Accent1 4 2 2 2 2 3 5" xfId="19081"/>
    <cellStyle name="40% - Accent1 4 2 2 2 2 3 6" xfId="19082"/>
    <cellStyle name="40% - Accent1 4 2 2 2 2 4" xfId="19083"/>
    <cellStyle name="40% - Accent1 4 2 2 2 2 4 2" xfId="19084"/>
    <cellStyle name="40% - Accent1 4 2 2 2 2 4 2 2" xfId="19085"/>
    <cellStyle name="40% - Accent1 4 2 2 2 2 4 2 3" xfId="19086"/>
    <cellStyle name="40% - Accent1 4 2 2 2 2 4 3" xfId="19087"/>
    <cellStyle name="40% - Accent1 4 2 2 2 2 4 3 2" xfId="19088"/>
    <cellStyle name="40% - Accent1 4 2 2 2 2 4 3 3" xfId="19089"/>
    <cellStyle name="40% - Accent1 4 2 2 2 2 4 4" xfId="19090"/>
    <cellStyle name="40% - Accent1 4 2 2 2 2 4 4 2" xfId="19091"/>
    <cellStyle name="40% - Accent1 4 2 2 2 2 4 5" xfId="19092"/>
    <cellStyle name="40% - Accent1 4 2 2 2 2 4 6" xfId="19093"/>
    <cellStyle name="40% - Accent1 4 2 2 2 2 5" xfId="19094"/>
    <cellStyle name="40% - Accent1 4 2 2 2 2 5 2" xfId="19095"/>
    <cellStyle name="40% - Accent1 4 2 2 2 2 5 2 2" xfId="19096"/>
    <cellStyle name="40% - Accent1 4 2 2 2 2 5 2 3" xfId="19097"/>
    <cellStyle name="40% - Accent1 4 2 2 2 2 5 3" xfId="19098"/>
    <cellStyle name="40% - Accent1 4 2 2 2 2 5 3 2" xfId="19099"/>
    <cellStyle name="40% - Accent1 4 2 2 2 2 5 4" xfId="19100"/>
    <cellStyle name="40% - Accent1 4 2 2 2 2 5 5" xfId="19101"/>
    <cellStyle name="40% - Accent1 4 2 2 2 2 6" xfId="19102"/>
    <cellStyle name="40% - Accent1 4 2 2 2 2 6 2" xfId="19103"/>
    <cellStyle name="40% - Accent1 4 2 2 2 2 6 3" xfId="19104"/>
    <cellStyle name="40% - Accent1 4 2 2 2 2 7" xfId="19105"/>
    <cellStyle name="40% - Accent1 4 2 2 2 2 7 2" xfId="19106"/>
    <cellStyle name="40% - Accent1 4 2 2 2 2 7 3" xfId="19107"/>
    <cellStyle name="40% - Accent1 4 2 2 2 2 8" xfId="19108"/>
    <cellStyle name="40% - Accent1 4 2 2 2 2 8 2" xfId="19109"/>
    <cellStyle name="40% - Accent1 4 2 2 2 2 9" xfId="19110"/>
    <cellStyle name="40% - Accent1 4 2 2 2 3" xfId="1568"/>
    <cellStyle name="40% - Accent1 4 2 2 2 3 2" xfId="19111"/>
    <cellStyle name="40% - Accent1 4 2 2 2 3 2 2" xfId="19112"/>
    <cellStyle name="40% - Accent1 4 2 2 2 3 2 2 2" xfId="19113"/>
    <cellStyle name="40% - Accent1 4 2 2 2 3 2 2 3" xfId="19114"/>
    <cellStyle name="40% - Accent1 4 2 2 2 3 2 3" xfId="19115"/>
    <cellStyle name="40% - Accent1 4 2 2 2 3 2 3 2" xfId="19116"/>
    <cellStyle name="40% - Accent1 4 2 2 2 3 2 3 3" xfId="19117"/>
    <cellStyle name="40% - Accent1 4 2 2 2 3 2 4" xfId="19118"/>
    <cellStyle name="40% - Accent1 4 2 2 2 3 2 4 2" xfId="19119"/>
    <cellStyle name="40% - Accent1 4 2 2 2 3 2 5" xfId="19120"/>
    <cellStyle name="40% - Accent1 4 2 2 2 3 2 6" xfId="19121"/>
    <cellStyle name="40% - Accent1 4 2 2 2 3 3" xfId="19122"/>
    <cellStyle name="40% - Accent1 4 2 2 2 3 3 2" xfId="19123"/>
    <cellStyle name="40% - Accent1 4 2 2 2 3 3 2 2" xfId="19124"/>
    <cellStyle name="40% - Accent1 4 2 2 2 3 3 2 3" xfId="19125"/>
    <cellStyle name="40% - Accent1 4 2 2 2 3 3 3" xfId="19126"/>
    <cellStyle name="40% - Accent1 4 2 2 2 3 3 3 2" xfId="19127"/>
    <cellStyle name="40% - Accent1 4 2 2 2 3 3 3 3" xfId="19128"/>
    <cellStyle name="40% - Accent1 4 2 2 2 3 3 4" xfId="19129"/>
    <cellStyle name="40% - Accent1 4 2 2 2 3 3 4 2" xfId="19130"/>
    <cellStyle name="40% - Accent1 4 2 2 2 3 3 5" xfId="19131"/>
    <cellStyle name="40% - Accent1 4 2 2 2 3 3 6" xfId="19132"/>
    <cellStyle name="40% - Accent1 4 2 2 2 3 4" xfId="19133"/>
    <cellStyle name="40% - Accent1 4 2 2 2 3 4 2" xfId="19134"/>
    <cellStyle name="40% - Accent1 4 2 2 2 3 4 2 2" xfId="19135"/>
    <cellStyle name="40% - Accent1 4 2 2 2 3 4 2 3" xfId="19136"/>
    <cellStyle name="40% - Accent1 4 2 2 2 3 4 3" xfId="19137"/>
    <cellStyle name="40% - Accent1 4 2 2 2 3 4 3 2" xfId="19138"/>
    <cellStyle name="40% - Accent1 4 2 2 2 3 4 4" xfId="19139"/>
    <cellStyle name="40% - Accent1 4 2 2 2 3 4 5" xfId="19140"/>
    <cellStyle name="40% - Accent1 4 2 2 2 3 5" xfId="19141"/>
    <cellStyle name="40% - Accent1 4 2 2 2 3 5 2" xfId="19142"/>
    <cellStyle name="40% - Accent1 4 2 2 2 3 5 3" xfId="19143"/>
    <cellStyle name="40% - Accent1 4 2 2 2 3 6" xfId="19144"/>
    <cellStyle name="40% - Accent1 4 2 2 2 3 6 2" xfId="19145"/>
    <cellStyle name="40% - Accent1 4 2 2 2 3 6 3" xfId="19146"/>
    <cellStyle name="40% - Accent1 4 2 2 2 3 7" xfId="19147"/>
    <cellStyle name="40% - Accent1 4 2 2 2 3 7 2" xfId="19148"/>
    <cellStyle name="40% - Accent1 4 2 2 2 3 8" xfId="19149"/>
    <cellStyle name="40% - Accent1 4 2 2 2 3 9" xfId="19150"/>
    <cellStyle name="40% - Accent1 4 2 2 2 4" xfId="19151"/>
    <cellStyle name="40% - Accent1 4 2 2 2 4 2" xfId="19152"/>
    <cellStyle name="40% - Accent1 4 2 2 2 4 2 2" xfId="19153"/>
    <cellStyle name="40% - Accent1 4 2 2 2 4 2 2 2" xfId="19154"/>
    <cellStyle name="40% - Accent1 4 2 2 2 4 2 2 3" xfId="19155"/>
    <cellStyle name="40% - Accent1 4 2 2 2 4 2 3" xfId="19156"/>
    <cellStyle name="40% - Accent1 4 2 2 2 4 2 3 2" xfId="19157"/>
    <cellStyle name="40% - Accent1 4 2 2 2 4 2 3 3" xfId="19158"/>
    <cellStyle name="40% - Accent1 4 2 2 2 4 2 4" xfId="19159"/>
    <cellStyle name="40% - Accent1 4 2 2 2 4 2 4 2" xfId="19160"/>
    <cellStyle name="40% - Accent1 4 2 2 2 4 2 5" xfId="19161"/>
    <cellStyle name="40% - Accent1 4 2 2 2 4 2 6" xfId="19162"/>
    <cellStyle name="40% - Accent1 4 2 2 2 4 3" xfId="19163"/>
    <cellStyle name="40% - Accent1 4 2 2 2 4 3 2" xfId="19164"/>
    <cellStyle name="40% - Accent1 4 2 2 2 4 3 2 2" xfId="19165"/>
    <cellStyle name="40% - Accent1 4 2 2 2 4 3 2 3" xfId="19166"/>
    <cellStyle name="40% - Accent1 4 2 2 2 4 3 3" xfId="19167"/>
    <cellStyle name="40% - Accent1 4 2 2 2 4 3 3 2" xfId="19168"/>
    <cellStyle name="40% - Accent1 4 2 2 2 4 3 3 3" xfId="19169"/>
    <cellStyle name="40% - Accent1 4 2 2 2 4 3 4" xfId="19170"/>
    <cellStyle name="40% - Accent1 4 2 2 2 4 3 4 2" xfId="19171"/>
    <cellStyle name="40% - Accent1 4 2 2 2 4 3 5" xfId="19172"/>
    <cellStyle name="40% - Accent1 4 2 2 2 4 3 6" xfId="19173"/>
    <cellStyle name="40% - Accent1 4 2 2 2 4 4" xfId="19174"/>
    <cellStyle name="40% - Accent1 4 2 2 2 4 4 2" xfId="19175"/>
    <cellStyle name="40% - Accent1 4 2 2 2 4 4 2 2" xfId="19176"/>
    <cellStyle name="40% - Accent1 4 2 2 2 4 4 2 3" xfId="19177"/>
    <cellStyle name="40% - Accent1 4 2 2 2 4 4 3" xfId="19178"/>
    <cellStyle name="40% - Accent1 4 2 2 2 4 4 3 2" xfId="19179"/>
    <cellStyle name="40% - Accent1 4 2 2 2 4 4 4" xfId="19180"/>
    <cellStyle name="40% - Accent1 4 2 2 2 4 4 5" xfId="19181"/>
    <cellStyle name="40% - Accent1 4 2 2 2 4 5" xfId="19182"/>
    <cellStyle name="40% - Accent1 4 2 2 2 4 5 2" xfId="19183"/>
    <cellStyle name="40% - Accent1 4 2 2 2 4 5 3" xfId="19184"/>
    <cellStyle name="40% - Accent1 4 2 2 2 4 6" xfId="19185"/>
    <cellStyle name="40% - Accent1 4 2 2 2 4 6 2" xfId="19186"/>
    <cellStyle name="40% - Accent1 4 2 2 2 4 6 3" xfId="19187"/>
    <cellStyle name="40% - Accent1 4 2 2 2 4 7" xfId="19188"/>
    <cellStyle name="40% - Accent1 4 2 2 2 4 7 2" xfId="19189"/>
    <cellStyle name="40% - Accent1 4 2 2 2 4 8" xfId="19190"/>
    <cellStyle name="40% - Accent1 4 2 2 2 4 9" xfId="19191"/>
    <cellStyle name="40% - Accent1 4 2 2 2 5" xfId="19192"/>
    <cellStyle name="40% - Accent1 4 2 2 2 5 2" xfId="19193"/>
    <cellStyle name="40% - Accent1 4 2 2 2 5 2 2" xfId="19194"/>
    <cellStyle name="40% - Accent1 4 2 2 2 5 2 3" xfId="19195"/>
    <cellStyle name="40% - Accent1 4 2 2 2 5 3" xfId="19196"/>
    <cellStyle name="40% - Accent1 4 2 2 2 5 3 2" xfId="19197"/>
    <cellStyle name="40% - Accent1 4 2 2 2 5 3 3" xfId="19198"/>
    <cellStyle name="40% - Accent1 4 2 2 2 5 4" xfId="19199"/>
    <cellStyle name="40% - Accent1 4 2 2 2 5 4 2" xfId="19200"/>
    <cellStyle name="40% - Accent1 4 2 2 2 5 5" xfId="19201"/>
    <cellStyle name="40% - Accent1 4 2 2 2 5 6" xfId="19202"/>
    <cellStyle name="40% - Accent1 4 2 2 2 6" xfId="19203"/>
    <cellStyle name="40% - Accent1 4 2 2 2 6 2" xfId="19204"/>
    <cellStyle name="40% - Accent1 4 2 2 2 6 2 2" xfId="19205"/>
    <cellStyle name="40% - Accent1 4 2 2 2 6 2 3" xfId="19206"/>
    <cellStyle name="40% - Accent1 4 2 2 2 6 3" xfId="19207"/>
    <cellStyle name="40% - Accent1 4 2 2 2 6 3 2" xfId="19208"/>
    <cellStyle name="40% - Accent1 4 2 2 2 6 3 3" xfId="19209"/>
    <cellStyle name="40% - Accent1 4 2 2 2 6 4" xfId="19210"/>
    <cellStyle name="40% - Accent1 4 2 2 2 6 4 2" xfId="19211"/>
    <cellStyle name="40% - Accent1 4 2 2 2 6 5" xfId="19212"/>
    <cellStyle name="40% - Accent1 4 2 2 2 6 6" xfId="19213"/>
    <cellStyle name="40% - Accent1 4 2 2 2 7" xfId="19214"/>
    <cellStyle name="40% - Accent1 4 2 2 2 7 2" xfId="19215"/>
    <cellStyle name="40% - Accent1 4 2 2 2 7 2 2" xfId="19216"/>
    <cellStyle name="40% - Accent1 4 2 2 2 7 2 3" xfId="19217"/>
    <cellStyle name="40% - Accent1 4 2 2 2 7 3" xfId="19218"/>
    <cellStyle name="40% - Accent1 4 2 2 2 7 3 2" xfId="19219"/>
    <cellStyle name="40% - Accent1 4 2 2 2 7 4" xfId="19220"/>
    <cellStyle name="40% - Accent1 4 2 2 2 7 5" xfId="19221"/>
    <cellStyle name="40% - Accent1 4 2 2 2 8" xfId="19222"/>
    <cellStyle name="40% - Accent1 4 2 2 2 8 2" xfId="19223"/>
    <cellStyle name="40% - Accent1 4 2 2 2 8 3" xfId="19224"/>
    <cellStyle name="40% - Accent1 4 2 2 2 9" xfId="19225"/>
    <cellStyle name="40% - Accent1 4 2 2 2 9 2" xfId="19226"/>
    <cellStyle name="40% - Accent1 4 2 2 2 9 3" xfId="19227"/>
    <cellStyle name="40% - Accent1 4 2 2 3" xfId="1569"/>
    <cellStyle name="40% - Accent1 4 2 2 3 10" xfId="19228"/>
    <cellStyle name="40% - Accent1 4 2 2 3 2" xfId="1570"/>
    <cellStyle name="40% - Accent1 4 2 2 3 2 2" xfId="19229"/>
    <cellStyle name="40% - Accent1 4 2 2 3 2 2 2" xfId="19230"/>
    <cellStyle name="40% - Accent1 4 2 2 3 2 2 2 2" xfId="19231"/>
    <cellStyle name="40% - Accent1 4 2 2 3 2 2 2 3" xfId="19232"/>
    <cellStyle name="40% - Accent1 4 2 2 3 2 2 3" xfId="19233"/>
    <cellStyle name="40% - Accent1 4 2 2 3 2 2 3 2" xfId="19234"/>
    <cellStyle name="40% - Accent1 4 2 2 3 2 2 3 3" xfId="19235"/>
    <cellStyle name="40% - Accent1 4 2 2 3 2 2 4" xfId="19236"/>
    <cellStyle name="40% - Accent1 4 2 2 3 2 2 4 2" xfId="19237"/>
    <cellStyle name="40% - Accent1 4 2 2 3 2 2 5" xfId="19238"/>
    <cellStyle name="40% - Accent1 4 2 2 3 2 2 6" xfId="19239"/>
    <cellStyle name="40% - Accent1 4 2 2 3 2 3" xfId="19240"/>
    <cellStyle name="40% - Accent1 4 2 2 3 2 3 2" xfId="19241"/>
    <cellStyle name="40% - Accent1 4 2 2 3 2 3 2 2" xfId="19242"/>
    <cellStyle name="40% - Accent1 4 2 2 3 2 3 2 3" xfId="19243"/>
    <cellStyle name="40% - Accent1 4 2 2 3 2 3 3" xfId="19244"/>
    <cellStyle name="40% - Accent1 4 2 2 3 2 3 3 2" xfId="19245"/>
    <cellStyle name="40% - Accent1 4 2 2 3 2 3 3 3" xfId="19246"/>
    <cellStyle name="40% - Accent1 4 2 2 3 2 3 4" xfId="19247"/>
    <cellStyle name="40% - Accent1 4 2 2 3 2 3 4 2" xfId="19248"/>
    <cellStyle name="40% - Accent1 4 2 2 3 2 3 5" xfId="19249"/>
    <cellStyle name="40% - Accent1 4 2 2 3 2 3 6" xfId="19250"/>
    <cellStyle name="40% - Accent1 4 2 2 3 2 4" xfId="19251"/>
    <cellStyle name="40% - Accent1 4 2 2 3 2 4 2" xfId="19252"/>
    <cellStyle name="40% - Accent1 4 2 2 3 2 4 2 2" xfId="19253"/>
    <cellStyle name="40% - Accent1 4 2 2 3 2 4 2 3" xfId="19254"/>
    <cellStyle name="40% - Accent1 4 2 2 3 2 4 3" xfId="19255"/>
    <cellStyle name="40% - Accent1 4 2 2 3 2 4 3 2" xfId="19256"/>
    <cellStyle name="40% - Accent1 4 2 2 3 2 4 4" xfId="19257"/>
    <cellStyle name="40% - Accent1 4 2 2 3 2 4 5" xfId="19258"/>
    <cellStyle name="40% - Accent1 4 2 2 3 2 5" xfId="19259"/>
    <cellStyle name="40% - Accent1 4 2 2 3 2 5 2" xfId="19260"/>
    <cellStyle name="40% - Accent1 4 2 2 3 2 5 3" xfId="19261"/>
    <cellStyle name="40% - Accent1 4 2 2 3 2 6" xfId="19262"/>
    <cellStyle name="40% - Accent1 4 2 2 3 2 6 2" xfId="19263"/>
    <cellStyle name="40% - Accent1 4 2 2 3 2 6 3" xfId="19264"/>
    <cellStyle name="40% - Accent1 4 2 2 3 2 7" xfId="19265"/>
    <cellStyle name="40% - Accent1 4 2 2 3 2 7 2" xfId="19266"/>
    <cellStyle name="40% - Accent1 4 2 2 3 2 8" xfId="19267"/>
    <cellStyle name="40% - Accent1 4 2 2 3 2 9" xfId="19268"/>
    <cellStyle name="40% - Accent1 4 2 2 3 3" xfId="19269"/>
    <cellStyle name="40% - Accent1 4 2 2 3 3 2" xfId="19270"/>
    <cellStyle name="40% - Accent1 4 2 2 3 3 2 2" xfId="19271"/>
    <cellStyle name="40% - Accent1 4 2 2 3 3 2 3" xfId="19272"/>
    <cellStyle name="40% - Accent1 4 2 2 3 3 3" xfId="19273"/>
    <cellStyle name="40% - Accent1 4 2 2 3 3 3 2" xfId="19274"/>
    <cellStyle name="40% - Accent1 4 2 2 3 3 3 3" xfId="19275"/>
    <cellStyle name="40% - Accent1 4 2 2 3 3 4" xfId="19276"/>
    <cellStyle name="40% - Accent1 4 2 2 3 3 4 2" xfId="19277"/>
    <cellStyle name="40% - Accent1 4 2 2 3 3 5" xfId="19278"/>
    <cellStyle name="40% - Accent1 4 2 2 3 3 6" xfId="19279"/>
    <cellStyle name="40% - Accent1 4 2 2 3 4" xfId="19280"/>
    <cellStyle name="40% - Accent1 4 2 2 3 4 2" xfId="19281"/>
    <cellStyle name="40% - Accent1 4 2 2 3 4 2 2" xfId="19282"/>
    <cellStyle name="40% - Accent1 4 2 2 3 4 2 3" xfId="19283"/>
    <cellStyle name="40% - Accent1 4 2 2 3 4 3" xfId="19284"/>
    <cellStyle name="40% - Accent1 4 2 2 3 4 3 2" xfId="19285"/>
    <cellStyle name="40% - Accent1 4 2 2 3 4 3 3" xfId="19286"/>
    <cellStyle name="40% - Accent1 4 2 2 3 4 4" xfId="19287"/>
    <cellStyle name="40% - Accent1 4 2 2 3 4 4 2" xfId="19288"/>
    <cellStyle name="40% - Accent1 4 2 2 3 4 5" xfId="19289"/>
    <cellStyle name="40% - Accent1 4 2 2 3 4 6" xfId="19290"/>
    <cellStyle name="40% - Accent1 4 2 2 3 5" xfId="19291"/>
    <cellStyle name="40% - Accent1 4 2 2 3 5 2" xfId="19292"/>
    <cellStyle name="40% - Accent1 4 2 2 3 5 2 2" xfId="19293"/>
    <cellStyle name="40% - Accent1 4 2 2 3 5 2 3" xfId="19294"/>
    <cellStyle name="40% - Accent1 4 2 2 3 5 3" xfId="19295"/>
    <cellStyle name="40% - Accent1 4 2 2 3 5 3 2" xfId="19296"/>
    <cellStyle name="40% - Accent1 4 2 2 3 5 4" xfId="19297"/>
    <cellStyle name="40% - Accent1 4 2 2 3 5 5" xfId="19298"/>
    <cellStyle name="40% - Accent1 4 2 2 3 6" xfId="19299"/>
    <cellStyle name="40% - Accent1 4 2 2 3 6 2" xfId="19300"/>
    <cellStyle name="40% - Accent1 4 2 2 3 6 3" xfId="19301"/>
    <cellStyle name="40% - Accent1 4 2 2 3 7" xfId="19302"/>
    <cellStyle name="40% - Accent1 4 2 2 3 7 2" xfId="19303"/>
    <cellStyle name="40% - Accent1 4 2 2 3 7 3" xfId="19304"/>
    <cellStyle name="40% - Accent1 4 2 2 3 8" xfId="19305"/>
    <cellStyle name="40% - Accent1 4 2 2 3 8 2" xfId="19306"/>
    <cellStyle name="40% - Accent1 4 2 2 3 9" xfId="19307"/>
    <cellStyle name="40% - Accent1 4 2 2 4" xfId="1571"/>
    <cellStyle name="40% - Accent1 4 2 2 4 2" xfId="19308"/>
    <cellStyle name="40% - Accent1 4 2 2 4 2 2" xfId="19309"/>
    <cellStyle name="40% - Accent1 4 2 2 4 2 2 2" xfId="19310"/>
    <cellStyle name="40% - Accent1 4 2 2 4 2 2 3" xfId="19311"/>
    <cellStyle name="40% - Accent1 4 2 2 4 2 3" xfId="19312"/>
    <cellStyle name="40% - Accent1 4 2 2 4 2 3 2" xfId="19313"/>
    <cellStyle name="40% - Accent1 4 2 2 4 2 3 3" xfId="19314"/>
    <cellStyle name="40% - Accent1 4 2 2 4 2 4" xfId="19315"/>
    <cellStyle name="40% - Accent1 4 2 2 4 2 4 2" xfId="19316"/>
    <cellStyle name="40% - Accent1 4 2 2 4 2 5" xfId="19317"/>
    <cellStyle name="40% - Accent1 4 2 2 4 2 6" xfId="19318"/>
    <cellStyle name="40% - Accent1 4 2 2 4 3" xfId="19319"/>
    <cellStyle name="40% - Accent1 4 2 2 4 3 2" xfId="19320"/>
    <cellStyle name="40% - Accent1 4 2 2 4 3 2 2" xfId="19321"/>
    <cellStyle name="40% - Accent1 4 2 2 4 3 2 3" xfId="19322"/>
    <cellStyle name="40% - Accent1 4 2 2 4 3 3" xfId="19323"/>
    <cellStyle name="40% - Accent1 4 2 2 4 3 3 2" xfId="19324"/>
    <cellStyle name="40% - Accent1 4 2 2 4 3 3 3" xfId="19325"/>
    <cellStyle name="40% - Accent1 4 2 2 4 3 4" xfId="19326"/>
    <cellStyle name="40% - Accent1 4 2 2 4 3 4 2" xfId="19327"/>
    <cellStyle name="40% - Accent1 4 2 2 4 3 5" xfId="19328"/>
    <cellStyle name="40% - Accent1 4 2 2 4 3 6" xfId="19329"/>
    <cellStyle name="40% - Accent1 4 2 2 4 4" xfId="19330"/>
    <cellStyle name="40% - Accent1 4 2 2 4 4 2" xfId="19331"/>
    <cellStyle name="40% - Accent1 4 2 2 4 4 2 2" xfId="19332"/>
    <cellStyle name="40% - Accent1 4 2 2 4 4 2 3" xfId="19333"/>
    <cellStyle name="40% - Accent1 4 2 2 4 4 3" xfId="19334"/>
    <cellStyle name="40% - Accent1 4 2 2 4 4 3 2" xfId="19335"/>
    <cellStyle name="40% - Accent1 4 2 2 4 4 4" xfId="19336"/>
    <cellStyle name="40% - Accent1 4 2 2 4 4 5" xfId="19337"/>
    <cellStyle name="40% - Accent1 4 2 2 4 5" xfId="19338"/>
    <cellStyle name="40% - Accent1 4 2 2 4 5 2" xfId="19339"/>
    <cellStyle name="40% - Accent1 4 2 2 4 5 3" xfId="19340"/>
    <cellStyle name="40% - Accent1 4 2 2 4 6" xfId="19341"/>
    <cellStyle name="40% - Accent1 4 2 2 4 6 2" xfId="19342"/>
    <cellStyle name="40% - Accent1 4 2 2 4 6 3" xfId="19343"/>
    <cellStyle name="40% - Accent1 4 2 2 4 7" xfId="19344"/>
    <cellStyle name="40% - Accent1 4 2 2 4 7 2" xfId="19345"/>
    <cellStyle name="40% - Accent1 4 2 2 4 8" xfId="19346"/>
    <cellStyle name="40% - Accent1 4 2 2 4 9" xfId="19347"/>
    <cellStyle name="40% - Accent1 4 2 2 5" xfId="19348"/>
    <cellStyle name="40% - Accent1 4 2 2 5 2" xfId="19349"/>
    <cellStyle name="40% - Accent1 4 2 2 5 2 2" xfId="19350"/>
    <cellStyle name="40% - Accent1 4 2 2 5 2 2 2" xfId="19351"/>
    <cellStyle name="40% - Accent1 4 2 2 5 2 2 3" xfId="19352"/>
    <cellStyle name="40% - Accent1 4 2 2 5 2 3" xfId="19353"/>
    <cellStyle name="40% - Accent1 4 2 2 5 2 3 2" xfId="19354"/>
    <cellStyle name="40% - Accent1 4 2 2 5 2 3 3" xfId="19355"/>
    <cellStyle name="40% - Accent1 4 2 2 5 2 4" xfId="19356"/>
    <cellStyle name="40% - Accent1 4 2 2 5 2 4 2" xfId="19357"/>
    <cellStyle name="40% - Accent1 4 2 2 5 2 5" xfId="19358"/>
    <cellStyle name="40% - Accent1 4 2 2 5 2 6" xfId="19359"/>
    <cellStyle name="40% - Accent1 4 2 2 5 3" xfId="19360"/>
    <cellStyle name="40% - Accent1 4 2 2 5 3 2" xfId="19361"/>
    <cellStyle name="40% - Accent1 4 2 2 5 3 2 2" xfId="19362"/>
    <cellStyle name="40% - Accent1 4 2 2 5 3 2 3" xfId="19363"/>
    <cellStyle name="40% - Accent1 4 2 2 5 3 3" xfId="19364"/>
    <cellStyle name="40% - Accent1 4 2 2 5 3 3 2" xfId="19365"/>
    <cellStyle name="40% - Accent1 4 2 2 5 3 3 3" xfId="19366"/>
    <cellStyle name="40% - Accent1 4 2 2 5 3 4" xfId="19367"/>
    <cellStyle name="40% - Accent1 4 2 2 5 3 4 2" xfId="19368"/>
    <cellStyle name="40% - Accent1 4 2 2 5 3 5" xfId="19369"/>
    <cellStyle name="40% - Accent1 4 2 2 5 3 6" xfId="19370"/>
    <cellStyle name="40% - Accent1 4 2 2 5 4" xfId="19371"/>
    <cellStyle name="40% - Accent1 4 2 2 5 4 2" xfId="19372"/>
    <cellStyle name="40% - Accent1 4 2 2 5 4 2 2" xfId="19373"/>
    <cellStyle name="40% - Accent1 4 2 2 5 4 2 3" xfId="19374"/>
    <cellStyle name="40% - Accent1 4 2 2 5 4 3" xfId="19375"/>
    <cellStyle name="40% - Accent1 4 2 2 5 4 3 2" xfId="19376"/>
    <cellStyle name="40% - Accent1 4 2 2 5 4 4" xfId="19377"/>
    <cellStyle name="40% - Accent1 4 2 2 5 4 5" xfId="19378"/>
    <cellStyle name="40% - Accent1 4 2 2 5 5" xfId="19379"/>
    <cellStyle name="40% - Accent1 4 2 2 5 5 2" xfId="19380"/>
    <cellStyle name="40% - Accent1 4 2 2 5 5 3" xfId="19381"/>
    <cellStyle name="40% - Accent1 4 2 2 5 6" xfId="19382"/>
    <cellStyle name="40% - Accent1 4 2 2 5 6 2" xfId="19383"/>
    <cellStyle name="40% - Accent1 4 2 2 5 6 3" xfId="19384"/>
    <cellStyle name="40% - Accent1 4 2 2 5 7" xfId="19385"/>
    <cellStyle name="40% - Accent1 4 2 2 5 7 2" xfId="19386"/>
    <cellStyle name="40% - Accent1 4 2 2 5 8" xfId="19387"/>
    <cellStyle name="40% - Accent1 4 2 2 5 9" xfId="19388"/>
    <cellStyle name="40% - Accent1 4 2 2 6" xfId="19389"/>
    <cellStyle name="40% - Accent1 4 2 2 6 2" xfId="19390"/>
    <cellStyle name="40% - Accent1 4 2 2 6 2 2" xfId="19391"/>
    <cellStyle name="40% - Accent1 4 2 2 6 2 3" xfId="19392"/>
    <cellStyle name="40% - Accent1 4 2 2 6 3" xfId="19393"/>
    <cellStyle name="40% - Accent1 4 2 2 6 3 2" xfId="19394"/>
    <cellStyle name="40% - Accent1 4 2 2 6 3 3" xfId="19395"/>
    <cellStyle name="40% - Accent1 4 2 2 6 4" xfId="19396"/>
    <cellStyle name="40% - Accent1 4 2 2 6 4 2" xfId="19397"/>
    <cellStyle name="40% - Accent1 4 2 2 6 5" xfId="19398"/>
    <cellStyle name="40% - Accent1 4 2 2 6 6" xfId="19399"/>
    <cellStyle name="40% - Accent1 4 2 2 7" xfId="19400"/>
    <cellStyle name="40% - Accent1 4 2 2 7 2" xfId="19401"/>
    <cellStyle name="40% - Accent1 4 2 2 7 2 2" xfId="19402"/>
    <cellStyle name="40% - Accent1 4 2 2 7 2 3" xfId="19403"/>
    <cellStyle name="40% - Accent1 4 2 2 7 3" xfId="19404"/>
    <cellStyle name="40% - Accent1 4 2 2 7 3 2" xfId="19405"/>
    <cellStyle name="40% - Accent1 4 2 2 7 3 3" xfId="19406"/>
    <cellStyle name="40% - Accent1 4 2 2 7 4" xfId="19407"/>
    <cellStyle name="40% - Accent1 4 2 2 7 4 2" xfId="19408"/>
    <cellStyle name="40% - Accent1 4 2 2 7 5" xfId="19409"/>
    <cellStyle name="40% - Accent1 4 2 2 7 6" xfId="19410"/>
    <cellStyle name="40% - Accent1 4 2 2 8" xfId="19411"/>
    <cellStyle name="40% - Accent1 4 2 2 8 2" xfId="19412"/>
    <cellStyle name="40% - Accent1 4 2 2 8 2 2" xfId="19413"/>
    <cellStyle name="40% - Accent1 4 2 2 8 2 3" xfId="19414"/>
    <cellStyle name="40% - Accent1 4 2 2 8 3" xfId="19415"/>
    <cellStyle name="40% - Accent1 4 2 2 8 3 2" xfId="19416"/>
    <cellStyle name="40% - Accent1 4 2 2 8 4" xfId="19417"/>
    <cellStyle name="40% - Accent1 4 2 2 8 5" xfId="19418"/>
    <cellStyle name="40% - Accent1 4 2 2 9" xfId="19419"/>
    <cellStyle name="40% - Accent1 4 2 2 9 2" xfId="19420"/>
    <cellStyle name="40% - Accent1 4 2 2 9 3" xfId="19421"/>
    <cellStyle name="40% - Accent1 4 2 3" xfId="1572"/>
    <cellStyle name="40% - Accent1 4 2 3 10" xfId="19422"/>
    <cellStyle name="40% - Accent1 4 2 3 10 2" xfId="19423"/>
    <cellStyle name="40% - Accent1 4 2 3 11" xfId="19424"/>
    <cellStyle name="40% - Accent1 4 2 3 12" xfId="19425"/>
    <cellStyle name="40% - Accent1 4 2 3 2" xfId="1573"/>
    <cellStyle name="40% - Accent1 4 2 3 2 10" xfId="19426"/>
    <cellStyle name="40% - Accent1 4 2 3 2 2" xfId="1574"/>
    <cellStyle name="40% - Accent1 4 2 3 2 2 2" xfId="19427"/>
    <cellStyle name="40% - Accent1 4 2 3 2 2 2 2" xfId="19428"/>
    <cellStyle name="40% - Accent1 4 2 3 2 2 2 2 2" xfId="19429"/>
    <cellStyle name="40% - Accent1 4 2 3 2 2 2 2 3" xfId="19430"/>
    <cellStyle name="40% - Accent1 4 2 3 2 2 2 3" xfId="19431"/>
    <cellStyle name="40% - Accent1 4 2 3 2 2 2 3 2" xfId="19432"/>
    <cellStyle name="40% - Accent1 4 2 3 2 2 2 3 3" xfId="19433"/>
    <cellStyle name="40% - Accent1 4 2 3 2 2 2 4" xfId="19434"/>
    <cellStyle name="40% - Accent1 4 2 3 2 2 2 4 2" xfId="19435"/>
    <cellStyle name="40% - Accent1 4 2 3 2 2 2 5" xfId="19436"/>
    <cellStyle name="40% - Accent1 4 2 3 2 2 2 6" xfId="19437"/>
    <cellStyle name="40% - Accent1 4 2 3 2 2 3" xfId="19438"/>
    <cellStyle name="40% - Accent1 4 2 3 2 2 3 2" xfId="19439"/>
    <cellStyle name="40% - Accent1 4 2 3 2 2 3 2 2" xfId="19440"/>
    <cellStyle name="40% - Accent1 4 2 3 2 2 3 2 3" xfId="19441"/>
    <cellStyle name="40% - Accent1 4 2 3 2 2 3 3" xfId="19442"/>
    <cellStyle name="40% - Accent1 4 2 3 2 2 3 3 2" xfId="19443"/>
    <cellStyle name="40% - Accent1 4 2 3 2 2 3 3 3" xfId="19444"/>
    <cellStyle name="40% - Accent1 4 2 3 2 2 3 4" xfId="19445"/>
    <cellStyle name="40% - Accent1 4 2 3 2 2 3 4 2" xfId="19446"/>
    <cellStyle name="40% - Accent1 4 2 3 2 2 3 5" xfId="19447"/>
    <cellStyle name="40% - Accent1 4 2 3 2 2 3 6" xfId="19448"/>
    <cellStyle name="40% - Accent1 4 2 3 2 2 4" xfId="19449"/>
    <cellStyle name="40% - Accent1 4 2 3 2 2 4 2" xfId="19450"/>
    <cellStyle name="40% - Accent1 4 2 3 2 2 4 2 2" xfId="19451"/>
    <cellStyle name="40% - Accent1 4 2 3 2 2 4 2 3" xfId="19452"/>
    <cellStyle name="40% - Accent1 4 2 3 2 2 4 3" xfId="19453"/>
    <cellStyle name="40% - Accent1 4 2 3 2 2 4 3 2" xfId="19454"/>
    <cellStyle name="40% - Accent1 4 2 3 2 2 4 4" xfId="19455"/>
    <cellStyle name="40% - Accent1 4 2 3 2 2 4 5" xfId="19456"/>
    <cellStyle name="40% - Accent1 4 2 3 2 2 5" xfId="19457"/>
    <cellStyle name="40% - Accent1 4 2 3 2 2 5 2" xfId="19458"/>
    <cellStyle name="40% - Accent1 4 2 3 2 2 5 3" xfId="19459"/>
    <cellStyle name="40% - Accent1 4 2 3 2 2 6" xfId="19460"/>
    <cellStyle name="40% - Accent1 4 2 3 2 2 6 2" xfId="19461"/>
    <cellStyle name="40% - Accent1 4 2 3 2 2 6 3" xfId="19462"/>
    <cellStyle name="40% - Accent1 4 2 3 2 2 7" xfId="19463"/>
    <cellStyle name="40% - Accent1 4 2 3 2 2 7 2" xfId="19464"/>
    <cellStyle name="40% - Accent1 4 2 3 2 2 8" xfId="19465"/>
    <cellStyle name="40% - Accent1 4 2 3 2 2 9" xfId="19466"/>
    <cellStyle name="40% - Accent1 4 2 3 2 3" xfId="19467"/>
    <cellStyle name="40% - Accent1 4 2 3 2 3 2" xfId="19468"/>
    <cellStyle name="40% - Accent1 4 2 3 2 3 2 2" xfId="19469"/>
    <cellStyle name="40% - Accent1 4 2 3 2 3 2 3" xfId="19470"/>
    <cellStyle name="40% - Accent1 4 2 3 2 3 3" xfId="19471"/>
    <cellStyle name="40% - Accent1 4 2 3 2 3 3 2" xfId="19472"/>
    <cellStyle name="40% - Accent1 4 2 3 2 3 3 3" xfId="19473"/>
    <cellStyle name="40% - Accent1 4 2 3 2 3 4" xfId="19474"/>
    <cellStyle name="40% - Accent1 4 2 3 2 3 4 2" xfId="19475"/>
    <cellStyle name="40% - Accent1 4 2 3 2 3 5" xfId="19476"/>
    <cellStyle name="40% - Accent1 4 2 3 2 3 6" xfId="19477"/>
    <cellStyle name="40% - Accent1 4 2 3 2 4" xfId="19478"/>
    <cellStyle name="40% - Accent1 4 2 3 2 4 2" xfId="19479"/>
    <cellStyle name="40% - Accent1 4 2 3 2 4 2 2" xfId="19480"/>
    <cellStyle name="40% - Accent1 4 2 3 2 4 2 3" xfId="19481"/>
    <cellStyle name="40% - Accent1 4 2 3 2 4 3" xfId="19482"/>
    <cellStyle name="40% - Accent1 4 2 3 2 4 3 2" xfId="19483"/>
    <cellStyle name="40% - Accent1 4 2 3 2 4 3 3" xfId="19484"/>
    <cellStyle name="40% - Accent1 4 2 3 2 4 4" xfId="19485"/>
    <cellStyle name="40% - Accent1 4 2 3 2 4 4 2" xfId="19486"/>
    <cellStyle name="40% - Accent1 4 2 3 2 4 5" xfId="19487"/>
    <cellStyle name="40% - Accent1 4 2 3 2 4 6" xfId="19488"/>
    <cellStyle name="40% - Accent1 4 2 3 2 5" xfId="19489"/>
    <cellStyle name="40% - Accent1 4 2 3 2 5 2" xfId="19490"/>
    <cellStyle name="40% - Accent1 4 2 3 2 5 2 2" xfId="19491"/>
    <cellStyle name="40% - Accent1 4 2 3 2 5 2 3" xfId="19492"/>
    <cellStyle name="40% - Accent1 4 2 3 2 5 3" xfId="19493"/>
    <cellStyle name="40% - Accent1 4 2 3 2 5 3 2" xfId="19494"/>
    <cellStyle name="40% - Accent1 4 2 3 2 5 4" xfId="19495"/>
    <cellStyle name="40% - Accent1 4 2 3 2 5 5" xfId="19496"/>
    <cellStyle name="40% - Accent1 4 2 3 2 6" xfId="19497"/>
    <cellStyle name="40% - Accent1 4 2 3 2 6 2" xfId="19498"/>
    <cellStyle name="40% - Accent1 4 2 3 2 6 3" xfId="19499"/>
    <cellStyle name="40% - Accent1 4 2 3 2 7" xfId="19500"/>
    <cellStyle name="40% - Accent1 4 2 3 2 7 2" xfId="19501"/>
    <cellStyle name="40% - Accent1 4 2 3 2 7 3" xfId="19502"/>
    <cellStyle name="40% - Accent1 4 2 3 2 8" xfId="19503"/>
    <cellStyle name="40% - Accent1 4 2 3 2 8 2" xfId="19504"/>
    <cellStyle name="40% - Accent1 4 2 3 2 9" xfId="19505"/>
    <cellStyle name="40% - Accent1 4 2 3 3" xfId="1575"/>
    <cellStyle name="40% - Accent1 4 2 3 3 2" xfId="19506"/>
    <cellStyle name="40% - Accent1 4 2 3 3 2 2" xfId="19507"/>
    <cellStyle name="40% - Accent1 4 2 3 3 2 2 2" xfId="19508"/>
    <cellStyle name="40% - Accent1 4 2 3 3 2 2 3" xfId="19509"/>
    <cellStyle name="40% - Accent1 4 2 3 3 2 3" xfId="19510"/>
    <cellStyle name="40% - Accent1 4 2 3 3 2 3 2" xfId="19511"/>
    <cellStyle name="40% - Accent1 4 2 3 3 2 3 3" xfId="19512"/>
    <cellStyle name="40% - Accent1 4 2 3 3 2 4" xfId="19513"/>
    <cellStyle name="40% - Accent1 4 2 3 3 2 4 2" xfId="19514"/>
    <cellStyle name="40% - Accent1 4 2 3 3 2 5" xfId="19515"/>
    <cellStyle name="40% - Accent1 4 2 3 3 2 6" xfId="19516"/>
    <cellStyle name="40% - Accent1 4 2 3 3 3" xfId="19517"/>
    <cellStyle name="40% - Accent1 4 2 3 3 3 2" xfId="19518"/>
    <cellStyle name="40% - Accent1 4 2 3 3 3 2 2" xfId="19519"/>
    <cellStyle name="40% - Accent1 4 2 3 3 3 2 3" xfId="19520"/>
    <cellStyle name="40% - Accent1 4 2 3 3 3 3" xfId="19521"/>
    <cellStyle name="40% - Accent1 4 2 3 3 3 3 2" xfId="19522"/>
    <cellStyle name="40% - Accent1 4 2 3 3 3 3 3" xfId="19523"/>
    <cellStyle name="40% - Accent1 4 2 3 3 3 4" xfId="19524"/>
    <cellStyle name="40% - Accent1 4 2 3 3 3 4 2" xfId="19525"/>
    <cellStyle name="40% - Accent1 4 2 3 3 3 5" xfId="19526"/>
    <cellStyle name="40% - Accent1 4 2 3 3 3 6" xfId="19527"/>
    <cellStyle name="40% - Accent1 4 2 3 3 4" xfId="19528"/>
    <cellStyle name="40% - Accent1 4 2 3 3 4 2" xfId="19529"/>
    <cellStyle name="40% - Accent1 4 2 3 3 4 2 2" xfId="19530"/>
    <cellStyle name="40% - Accent1 4 2 3 3 4 2 3" xfId="19531"/>
    <cellStyle name="40% - Accent1 4 2 3 3 4 3" xfId="19532"/>
    <cellStyle name="40% - Accent1 4 2 3 3 4 3 2" xfId="19533"/>
    <cellStyle name="40% - Accent1 4 2 3 3 4 4" xfId="19534"/>
    <cellStyle name="40% - Accent1 4 2 3 3 4 5" xfId="19535"/>
    <cellStyle name="40% - Accent1 4 2 3 3 5" xfId="19536"/>
    <cellStyle name="40% - Accent1 4 2 3 3 5 2" xfId="19537"/>
    <cellStyle name="40% - Accent1 4 2 3 3 5 3" xfId="19538"/>
    <cellStyle name="40% - Accent1 4 2 3 3 6" xfId="19539"/>
    <cellStyle name="40% - Accent1 4 2 3 3 6 2" xfId="19540"/>
    <cellStyle name="40% - Accent1 4 2 3 3 6 3" xfId="19541"/>
    <cellStyle name="40% - Accent1 4 2 3 3 7" xfId="19542"/>
    <cellStyle name="40% - Accent1 4 2 3 3 7 2" xfId="19543"/>
    <cellStyle name="40% - Accent1 4 2 3 3 8" xfId="19544"/>
    <cellStyle name="40% - Accent1 4 2 3 3 9" xfId="19545"/>
    <cellStyle name="40% - Accent1 4 2 3 4" xfId="19546"/>
    <cellStyle name="40% - Accent1 4 2 3 4 2" xfId="19547"/>
    <cellStyle name="40% - Accent1 4 2 3 4 2 2" xfId="19548"/>
    <cellStyle name="40% - Accent1 4 2 3 4 2 2 2" xfId="19549"/>
    <cellStyle name="40% - Accent1 4 2 3 4 2 2 3" xfId="19550"/>
    <cellStyle name="40% - Accent1 4 2 3 4 2 3" xfId="19551"/>
    <cellStyle name="40% - Accent1 4 2 3 4 2 3 2" xfId="19552"/>
    <cellStyle name="40% - Accent1 4 2 3 4 2 3 3" xfId="19553"/>
    <cellStyle name="40% - Accent1 4 2 3 4 2 4" xfId="19554"/>
    <cellStyle name="40% - Accent1 4 2 3 4 2 4 2" xfId="19555"/>
    <cellStyle name="40% - Accent1 4 2 3 4 2 5" xfId="19556"/>
    <cellStyle name="40% - Accent1 4 2 3 4 2 6" xfId="19557"/>
    <cellStyle name="40% - Accent1 4 2 3 4 3" xfId="19558"/>
    <cellStyle name="40% - Accent1 4 2 3 4 3 2" xfId="19559"/>
    <cellStyle name="40% - Accent1 4 2 3 4 3 2 2" xfId="19560"/>
    <cellStyle name="40% - Accent1 4 2 3 4 3 2 3" xfId="19561"/>
    <cellStyle name="40% - Accent1 4 2 3 4 3 3" xfId="19562"/>
    <cellStyle name="40% - Accent1 4 2 3 4 3 3 2" xfId="19563"/>
    <cellStyle name="40% - Accent1 4 2 3 4 3 3 3" xfId="19564"/>
    <cellStyle name="40% - Accent1 4 2 3 4 3 4" xfId="19565"/>
    <cellStyle name="40% - Accent1 4 2 3 4 3 4 2" xfId="19566"/>
    <cellStyle name="40% - Accent1 4 2 3 4 3 5" xfId="19567"/>
    <cellStyle name="40% - Accent1 4 2 3 4 3 6" xfId="19568"/>
    <cellStyle name="40% - Accent1 4 2 3 4 4" xfId="19569"/>
    <cellStyle name="40% - Accent1 4 2 3 4 4 2" xfId="19570"/>
    <cellStyle name="40% - Accent1 4 2 3 4 4 2 2" xfId="19571"/>
    <cellStyle name="40% - Accent1 4 2 3 4 4 2 3" xfId="19572"/>
    <cellStyle name="40% - Accent1 4 2 3 4 4 3" xfId="19573"/>
    <cellStyle name="40% - Accent1 4 2 3 4 4 3 2" xfId="19574"/>
    <cellStyle name="40% - Accent1 4 2 3 4 4 4" xfId="19575"/>
    <cellStyle name="40% - Accent1 4 2 3 4 4 5" xfId="19576"/>
    <cellStyle name="40% - Accent1 4 2 3 4 5" xfId="19577"/>
    <cellStyle name="40% - Accent1 4 2 3 4 5 2" xfId="19578"/>
    <cellStyle name="40% - Accent1 4 2 3 4 5 3" xfId="19579"/>
    <cellStyle name="40% - Accent1 4 2 3 4 6" xfId="19580"/>
    <cellStyle name="40% - Accent1 4 2 3 4 6 2" xfId="19581"/>
    <cellStyle name="40% - Accent1 4 2 3 4 6 3" xfId="19582"/>
    <cellStyle name="40% - Accent1 4 2 3 4 7" xfId="19583"/>
    <cellStyle name="40% - Accent1 4 2 3 4 7 2" xfId="19584"/>
    <cellStyle name="40% - Accent1 4 2 3 4 8" xfId="19585"/>
    <cellStyle name="40% - Accent1 4 2 3 4 9" xfId="19586"/>
    <cellStyle name="40% - Accent1 4 2 3 5" xfId="19587"/>
    <cellStyle name="40% - Accent1 4 2 3 5 2" xfId="19588"/>
    <cellStyle name="40% - Accent1 4 2 3 5 2 2" xfId="19589"/>
    <cellStyle name="40% - Accent1 4 2 3 5 2 3" xfId="19590"/>
    <cellStyle name="40% - Accent1 4 2 3 5 3" xfId="19591"/>
    <cellStyle name="40% - Accent1 4 2 3 5 3 2" xfId="19592"/>
    <cellStyle name="40% - Accent1 4 2 3 5 3 3" xfId="19593"/>
    <cellStyle name="40% - Accent1 4 2 3 5 4" xfId="19594"/>
    <cellStyle name="40% - Accent1 4 2 3 5 4 2" xfId="19595"/>
    <cellStyle name="40% - Accent1 4 2 3 5 5" xfId="19596"/>
    <cellStyle name="40% - Accent1 4 2 3 5 6" xfId="19597"/>
    <cellStyle name="40% - Accent1 4 2 3 6" xfId="19598"/>
    <cellStyle name="40% - Accent1 4 2 3 6 2" xfId="19599"/>
    <cellStyle name="40% - Accent1 4 2 3 6 2 2" xfId="19600"/>
    <cellStyle name="40% - Accent1 4 2 3 6 2 3" xfId="19601"/>
    <cellStyle name="40% - Accent1 4 2 3 6 3" xfId="19602"/>
    <cellStyle name="40% - Accent1 4 2 3 6 3 2" xfId="19603"/>
    <cellStyle name="40% - Accent1 4 2 3 6 3 3" xfId="19604"/>
    <cellStyle name="40% - Accent1 4 2 3 6 4" xfId="19605"/>
    <cellStyle name="40% - Accent1 4 2 3 6 4 2" xfId="19606"/>
    <cellStyle name="40% - Accent1 4 2 3 6 5" xfId="19607"/>
    <cellStyle name="40% - Accent1 4 2 3 6 6" xfId="19608"/>
    <cellStyle name="40% - Accent1 4 2 3 7" xfId="19609"/>
    <cellStyle name="40% - Accent1 4 2 3 7 2" xfId="19610"/>
    <cellStyle name="40% - Accent1 4 2 3 7 2 2" xfId="19611"/>
    <cellStyle name="40% - Accent1 4 2 3 7 2 3" xfId="19612"/>
    <cellStyle name="40% - Accent1 4 2 3 7 3" xfId="19613"/>
    <cellStyle name="40% - Accent1 4 2 3 7 3 2" xfId="19614"/>
    <cellStyle name="40% - Accent1 4 2 3 7 4" xfId="19615"/>
    <cellStyle name="40% - Accent1 4 2 3 7 5" xfId="19616"/>
    <cellStyle name="40% - Accent1 4 2 3 8" xfId="19617"/>
    <cellStyle name="40% - Accent1 4 2 3 8 2" xfId="19618"/>
    <cellStyle name="40% - Accent1 4 2 3 8 3" xfId="19619"/>
    <cellStyle name="40% - Accent1 4 2 3 9" xfId="19620"/>
    <cellStyle name="40% - Accent1 4 2 3 9 2" xfId="19621"/>
    <cellStyle name="40% - Accent1 4 2 3 9 3" xfId="19622"/>
    <cellStyle name="40% - Accent1 4 2 4" xfId="1576"/>
    <cellStyle name="40% - Accent1 4 2 4 10" xfId="19623"/>
    <cellStyle name="40% - Accent1 4 2 4 2" xfId="1577"/>
    <cellStyle name="40% - Accent1 4 2 4 2 2" xfId="19624"/>
    <cellStyle name="40% - Accent1 4 2 4 2 2 2" xfId="19625"/>
    <cellStyle name="40% - Accent1 4 2 4 2 2 2 2" xfId="19626"/>
    <cellStyle name="40% - Accent1 4 2 4 2 2 2 3" xfId="19627"/>
    <cellStyle name="40% - Accent1 4 2 4 2 2 3" xfId="19628"/>
    <cellStyle name="40% - Accent1 4 2 4 2 2 3 2" xfId="19629"/>
    <cellStyle name="40% - Accent1 4 2 4 2 2 3 3" xfId="19630"/>
    <cellStyle name="40% - Accent1 4 2 4 2 2 4" xfId="19631"/>
    <cellStyle name="40% - Accent1 4 2 4 2 2 4 2" xfId="19632"/>
    <cellStyle name="40% - Accent1 4 2 4 2 2 5" xfId="19633"/>
    <cellStyle name="40% - Accent1 4 2 4 2 2 6" xfId="19634"/>
    <cellStyle name="40% - Accent1 4 2 4 2 3" xfId="19635"/>
    <cellStyle name="40% - Accent1 4 2 4 2 3 2" xfId="19636"/>
    <cellStyle name="40% - Accent1 4 2 4 2 3 2 2" xfId="19637"/>
    <cellStyle name="40% - Accent1 4 2 4 2 3 2 3" xfId="19638"/>
    <cellStyle name="40% - Accent1 4 2 4 2 3 3" xfId="19639"/>
    <cellStyle name="40% - Accent1 4 2 4 2 3 3 2" xfId="19640"/>
    <cellStyle name="40% - Accent1 4 2 4 2 3 3 3" xfId="19641"/>
    <cellStyle name="40% - Accent1 4 2 4 2 3 4" xfId="19642"/>
    <cellStyle name="40% - Accent1 4 2 4 2 3 4 2" xfId="19643"/>
    <cellStyle name="40% - Accent1 4 2 4 2 3 5" xfId="19644"/>
    <cellStyle name="40% - Accent1 4 2 4 2 3 6" xfId="19645"/>
    <cellStyle name="40% - Accent1 4 2 4 2 4" xfId="19646"/>
    <cellStyle name="40% - Accent1 4 2 4 2 4 2" xfId="19647"/>
    <cellStyle name="40% - Accent1 4 2 4 2 4 2 2" xfId="19648"/>
    <cellStyle name="40% - Accent1 4 2 4 2 4 2 3" xfId="19649"/>
    <cellStyle name="40% - Accent1 4 2 4 2 4 3" xfId="19650"/>
    <cellStyle name="40% - Accent1 4 2 4 2 4 3 2" xfId="19651"/>
    <cellStyle name="40% - Accent1 4 2 4 2 4 4" xfId="19652"/>
    <cellStyle name="40% - Accent1 4 2 4 2 4 5" xfId="19653"/>
    <cellStyle name="40% - Accent1 4 2 4 2 5" xfId="19654"/>
    <cellStyle name="40% - Accent1 4 2 4 2 5 2" xfId="19655"/>
    <cellStyle name="40% - Accent1 4 2 4 2 5 3" xfId="19656"/>
    <cellStyle name="40% - Accent1 4 2 4 2 6" xfId="19657"/>
    <cellStyle name="40% - Accent1 4 2 4 2 6 2" xfId="19658"/>
    <cellStyle name="40% - Accent1 4 2 4 2 6 3" xfId="19659"/>
    <cellStyle name="40% - Accent1 4 2 4 2 7" xfId="19660"/>
    <cellStyle name="40% - Accent1 4 2 4 2 7 2" xfId="19661"/>
    <cellStyle name="40% - Accent1 4 2 4 2 8" xfId="19662"/>
    <cellStyle name="40% - Accent1 4 2 4 2 9" xfId="19663"/>
    <cellStyle name="40% - Accent1 4 2 4 3" xfId="19664"/>
    <cellStyle name="40% - Accent1 4 2 4 3 2" xfId="19665"/>
    <cellStyle name="40% - Accent1 4 2 4 3 2 2" xfId="19666"/>
    <cellStyle name="40% - Accent1 4 2 4 3 2 3" xfId="19667"/>
    <cellStyle name="40% - Accent1 4 2 4 3 3" xfId="19668"/>
    <cellStyle name="40% - Accent1 4 2 4 3 3 2" xfId="19669"/>
    <cellStyle name="40% - Accent1 4 2 4 3 3 3" xfId="19670"/>
    <cellStyle name="40% - Accent1 4 2 4 3 4" xfId="19671"/>
    <cellStyle name="40% - Accent1 4 2 4 3 4 2" xfId="19672"/>
    <cellStyle name="40% - Accent1 4 2 4 3 5" xfId="19673"/>
    <cellStyle name="40% - Accent1 4 2 4 3 6" xfId="19674"/>
    <cellStyle name="40% - Accent1 4 2 4 4" xfId="19675"/>
    <cellStyle name="40% - Accent1 4 2 4 4 2" xfId="19676"/>
    <cellStyle name="40% - Accent1 4 2 4 4 2 2" xfId="19677"/>
    <cellStyle name="40% - Accent1 4 2 4 4 2 3" xfId="19678"/>
    <cellStyle name="40% - Accent1 4 2 4 4 3" xfId="19679"/>
    <cellStyle name="40% - Accent1 4 2 4 4 3 2" xfId="19680"/>
    <cellStyle name="40% - Accent1 4 2 4 4 3 3" xfId="19681"/>
    <cellStyle name="40% - Accent1 4 2 4 4 4" xfId="19682"/>
    <cellStyle name="40% - Accent1 4 2 4 4 4 2" xfId="19683"/>
    <cellStyle name="40% - Accent1 4 2 4 4 5" xfId="19684"/>
    <cellStyle name="40% - Accent1 4 2 4 4 6" xfId="19685"/>
    <cellStyle name="40% - Accent1 4 2 4 5" xfId="19686"/>
    <cellStyle name="40% - Accent1 4 2 4 5 2" xfId="19687"/>
    <cellStyle name="40% - Accent1 4 2 4 5 2 2" xfId="19688"/>
    <cellStyle name="40% - Accent1 4 2 4 5 2 3" xfId="19689"/>
    <cellStyle name="40% - Accent1 4 2 4 5 3" xfId="19690"/>
    <cellStyle name="40% - Accent1 4 2 4 5 3 2" xfId="19691"/>
    <cellStyle name="40% - Accent1 4 2 4 5 4" xfId="19692"/>
    <cellStyle name="40% - Accent1 4 2 4 5 5" xfId="19693"/>
    <cellStyle name="40% - Accent1 4 2 4 6" xfId="19694"/>
    <cellStyle name="40% - Accent1 4 2 4 6 2" xfId="19695"/>
    <cellStyle name="40% - Accent1 4 2 4 6 3" xfId="19696"/>
    <cellStyle name="40% - Accent1 4 2 4 7" xfId="19697"/>
    <cellStyle name="40% - Accent1 4 2 4 7 2" xfId="19698"/>
    <cellStyle name="40% - Accent1 4 2 4 7 3" xfId="19699"/>
    <cellStyle name="40% - Accent1 4 2 4 8" xfId="19700"/>
    <cellStyle name="40% - Accent1 4 2 4 8 2" xfId="19701"/>
    <cellStyle name="40% - Accent1 4 2 4 9" xfId="19702"/>
    <cellStyle name="40% - Accent1 4 2 5" xfId="1578"/>
    <cellStyle name="40% - Accent1 4 2 5 2" xfId="19703"/>
    <cellStyle name="40% - Accent1 4 2 5 2 2" xfId="19704"/>
    <cellStyle name="40% - Accent1 4 2 5 2 2 2" xfId="19705"/>
    <cellStyle name="40% - Accent1 4 2 5 2 2 3" xfId="19706"/>
    <cellStyle name="40% - Accent1 4 2 5 2 3" xfId="19707"/>
    <cellStyle name="40% - Accent1 4 2 5 2 3 2" xfId="19708"/>
    <cellStyle name="40% - Accent1 4 2 5 2 3 3" xfId="19709"/>
    <cellStyle name="40% - Accent1 4 2 5 2 4" xfId="19710"/>
    <cellStyle name="40% - Accent1 4 2 5 2 4 2" xfId="19711"/>
    <cellStyle name="40% - Accent1 4 2 5 2 5" xfId="19712"/>
    <cellStyle name="40% - Accent1 4 2 5 2 6" xfId="19713"/>
    <cellStyle name="40% - Accent1 4 2 5 3" xfId="19714"/>
    <cellStyle name="40% - Accent1 4 2 5 3 2" xfId="19715"/>
    <cellStyle name="40% - Accent1 4 2 5 3 2 2" xfId="19716"/>
    <cellStyle name="40% - Accent1 4 2 5 3 2 3" xfId="19717"/>
    <cellStyle name="40% - Accent1 4 2 5 3 3" xfId="19718"/>
    <cellStyle name="40% - Accent1 4 2 5 3 3 2" xfId="19719"/>
    <cellStyle name="40% - Accent1 4 2 5 3 3 3" xfId="19720"/>
    <cellStyle name="40% - Accent1 4 2 5 3 4" xfId="19721"/>
    <cellStyle name="40% - Accent1 4 2 5 3 4 2" xfId="19722"/>
    <cellStyle name="40% - Accent1 4 2 5 3 5" xfId="19723"/>
    <cellStyle name="40% - Accent1 4 2 5 3 6" xfId="19724"/>
    <cellStyle name="40% - Accent1 4 2 5 4" xfId="19725"/>
    <cellStyle name="40% - Accent1 4 2 5 4 2" xfId="19726"/>
    <cellStyle name="40% - Accent1 4 2 5 4 2 2" xfId="19727"/>
    <cellStyle name="40% - Accent1 4 2 5 4 2 3" xfId="19728"/>
    <cellStyle name="40% - Accent1 4 2 5 4 3" xfId="19729"/>
    <cellStyle name="40% - Accent1 4 2 5 4 3 2" xfId="19730"/>
    <cellStyle name="40% - Accent1 4 2 5 4 4" xfId="19731"/>
    <cellStyle name="40% - Accent1 4 2 5 4 5" xfId="19732"/>
    <cellStyle name="40% - Accent1 4 2 5 5" xfId="19733"/>
    <cellStyle name="40% - Accent1 4 2 5 5 2" xfId="19734"/>
    <cellStyle name="40% - Accent1 4 2 5 5 3" xfId="19735"/>
    <cellStyle name="40% - Accent1 4 2 5 6" xfId="19736"/>
    <cellStyle name="40% - Accent1 4 2 5 6 2" xfId="19737"/>
    <cellStyle name="40% - Accent1 4 2 5 6 3" xfId="19738"/>
    <cellStyle name="40% - Accent1 4 2 5 7" xfId="19739"/>
    <cellStyle name="40% - Accent1 4 2 5 7 2" xfId="19740"/>
    <cellStyle name="40% - Accent1 4 2 5 8" xfId="19741"/>
    <cellStyle name="40% - Accent1 4 2 5 9" xfId="19742"/>
    <cellStyle name="40% - Accent1 4 2 6" xfId="19743"/>
    <cellStyle name="40% - Accent1 4 2 6 2" xfId="19744"/>
    <cellStyle name="40% - Accent1 4 2 6 2 2" xfId="19745"/>
    <cellStyle name="40% - Accent1 4 2 6 2 2 2" xfId="19746"/>
    <cellStyle name="40% - Accent1 4 2 6 2 2 3" xfId="19747"/>
    <cellStyle name="40% - Accent1 4 2 6 2 3" xfId="19748"/>
    <cellStyle name="40% - Accent1 4 2 6 2 3 2" xfId="19749"/>
    <cellStyle name="40% - Accent1 4 2 6 2 3 3" xfId="19750"/>
    <cellStyle name="40% - Accent1 4 2 6 2 4" xfId="19751"/>
    <cellStyle name="40% - Accent1 4 2 6 2 4 2" xfId="19752"/>
    <cellStyle name="40% - Accent1 4 2 6 2 5" xfId="19753"/>
    <cellStyle name="40% - Accent1 4 2 6 2 6" xfId="19754"/>
    <cellStyle name="40% - Accent1 4 2 6 3" xfId="19755"/>
    <cellStyle name="40% - Accent1 4 2 6 3 2" xfId="19756"/>
    <cellStyle name="40% - Accent1 4 2 6 3 2 2" xfId="19757"/>
    <cellStyle name="40% - Accent1 4 2 6 3 2 3" xfId="19758"/>
    <cellStyle name="40% - Accent1 4 2 6 3 3" xfId="19759"/>
    <cellStyle name="40% - Accent1 4 2 6 3 3 2" xfId="19760"/>
    <cellStyle name="40% - Accent1 4 2 6 3 3 3" xfId="19761"/>
    <cellStyle name="40% - Accent1 4 2 6 3 4" xfId="19762"/>
    <cellStyle name="40% - Accent1 4 2 6 3 4 2" xfId="19763"/>
    <cellStyle name="40% - Accent1 4 2 6 3 5" xfId="19764"/>
    <cellStyle name="40% - Accent1 4 2 6 3 6" xfId="19765"/>
    <cellStyle name="40% - Accent1 4 2 6 4" xfId="19766"/>
    <cellStyle name="40% - Accent1 4 2 6 4 2" xfId="19767"/>
    <cellStyle name="40% - Accent1 4 2 6 4 2 2" xfId="19768"/>
    <cellStyle name="40% - Accent1 4 2 6 4 2 3" xfId="19769"/>
    <cellStyle name="40% - Accent1 4 2 6 4 3" xfId="19770"/>
    <cellStyle name="40% - Accent1 4 2 6 4 3 2" xfId="19771"/>
    <cellStyle name="40% - Accent1 4 2 6 4 4" xfId="19772"/>
    <cellStyle name="40% - Accent1 4 2 6 4 5" xfId="19773"/>
    <cellStyle name="40% - Accent1 4 2 6 5" xfId="19774"/>
    <cellStyle name="40% - Accent1 4 2 6 5 2" xfId="19775"/>
    <cellStyle name="40% - Accent1 4 2 6 5 3" xfId="19776"/>
    <cellStyle name="40% - Accent1 4 2 6 6" xfId="19777"/>
    <cellStyle name="40% - Accent1 4 2 6 6 2" xfId="19778"/>
    <cellStyle name="40% - Accent1 4 2 6 6 3" xfId="19779"/>
    <cellStyle name="40% - Accent1 4 2 6 7" xfId="19780"/>
    <cellStyle name="40% - Accent1 4 2 6 7 2" xfId="19781"/>
    <cellStyle name="40% - Accent1 4 2 6 8" xfId="19782"/>
    <cellStyle name="40% - Accent1 4 2 6 9" xfId="19783"/>
    <cellStyle name="40% - Accent1 4 2 7" xfId="19784"/>
    <cellStyle name="40% - Accent1 4 2 7 2" xfId="19785"/>
    <cellStyle name="40% - Accent1 4 2 7 2 2" xfId="19786"/>
    <cellStyle name="40% - Accent1 4 2 7 2 3" xfId="19787"/>
    <cellStyle name="40% - Accent1 4 2 7 3" xfId="19788"/>
    <cellStyle name="40% - Accent1 4 2 7 3 2" xfId="19789"/>
    <cellStyle name="40% - Accent1 4 2 7 3 3" xfId="19790"/>
    <cellStyle name="40% - Accent1 4 2 7 4" xfId="19791"/>
    <cellStyle name="40% - Accent1 4 2 7 4 2" xfId="19792"/>
    <cellStyle name="40% - Accent1 4 2 7 5" xfId="19793"/>
    <cellStyle name="40% - Accent1 4 2 7 6" xfId="19794"/>
    <cellStyle name="40% - Accent1 4 2 8" xfId="19795"/>
    <cellStyle name="40% - Accent1 4 2 8 2" xfId="19796"/>
    <cellStyle name="40% - Accent1 4 2 8 2 2" xfId="19797"/>
    <cellStyle name="40% - Accent1 4 2 8 2 3" xfId="19798"/>
    <cellStyle name="40% - Accent1 4 2 8 3" xfId="19799"/>
    <cellStyle name="40% - Accent1 4 2 8 3 2" xfId="19800"/>
    <cellStyle name="40% - Accent1 4 2 8 3 3" xfId="19801"/>
    <cellStyle name="40% - Accent1 4 2 8 4" xfId="19802"/>
    <cellStyle name="40% - Accent1 4 2 8 4 2" xfId="19803"/>
    <cellStyle name="40% - Accent1 4 2 8 5" xfId="19804"/>
    <cellStyle name="40% - Accent1 4 2 8 6" xfId="19805"/>
    <cellStyle name="40% - Accent1 4 2 9" xfId="19806"/>
    <cellStyle name="40% - Accent1 4 2 9 2" xfId="19807"/>
    <cellStyle name="40% - Accent1 4 2 9 2 2" xfId="19808"/>
    <cellStyle name="40% - Accent1 4 2 9 2 3" xfId="19809"/>
    <cellStyle name="40% - Accent1 4 2 9 3" xfId="19810"/>
    <cellStyle name="40% - Accent1 4 2 9 3 2" xfId="19811"/>
    <cellStyle name="40% - Accent1 4 2 9 4" xfId="19812"/>
    <cellStyle name="40% - Accent1 4 2 9 5" xfId="19813"/>
    <cellStyle name="40% - Accent1 4 3" xfId="1579"/>
    <cellStyle name="40% - Accent1 4 3 10" xfId="19814"/>
    <cellStyle name="40% - Accent1 4 3 10 2" xfId="19815"/>
    <cellStyle name="40% - Accent1 4 3 10 3" xfId="19816"/>
    <cellStyle name="40% - Accent1 4 3 11" xfId="19817"/>
    <cellStyle name="40% - Accent1 4 3 11 2" xfId="19818"/>
    <cellStyle name="40% - Accent1 4 3 12" xfId="19819"/>
    <cellStyle name="40% - Accent1 4 3 13" xfId="19820"/>
    <cellStyle name="40% - Accent1 4 3 14" xfId="19821"/>
    <cellStyle name="40% - Accent1 4 3 2" xfId="1580"/>
    <cellStyle name="40% - Accent1 4 3 2 10" xfId="19822"/>
    <cellStyle name="40% - Accent1 4 3 2 10 2" xfId="19823"/>
    <cellStyle name="40% - Accent1 4 3 2 11" xfId="19824"/>
    <cellStyle name="40% - Accent1 4 3 2 12" xfId="19825"/>
    <cellStyle name="40% - Accent1 4 3 2 2" xfId="1581"/>
    <cellStyle name="40% - Accent1 4 3 2 2 10" xfId="19826"/>
    <cellStyle name="40% - Accent1 4 3 2 2 2" xfId="1582"/>
    <cellStyle name="40% - Accent1 4 3 2 2 2 2" xfId="19827"/>
    <cellStyle name="40% - Accent1 4 3 2 2 2 2 2" xfId="19828"/>
    <cellStyle name="40% - Accent1 4 3 2 2 2 2 2 2" xfId="19829"/>
    <cellStyle name="40% - Accent1 4 3 2 2 2 2 2 3" xfId="19830"/>
    <cellStyle name="40% - Accent1 4 3 2 2 2 2 3" xfId="19831"/>
    <cellStyle name="40% - Accent1 4 3 2 2 2 2 3 2" xfId="19832"/>
    <cellStyle name="40% - Accent1 4 3 2 2 2 2 3 3" xfId="19833"/>
    <cellStyle name="40% - Accent1 4 3 2 2 2 2 4" xfId="19834"/>
    <cellStyle name="40% - Accent1 4 3 2 2 2 2 4 2" xfId="19835"/>
    <cellStyle name="40% - Accent1 4 3 2 2 2 2 5" xfId="19836"/>
    <cellStyle name="40% - Accent1 4 3 2 2 2 2 6" xfId="19837"/>
    <cellStyle name="40% - Accent1 4 3 2 2 2 3" xfId="19838"/>
    <cellStyle name="40% - Accent1 4 3 2 2 2 3 2" xfId="19839"/>
    <cellStyle name="40% - Accent1 4 3 2 2 2 3 2 2" xfId="19840"/>
    <cellStyle name="40% - Accent1 4 3 2 2 2 3 2 3" xfId="19841"/>
    <cellStyle name="40% - Accent1 4 3 2 2 2 3 3" xfId="19842"/>
    <cellStyle name="40% - Accent1 4 3 2 2 2 3 3 2" xfId="19843"/>
    <cellStyle name="40% - Accent1 4 3 2 2 2 3 3 3" xfId="19844"/>
    <cellStyle name="40% - Accent1 4 3 2 2 2 3 4" xfId="19845"/>
    <cellStyle name="40% - Accent1 4 3 2 2 2 3 4 2" xfId="19846"/>
    <cellStyle name="40% - Accent1 4 3 2 2 2 3 5" xfId="19847"/>
    <cellStyle name="40% - Accent1 4 3 2 2 2 3 6" xfId="19848"/>
    <cellStyle name="40% - Accent1 4 3 2 2 2 4" xfId="19849"/>
    <cellStyle name="40% - Accent1 4 3 2 2 2 4 2" xfId="19850"/>
    <cellStyle name="40% - Accent1 4 3 2 2 2 4 2 2" xfId="19851"/>
    <cellStyle name="40% - Accent1 4 3 2 2 2 4 2 3" xfId="19852"/>
    <cellStyle name="40% - Accent1 4 3 2 2 2 4 3" xfId="19853"/>
    <cellStyle name="40% - Accent1 4 3 2 2 2 4 3 2" xfId="19854"/>
    <cellStyle name="40% - Accent1 4 3 2 2 2 4 4" xfId="19855"/>
    <cellStyle name="40% - Accent1 4 3 2 2 2 4 5" xfId="19856"/>
    <cellStyle name="40% - Accent1 4 3 2 2 2 5" xfId="19857"/>
    <cellStyle name="40% - Accent1 4 3 2 2 2 5 2" xfId="19858"/>
    <cellStyle name="40% - Accent1 4 3 2 2 2 5 3" xfId="19859"/>
    <cellStyle name="40% - Accent1 4 3 2 2 2 6" xfId="19860"/>
    <cellStyle name="40% - Accent1 4 3 2 2 2 6 2" xfId="19861"/>
    <cellStyle name="40% - Accent1 4 3 2 2 2 6 3" xfId="19862"/>
    <cellStyle name="40% - Accent1 4 3 2 2 2 7" xfId="19863"/>
    <cellStyle name="40% - Accent1 4 3 2 2 2 7 2" xfId="19864"/>
    <cellStyle name="40% - Accent1 4 3 2 2 2 8" xfId="19865"/>
    <cellStyle name="40% - Accent1 4 3 2 2 2 9" xfId="19866"/>
    <cellStyle name="40% - Accent1 4 3 2 2 3" xfId="19867"/>
    <cellStyle name="40% - Accent1 4 3 2 2 3 2" xfId="19868"/>
    <cellStyle name="40% - Accent1 4 3 2 2 3 2 2" xfId="19869"/>
    <cellStyle name="40% - Accent1 4 3 2 2 3 2 3" xfId="19870"/>
    <cellStyle name="40% - Accent1 4 3 2 2 3 3" xfId="19871"/>
    <cellStyle name="40% - Accent1 4 3 2 2 3 3 2" xfId="19872"/>
    <cellStyle name="40% - Accent1 4 3 2 2 3 3 3" xfId="19873"/>
    <cellStyle name="40% - Accent1 4 3 2 2 3 4" xfId="19874"/>
    <cellStyle name="40% - Accent1 4 3 2 2 3 4 2" xfId="19875"/>
    <cellStyle name="40% - Accent1 4 3 2 2 3 5" xfId="19876"/>
    <cellStyle name="40% - Accent1 4 3 2 2 3 6" xfId="19877"/>
    <cellStyle name="40% - Accent1 4 3 2 2 4" xfId="19878"/>
    <cellStyle name="40% - Accent1 4 3 2 2 4 2" xfId="19879"/>
    <cellStyle name="40% - Accent1 4 3 2 2 4 2 2" xfId="19880"/>
    <cellStyle name="40% - Accent1 4 3 2 2 4 2 3" xfId="19881"/>
    <cellStyle name="40% - Accent1 4 3 2 2 4 3" xfId="19882"/>
    <cellStyle name="40% - Accent1 4 3 2 2 4 3 2" xfId="19883"/>
    <cellStyle name="40% - Accent1 4 3 2 2 4 3 3" xfId="19884"/>
    <cellStyle name="40% - Accent1 4 3 2 2 4 4" xfId="19885"/>
    <cellStyle name="40% - Accent1 4 3 2 2 4 4 2" xfId="19886"/>
    <cellStyle name="40% - Accent1 4 3 2 2 4 5" xfId="19887"/>
    <cellStyle name="40% - Accent1 4 3 2 2 4 6" xfId="19888"/>
    <cellStyle name="40% - Accent1 4 3 2 2 5" xfId="19889"/>
    <cellStyle name="40% - Accent1 4 3 2 2 5 2" xfId="19890"/>
    <cellStyle name="40% - Accent1 4 3 2 2 5 2 2" xfId="19891"/>
    <cellStyle name="40% - Accent1 4 3 2 2 5 2 3" xfId="19892"/>
    <cellStyle name="40% - Accent1 4 3 2 2 5 3" xfId="19893"/>
    <cellStyle name="40% - Accent1 4 3 2 2 5 3 2" xfId="19894"/>
    <cellStyle name="40% - Accent1 4 3 2 2 5 4" xfId="19895"/>
    <cellStyle name="40% - Accent1 4 3 2 2 5 5" xfId="19896"/>
    <cellStyle name="40% - Accent1 4 3 2 2 6" xfId="19897"/>
    <cellStyle name="40% - Accent1 4 3 2 2 6 2" xfId="19898"/>
    <cellStyle name="40% - Accent1 4 3 2 2 6 3" xfId="19899"/>
    <cellStyle name="40% - Accent1 4 3 2 2 7" xfId="19900"/>
    <cellStyle name="40% - Accent1 4 3 2 2 7 2" xfId="19901"/>
    <cellStyle name="40% - Accent1 4 3 2 2 7 3" xfId="19902"/>
    <cellStyle name="40% - Accent1 4 3 2 2 8" xfId="19903"/>
    <cellStyle name="40% - Accent1 4 3 2 2 8 2" xfId="19904"/>
    <cellStyle name="40% - Accent1 4 3 2 2 9" xfId="19905"/>
    <cellStyle name="40% - Accent1 4 3 2 3" xfId="1583"/>
    <cellStyle name="40% - Accent1 4 3 2 3 2" xfId="19906"/>
    <cellStyle name="40% - Accent1 4 3 2 3 2 2" xfId="19907"/>
    <cellStyle name="40% - Accent1 4 3 2 3 2 2 2" xfId="19908"/>
    <cellStyle name="40% - Accent1 4 3 2 3 2 2 3" xfId="19909"/>
    <cellStyle name="40% - Accent1 4 3 2 3 2 3" xfId="19910"/>
    <cellStyle name="40% - Accent1 4 3 2 3 2 3 2" xfId="19911"/>
    <cellStyle name="40% - Accent1 4 3 2 3 2 3 3" xfId="19912"/>
    <cellStyle name="40% - Accent1 4 3 2 3 2 4" xfId="19913"/>
    <cellStyle name="40% - Accent1 4 3 2 3 2 4 2" xfId="19914"/>
    <cellStyle name="40% - Accent1 4 3 2 3 2 5" xfId="19915"/>
    <cellStyle name="40% - Accent1 4 3 2 3 2 6" xfId="19916"/>
    <cellStyle name="40% - Accent1 4 3 2 3 3" xfId="19917"/>
    <cellStyle name="40% - Accent1 4 3 2 3 3 2" xfId="19918"/>
    <cellStyle name="40% - Accent1 4 3 2 3 3 2 2" xfId="19919"/>
    <cellStyle name="40% - Accent1 4 3 2 3 3 2 3" xfId="19920"/>
    <cellStyle name="40% - Accent1 4 3 2 3 3 3" xfId="19921"/>
    <cellStyle name="40% - Accent1 4 3 2 3 3 3 2" xfId="19922"/>
    <cellStyle name="40% - Accent1 4 3 2 3 3 3 3" xfId="19923"/>
    <cellStyle name="40% - Accent1 4 3 2 3 3 4" xfId="19924"/>
    <cellStyle name="40% - Accent1 4 3 2 3 3 4 2" xfId="19925"/>
    <cellStyle name="40% - Accent1 4 3 2 3 3 5" xfId="19926"/>
    <cellStyle name="40% - Accent1 4 3 2 3 3 6" xfId="19927"/>
    <cellStyle name="40% - Accent1 4 3 2 3 4" xfId="19928"/>
    <cellStyle name="40% - Accent1 4 3 2 3 4 2" xfId="19929"/>
    <cellStyle name="40% - Accent1 4 3 2 3 4 2 2" xfId="19930"/>
    <cellStyle name="40% - Accent1 4 3 2 3 4 2 3" xfId="19931"/>
    <cellStyle name="40% - Accent1 4 3 2 3 4 3" xfId="19932"/>
    <cellStyle name="40% - Accent1 4 3 2 3 4 3 2" xfId="19933"/>
    <cellStyle name="40% - Accent1 4 3 2 3 4 4" xfId="19934"/>
    <cellStyle name="40% - Accent1 4 3 2 3 4 5" xfId="19935"/>
    <cellStyle name="40% - Accent1 4 3 2 3 5" xfId="19936"/>
    <cellStyle name="40% - Accent1 4 3 2 3 5 2" xfId="19937"/>
    <cellStyle name="40% - Accent1 4 3 2 3 5 3" xfId="19938"/>
    <cellStyle name="40% - Accent1 4 3 2 3 6" xfId="19939"/>
    <cellStyle name="40% - Accent1 4 3 2 3 6 2" xfId="19940"/>
    <cellStyle name="40% - Accent1 4 3 2 3 6 3" xfId="19941"/>
    <cellStyle name="40% - Accent1 4 3 2 3 7" xfId="19942"/>
    <cellStyle name="40% - Accent1 4 3 2 3 7 2" xfId="19943"/>
    <cellStyle name="40% - Accent1 4 3 2 3 8" xfId="19944"/>
    <cellStyle name="40% - Accent1 4 3 2 3 9" xfId="19945"/>
    <cellStyle name="40% - Accent1 4 3 2 4" xfId="19946"/>
    <cellStyle name="40% - Accent1 4 3 2 4 2" xfId="19947"/>
    <cellStyle name="40% - Accent1 4 3 2 4 2 2" xfId="19948"/>
    <cellStyle name="40% - Accent1 4 3 2 4 2 2 2" xfId="19949"/>
    <cellStyle name="40% - Accent1 4 3 2 4 2 2 3" xfId="19950"/>
    <cellStyle name="40% - Accent1 4 3 2 4 2 3" xfId="19951"/>
    <cellStyle name="40% - Accent1 4 3 2 4 2 3 2" xfId="19952"/>
    <cellStyle name="40% - Accent1 4 3 2 4 2 3 3" xfId="19953"/>
    <cellStyle name="40% - Accent1 4 3 2 4 2 4" xfId="19954"/>
    <cellStyle name="40% - Accent1 4 3 2 4 2 4 2" xfId="19955"/>
    <cellStyle name="40% - Accent1 4 3 2 4 2 5" xfId="19956"/>
    <cellStyle name="40% - Accent1 4 3 2 4 2 6" xfId="19957"/>
    <cellStyle name="40% - Accent1 4 3 2 4 3" xfId="19958"/>
    <cellStyle name="40% - Accent1 4 3 2 4 3 2" xfId="19959"/>
    <cellStyle name="40% - Accent1 4 3 2 4 3 2 2" xfId="19960"/>
    <cellStyle name="40% - Accent1 4 3 2 4 3 2 3" xfId="19961"/>
    <cellStyle name="40% - Accent1 4 3 2 4 3 3" xfId="19962"/>
    <cellStyle name="40% - Accent1 4 3 2 4 3 3 2" xfId="19963"/>
    <cellStyle name="40% - Accent1 4 3 2 4 3 3 3" xfId="19964"/>
    <cellStyle name="40% - Accent1 4 3 2 4 3 4" xfId="19965"/>
    <cellStyle name="40% - Accent1 4 3 2 4 3 4 2" xfId="19966"/>
    <cellStyle name="40% - Accent1 4 3 2 4 3 5" xfId="19967"/>
    <cellStyle name="40% - Accent1 4 3 2 4 3 6" xfId="19968"/>
    <cellStyle name="40% - Accent1 4 3 2 4 4" xfId="19969"/>
    <cellStyle name="40% - Accent1 4 3 2 4 4 2" xfId="19970"/>
    <cellStyle name="40% - Accent1 4 3 2 4 4 2 2" xfId="19971"/>
    <cellStyle name="40% - Accent1 4 3 2 4 4 2 3" xfId="19972"/>
    <cellStyle name="40% - Accent1 4 3 2 4 4 3" xfId="19973"/>
    <cellStyle name="40% - Accent1 4 3 2 4 4 3 2" xfId="19974"/>
    <cellStyle name="40% - Accent1 4 3 2 4 4 4" xfId="19975"/>
    <cellStyle name="40% - Accent1 4 3 2 4 4 5" xfId="19976"/>
    <cellStyle name="40% - Accent1 4 3 2 4 5" xfId="19977"/>
    <cellStyle name="40% - Accent1 4 3 2 4 5 2" xfId="19978"/>
    <cellStyle name="40% - Accent1 4 3 2 4 5 3" xfId="19979"/>
    <cellStyle name="40% - Accent1 4 3 2 4 6" xfId="19980"/>
    <cellStyle name="40% - Accent1 4 3 2 4 6 2" xfId="19981"/>
    <cellStyle name="40% - Accent1 4 3 2 4 6 3" xfId="19982"/>
    <cellStyle name="40% - Accent1 4 3 2 4 7" xfId="19983"/>
    <cellStyle name="40% - Accent1 4 3 2 4 7 2" xfId="19984"/>
    <cellStyle name="40% - Accent1 4 3 2 4 8" xfId="19985"/>
    <cellStyle name="40% - Accent1 4 3 2 4 9" xfId="19986"/>
    <cellStyle name="40% - Accent1 4 3 2 5" xfId="19987"/>
    <cellStyle name="40% - Accent1 4 3 2 5 2" xfId="19988"/>
    <cellStyle name="40% - Accent1 4 3 2 5 2 2" xfId="19989"/>
    <cellStyle name="40% - Accent1 4 3 2 5 2 3" xfId="19990"/>
    <cellStyle name="40% - Accent1 4 3 2 5 3" xfId="19991"/>
    <cellStyle name="40% - Accent1 4 3 2 5 3 2" xfId="19992"/>
    <cellStyle name="40% - Accent1 4 3 2 5 3 3" xfId="19993"/>
    <cellStyle name="40% - Accent1 4 3 2 5 4" xfId="19994"/>
    <cellStyle name="40% - Accent1 4 3 2 5 4 2" xfId="19995"/>
    <cellStyle name="40% - Accent1 4 3 2 5 5" xfId="19996"/>
    <cellStyle name="40% - Accent1 4 3 2 5 6" xfId="19997"/>
    <cellStyle name="40% - Accent1 4 3 2 6" xfId="19998"/>
    <cellStyle name="40% - Accent1 4 3 2 6 2" xfId="19999"/>
    <cellStyle name="40% - Accent1 4 3 2 6 2 2" xfId="20000"/>
    <cellStyle name="40% - Accent1 4 3 2 6 2 3" xfId="20001"/>
    <cellStyle name="40% - Accent1 4 3 2 6 3" xfId="20002"/>
    <cellStyle name="40% - Accent1 4 3 2 6 3 2" xfId="20003"/>
    <cellStyle name="40% - Accent1 4 3 2 6 3 3" xfId="20004"/>
    <cellStyle name="40% - Accent1 4 3 2 6 4" xfId="20005"/>
    <cellStyle name="40% - Accent1 4 3 2 6 4 2" xfId="20006"/>
    <cellStyle name="40% - Accent1 4 3 2 6 5" xfId="20007"/>
    <cellStyle name="40% - Accent1 4 3 2 6 6" xfId="20008"/>
    <cellStyle name="40% - Accent1 4 3 2 7" xfId="20009"/>
    <cellStyle name="40% - Accent1 4 3 2 7 2" xfId="20010"/>
    <cellStyle name="40% - Accent1 4 3 2 7 2 2" xfId="20011"/>
    <cellStyle name="40% - Accent1 4 3 2 7 2 3" xfId="20012"/>
    <cellStyle name="40% - Accent1 4 3 2 7 3" xfId="20013"/>
    <cellStyle name="40% - Accent1 4 3 2 7 3 2" xfId="20014"/>
    <cellStyle name="40% - Accent1 4 3 2 7 4" xfId="20015"/>
    <cellStyle name="40% - Accent1 4 3 2 7 5" xfId="20016"/>
    <cellStyle name="40% - Accent1 4 3 2 8" xfId="20017"/>
    <cellStyle name="40% - Accent1 4 3 2 8 2" xfId="20018"/>
    <cellStyle name="40% - Accent1 4 3 2 8 3" xfId="20019"/>
    <cellStyle name="40% - Accent1 4 3 2 9" xfId="20020"/>
    <cellStyle name="40% - Accent1 4 3 2 9 2" xfId="20021"/>
    <cellStyle name="40% - Accent1 4 3 2 9 3" xfId="20022"/>
    <cellStyle name="40% - Accent1 4 3 3" xfId="1584"/>
    <cellStyle name="40% - Accent1 4 3 3 10" xfId="20023"/>
    <cellStyle name="40% - Accent1 4 3 3 2" xfId="1585"/>
    <cellStyle name="40% - Accent1 4 3 3 2 2" xfId="20024"/>
    <cellStyle name="40% - Accent1 4 3 3 2 2 2" xfId="20025"/>
    <cellStyle name="40% - Accent1 4 3 3 2 2 2 2" xfId="20026"/>
    <cellStyle name="40% - Accent1 4 3 3 2 2 2 3" xfId="20027"/>
    <cellStyle name="40% - Accent1 4 3 3 2 2 3" xfId="20028"/>
    <cellStyle name="40% - Accent1 4 3 3 2 2 3 2" xfId="20029"/>
    <cellStyle name="40% - Accent1 4 3 3 2 2 3 3" xfId="20030"/>
    <cellStyle name="40% - Accent1 4 3 3 2 2 4" xfId="20031"/>
    <cellStyle name="40% - Accent1 4 3 3 2 2 4 2" xfId="20032"/>
    <cellStyle name="40% - Accent1 4 3 3 2 2 5" xfId="20033"/>
    <cellStyle name="40% - Accent1 4 3 3 2 2 6" xfId="20034"/>
    <cellStyle name="40% - Accent1 4 3 3 2 3" xfId="20035"/>
    <cellStyle name="40% - Accent1 4 3 3 2 3 2" xfId="20036"/>
    <cellStyle name="40% - Accent1 4 3 3 2 3 2 2" xfId="20037"/>
    <cellStyle name="40% - Accent1 4 3 3 2 3 2 3" xfId="20038"/>
    <cellStyle name="40% - Accent1 4 3 3 2 3 3" xfId="20039"/>
    <cellStyle name="40% - Accent1 4 3 3 2 3 3 2" xfId="20040"/>
    <cellStyle name="40% - Accent1 4 3 3 2 3 3 3" xfId="20041"/>
    <cellStyle name="40% - Accent1 4 3 3 2 3 4" xfId="20042"/>
    <cellStyle name="40% - Accent1 4 3 3 2 3 4 2" xfId="20043"/>
    <cellStyle name="40% - Accent1 4 3 3 2 3 5" xfId="20044"/>
    <cellStyle name="40% - Accent1 4 3 3 2 3 6" xfId="20045"/>
    <cellStyle name="40% - Accent1 4 3 3 2 4" xfId="20046"/>
    <cellStyle name="40% - Accent1 4 3 3 2 4 2" xfId="20047"/>
    <cellStyle name="40% - Accent1 4 3 3 2 4 2 2" xfId="20048"/>
    <cellStyle name="40% - Accent1 4 3 3 2 4 2 3" xfId="20049"/>
    <cellStyle name="40% - Accent1 4 3 3 2 4 3" xfId="20050"/>
    <cellStyle name="40% - Accent1 4 3 3 2 4 3 2" xfId="20051"/>
    <cellStyle name="40% - Accent1 4 3 3 2 4 4" xfId="20052"/>
    <cellStyle name="40% - Accent1 4 3 3 2 4 5" xfId="20053"/>
    <cellStyle name="40% - Accent1 4 3 3 2 5" xfId="20054"/>
    <cellStyle name="40% - Accent1 4 3 3 2 5 2" xfId="20055"/>
    <cellStyle name="40% - Accent1 4 3 3 2 5 3" xfId="20056"/>
    <cellStyle name="40% - Accent1 4 3 3 2 6" xfId="20057"/>
    <cellStyle name="40% - Accent1 4 3 3 2 6 2" xfId="20058"/>
    <cellStyle name="40% - Accent1 4 3 3 2 6 3" xfId="20059"/>
    <cellStyle name="40% - Accent1 4 3 3 2 7" xfId="20060"/>
    <cellStyle name="40% - Accent1 4 3 3 2 7 2" xfId="20061"/>
    <cellStyle name="40% - Accent1 4 3 3 2 8" xfId="20062"/>
    <cellStyle name="40% - Accent1 4 3 3 2 9" xfId="20063"/>
    <cellStyle name="40% - Accent1 4 3 3 3" xfId="20064"/>
    <cellStyle name="40% - Accent1 4 3 3 3 2" xfId="20065"/>
    <cellStyle name="40% - Accent1 4 3 3 3 2 2" xfId="20066"/>
    <cellStyle name="40% - Accent1 4 3 3 3 2 3" xfId="20067"/>
    <cellStyle name="40% - Accent1 4 3 3 3 3" xfId="20068"/>
    <cellStyle name="40% - Accent1 4 3 3 3 3 2" xfId="20069"/>
    <cellStyle name="40% - Accent1 4 3 3 3 3 3" xfId="20070"/>
    <cellStyle name="40% - Accent1 4 3 3 3 4" xfId="20071"/>
    <cellStyle name="40% - Accent1 4 3 3 3 4 2" xfId="20072"/>
    <cellStyle name="40% - Accent1 4 3 3 3 5" xfId="20073"/>
    <cellStyle name="40% - Accent1 4 3 3 3 6" xfId="20074"/>
    <cellStyle name="40% - Accent1 4 3 3 4" xfId="20075"/>
    <cellStyle name="40% - Accent1 4 3 3 4 2" xfId="20076"/>
    <cellStyle name="40% - Accent1 4 3 3 4 2 2" xfId="20077"/>
    <cellStyle name="40% - Accent1 4 3 3 4 2 3" xfId="20078"/>
    <cellStyle name="40% - Accent1 4 3 3 4 3" xfId="20079"/>
    <cellStyle name="40% - Accent1 4 3 3 4 3 2" xfId="20080"/>
    <cellStyle name="40% - Accent1 4 3 3 4 3 3" xfId="20081"/>
    <cellStyle name="40% - Accent1 4 3 3 4 4" xfId="20082"/>
    <cellStyle name="40% - Accent1 4 3 3 4 4 2" xfId="20083"/>
    <cellStyle name="40% - Accent1 4 3 3 4 5" xfId="20084"/>
    <cellStyle name="40% - Accent1 4 3 3 4 6" xfId="20085"/>
    <cellStyle name="40% - Accent1 4 3 3 5" xfId="20086"/>
    <cellStyle name="40% - Accent1 4 3 3 5 2" xfId="20087"/>
    <cellStyle name="40% - Accent1 4 3 3 5 2 2" xfId="20088"/>
    <cellStyle name="40% - Accent1 4 3 3 5 2 3" xfId="20089"/>
    <cellStyle name="40% - Accent1 4 3 3 5 3" xfId="20090"/>
    <cellStyle name="40% - Accent1 4 3 3 5 3 2" xfId="20091"/>
    <cellStyle name="40% - Accent1 4 3 3 5 4" xfId="20092"/>
    <cellStyle name="40% - Accent1 4 3 3 5 5" xfId="20093"/>
    <cellStyle name="40% - Accent1 4 3 3 6" xfId="20094"/>
    <cellStyle name="40% - Accent1 4 3 3 6 2" xfId="20095"/>
    <cellStyle name="40% - Accent1 4 3 3 6 3" xfId="20096"/>
    <cellStyle name="40% - Accent1 4 3 3 7" xfId="20097"/>
    <cellStyle name="40% - Accent1 4 3 3 7 2" xfId="20098"/>
    <cellStyle name="40% - Accent1 4 3 3 7 3" xfId="20099"/>
    <cellStyle name="40% - Accent1 4 3 3 8" xfId="20100"/>
    <cellStyle name="40% - Accent1 4 3 3 8 2" xfId="20101"/>
    <cellStyle name="40% - Accent1 4 3 3 9" xfId="20102"/>
    <cellStyle name="40% - Accent1 4 3 4" xfId="1586"/>
    <cellStyle name="40% - Accent1 4 3 4 2" xfId="20103"/>
    <cellStyle name="40% - Accent1 4 3 4 2 2" xfId="20104"/>
    <cellStyle name="40% - Accent1 4 3 4 2 2 2" xfId="20105"/>
    <cellStyle name="40% - Accent1 4 3 4 2 2 3" xfId="20106"/>
    <cellStyle name="40% - Accent1 4 3 4 2 3" xfId="20107"/>
    <cellStyle name="40% - Accent1 4 3 4 2 3 2" xfId="20108"/>
    <cellStyle name="40% - Accent1 4 3 4 2 3 3" xfId="20109"/>
    <cellStyle name="40% - Accent1 4 3 4 2 4" xfId="20110"/>
    <cellStyle name="40% - Accent1 4 3 4 2 4 2" xfId="20111"/>
    <cellStyle name="40% - Accent1 4 3 4 2 5" xfId="20112"/>
    <cellStyle name="40% - Accent1 4 3 4 2 6" xfId="20113"/>
    <cellStyle name="40% - Accent1 4 3 4 3" xfId="20114"/>
    <cellStyle name="40% - Accent1 4 3 4 3 2" xfId="20115"/>
    <cellStyle name="40% - Accent1 4 3 4 3 2 2" xfId="20116"/>
    <cellStyle name="40% - Accent1 4 3 4 3 2 3" xfId="20117"/>
    <cellStyle name="40% - Accent1 4 3 4 3 3" xfId="20118"/>
    <cellStyle name="40% - Accent1 4 3 4 3 3 2" xfId="20119"/>
    <cellStyle name="40% - Accent1 4 3 4 3 3 3" xfId="20120"/>
    <cellStyle name="40% - Accent1 4 3 4 3 4" xfId="20121"/>
    <cellStyle name="40% - Accent1 4 3 4 3 4 2" xfId="20122"/>
    <cellStyle name="40% - Accent1 4 3 4 3 5" xfId="20123"/>
    <cellStyle name="40% - Accent1 4 3 4 3 6" xfId="20124"/>
    <cellStyle name="40% - Accent1 4 3 4 4" xfId="20125"/>
    <cellStyle name="40% - Accent1 4 3 4 4 2" xfId="20126"/>
    <cellStyle name="40% - Accent1 4 3 4 4 2 2" xfId="20127"/>
    <cellStyle name="40% - Accent1 4 3 4 4 2 3" xfId="20128"/>
    <cellStyle name="40% - Accent1 4 3 4 4 3" xfId="20129"/>
    <cellStyle name="40% - Accent1 4 3 4 4 3 2" xfId="20130"/>
    <cellStyle name="40% - Accent1 4 3 4 4 4" xfId="20131"/>
    <cellStyle name="40% - Accent1 4 3 4 4 5" xfId="20132"/>
    <cellStyle name="40% - Accent1 4 3 4 5" xfId="20133"/>
    <cellStyle name="40% - Accent1 4 3 4 5 2" xfId="20134"/>
    <cellStyle name="40% - Accent1 4 3 4 5 3" xfId="20135"/>
    <cellStyle name="40% - Accent1 4 3 4 6" xfId="20136"/>
    <cellStyle name="40% - Accent1 4 3 4 6 2" xfId="20137"/>
    <cellStyle name="40% - Accent1 4 3 4 6 3" xfId="20138"/>
    <cellStyle name="40% - Accent1 4 3 4 7" xfId="20139"/>
    <cellStyle name="40% - Accent1 4 3 4 7 2" xfId="20140"/>
    <cellStyle name="40% - Accent1 4 3 4 8" xfId="20141"/>
    <cellStyle name="40% - Accent1 4 3 4 9" xfId="20142"/>
    <cellStyle name="40% - Accent1 4 3 5" xfId="20143"/>
    <cellStyle name="40% - Accent1 4 3 5 2" xfId="20144"/>
    <cellStyle name="40% - Accent1 4 3 5 2 2" xfId="20145"/>
    <cellStyle name="40% - Accent1 4 3 5 2 2 2" xfId="20146"/>
    <cellStyle name="40% - Accent1 4 3 5 2 2 3" xfId="20147"/>
    <cellStyle name="40% - Accent1 4 3 5 2 3" xfId="20148"/>
    <cellStyle name="40% - Accent1 4 3 5 2 3 2" xfId="20149"/>
    <cellStyle name="40% - Accent1 4 3 5 2 3 3" xfId="20150"/>
    <cellStyle name="40% - Accent1 4 3 5 2 4" xfId="20151"/>
    <cellStyle name="40% - Accent1 4 3 5 2 4 2" xfId="20152"/>
    <cellStyle name="40% - Accent1 4 3 5 2 5" xfId="20153"/>
    <cellStyle name="40% - Accent1 4 3 5 2 6" xfId="20154"/>
    <cellStyle name="40% - Accent1 4 3 5 3" xfId="20155"/>
    <cellStyle name="40% - Accent1 4 3 5 3 2" xfId="20156"/>
    <cellStyle name="40% - Accent1 4 3 5 3 2 2" xfId="20157"/>
    <cellStyle name="40% - Accent1 4 3 5 3 2 3" xfId="20158"/>
    <cellStyle name="40% - Accent1 4 3 5 3 3" xfId="20159"/>
    <cellStyle name="40% - Accent1 4 3 5 3 3 2" xfId="20160"/>
    <cellStyle name="40% - Accent1 4 3 5 3 3 3" xfId="20161"/>
    <cellStyle name="40% - Accent1 4 3 5 3 4" xfId="20162"/>
    <cellStyle name="40% - Accent1 4 3 5 3 4 2" xfId="20163"/>
    <cellStyle name="40% - Accent1 4 3 5 3 5" xfId="20164"/>
    <cellStyle name="40% - Accent1 4 3 5 3 6" xfId="20165"/>
    <cellStyle name="40% - Accent1 4 3 5 4" xfId="20166"/>
    <cellStyle name="40% - Accent1 4 3 5 4 2" xfId="20167"/>
    <cellStyle name="40% - Accent1 4 3 5 4 2 2" xfId="20168"/>
    <cellStyle name="40% - Accent1 4 3 5 4 2 3" xfId="20169"/>
    <cellStyle name="40% - Accent1 4 3 5 4 3" xfId="20170"/>
    <cellStyle name="40% - Accent1 4 3 5 4 3 2" xfId="20171"/>
    <cellStyle name="40% - Accent1 4 3 5 4 4" xfId="20172"/>
    <cellStyle name="40% - Accent1 4 3 5 4 5" xfId="20173"/>
    <cellStyle name="40% - Accent1 4 3 5 5" xfId="20174"/>
    <cellStyle name="40% - Accent1 4 3 5 5 2" xfId="20175"/>
    <cellStyle name="40% - Accent1 4 3 5 5 3" xfId="20176"/>
    <cellStyle name="40% - Accent1 4 3 5 6" xfId="20177"/>
    <cellStyle name="40% - Accent1 4 3 5 6 2" xfId="20178"/>
    <cellStyle name="40% - Accent1 4 3 5 6 3" xfId="20179"/>
    <cellStyle name="40% - Accent1 4 3 5 7" xfId="20180"/>
    <cellStyle name="40% - Accent1 4 3 5 7 2" xfId="20181"/>
    <cellStyle name="40% - Accent1 4 3 5 8" xfId="20182"/>
    <cellStyle name="40% - Accent1 4 3 5 9" xfId="20183"/>
    <cellStyle name="40% - Accent1 4 3 6" xfId="20184"/>
    <cellStyle name="40% - Accent1 4 3 6 2" xfId="20185"/>
    <cellStyle name="40% - Accent1 4 3 6 2 2" xfId="20186"/>
    <cellStyle name="40% - Accent1 4 3 6 2 3" xfId="20187"/>
    <cellStyle name="40% - Accent1 4 3 6 3" xfId="20188"/>
    <cellStyle name="40% - Accent1 4 3 6 3 2" xfId="20189"/>
    <cellStyle name="40% - Accent1 4 3 6 3 3" xfId="20190"/>
    <cellStyle name="40% - Accent1 4 3 6 4" xfId="20191"/>
    <cellStyle name="40% - Accent1 4 3 6 4 2" xfId="20192"/>
    <cellStyle name="40% - Accent1 4 3 6 5" xfId="20193"/>
    <cellStyle name="40% - Accent1 4 3 6 6" xfId="20194"/>
    <cellStyle name="40% - Accent1 4 3 7" xfId="20195"/>
    <cellStyle name="40% - Accent1 4 3 7 2" xfId="20196"/>
    <cellStyle name="40% - Accent1 4 3 7 2 2" xfId="20197"/>
    <cellStyle name="40% - Accent1 4 3 7 2 3" xfId="20198"/>
    <cellStyle name="40% - Accent1 4 3 7 3" xfId="20199"/>
    <cellStyle name="40% - Accent1 4 3 7 3 2" xfId="20200"/>
    <cellStyle name="40% - Accent1 4 3 7 3 3" xfId="20201"/>
    <cellStyle name="40% - Accent1 4 3 7 4" xfId="20202"/>
    <cellStyle name="40% - Accent1 4 3 7 4 2" xfId="20203"/>
    <cellStyle name="40% - Accent1 4 3 7 5" xfId="20204"/>
    <cellStyle name="40% - Accent1 4 3 7 6" xfId="20205"/>
    <cellStyle name="40% - Accent1 4 3 8" xfId="20206"/>
    <cellStyle name="40% - Accent1 4 3 8 2" xfId="20207"/>
    <cellStyle name="40% - Accent1 4 3 8 2 2" xfId="20208"/>
    <cellStyle name="40% - Accent1 4 3 8 2 3" xfId="20209"/>
    <cellStyle name="40% - Accent1 4 3 8 3" xfId="20210"/>
    <cellStyle name="40% - Accent1 4 3 8 3 2" xfId="20211"/>
    <cellStyle name="40% - Accent1 4 3 8 4" xfId="20212"/>
    <cellStyle name="40% - Accent1 4 3 8 5" xfId="20213"/>
    <cellStyle name="40% - Accent1 4 3 9" xfId="20214"/>
    <cellStyle name="40% - Accent1 4 3 9 2" xfId="20215"/>
    <cellStyle name="40% - Accent1 4 3 9 3" xfId="20216"/>
    <cellStyle name="40% - Accent1 4 4" xfId="1587"/>
    <cellStyle name="40% - Accent1 4 4 10" xfId="20217"/>
    <cellStyle name="40% - Accent1 4 4 10 2" xfId="20218"/>
    <cellStyle name="40% - Accent1 4 4 11" xfId="20219"/>
    <cellStyle name="40% - Accent1 4 4 12" xfId="20220"/>
    <cellStyle name="40% - Accent1 4 4 2" xfId="1588"/>
    <cellStyle name="40% - Accent1 4 4 2 10" xfId="20221"/>
    <cellStyle name="40% - Accent1 4 4 2 2" xfId="1589"/>
    <cellStyle name="40% - Accent1 4 4 2 2 2" xfId="20222"/>
    <cellStyle name="40% - Accent1 4 4 2 2 2 2" xfId="20223"/>
    <cellStyle name="40% - Accent1 4 4 2 2 2 2 2" xfId="20224"/>
    <cellStyle name="40% - Accent1 4 4 2 2 2 2 3" xfId="20225"/>
    <cellStyle name="40% - Accent1 4 4 2 2 2 3" xfId="20226"/>
    <cellStyle name="40% - Accent1 4 4 2 2 2 3 2" xfId="20227"/>
    <cellStyle name="40% - Accent1 4 4 2 2 2 3 3" xfId="20228"/>
    <cellStyle name="40% - Accent1 4 4 2 2 2 4" xfId="20229"/>
    <cellStyle name="40% - Accent1 4 4 2 2 2 4 2" xfId="20230"/>
    <cellStyle name="40% - Accent1 4 4 2 2 2 5" xfId="20231"/>
    <cellStyle name="40% - Accent1 4 4 2 2 2 6" xfId="20232"/>
    <cellStyle name="40% - Accent1 4 4 2 2 3" xfId="20233"/>
    <cellStyle name="40% - Accent1 4 4 2 2 3 2" xfId="20234"/>
    <cellStyle name="40% - Accent1 4 4 2 2 3 2 2" xfId="20235"/>
    <cellStyle name="40% - Accent1 4 4 2 2 3 2 3" xfId="20236"/>
    <cellStyle name="40% - Accent1 4 4 2 2 3 3" xfId="20237"/>
    <cellStyle name="40% - Accent1 4 4 2 2 3 3 2" xfId="20238"/>
    <cellStyle name="40% - Accent1 4 4 2 2 3 3 3" xfId="20239"/>
    <cellStyle name="40% - Accent1 4 4 2 2 3 4" xfId="20240"/>
    <cellStyle name="40% - Accent1 4 4 2 2 3 4 2" xfId="20241"/>
    <cellStyle name="40% - Accent1 4 4 2 2 3 5" xfId="20242"/>
    <cellStyle name="40% - Accent1 4 4 2 2 3 6" xfId="20243"/>
    <cellStyle name="40% - Accent1 4 4 2 2 4" xfId="20244"/>
    <cellStyle name="40% - Accent1 4 4 2 2 4 2" xfId="20245"/>
    <cellStyle name="40% - Accent1 4 4 2 2 4 2 2" xfId="20246"/>
    <cellStyle name="40% - Accent1 4 4 2 2 4 2 3" xfId="20247"/>
    <cellStyle name="40% - Accent1 4 4 2 2 4 3" xfId="20248"/>
    <cellStyle name="40% - Accent1 4 4 2 2 4 3 2" xfId="20249"/>
    <cellStyle name="40% - Accent1 4 4 2 2 4 4" xfId="20250"/>
    <cellStyle name="40% - Accent1 4 4 2 2 4 5" xfId="20251"/>
    <cellStyle name="40% - Accent1 4 4 2 2 5" xfId="20252"/>
    <cellStyle name="40% - Accent1 4 4 2 2 5 2" xfId="20253"/>
    <cellStyle name="40% - Accent1 4 4 2 2 5 3" xfId="20254"/>
    <cellStyle name="40% - Accent1 4 4 2 2 6" xfId="20255"/>
    <cellStyle name="40% - Accent1 4 4 2 2 6 2" xfId="20256"/>
    <cellStyle name="40% - Accent1 4 4 2 2 6 3" xfId="20257"/>
    <cellStyle name="40% - Accent1 4 4 2 2 7" xfId="20258"/>
    <cellStyle name="40% - Accent1 4 4 2 2 7 2" xfId="20259"/>
    <cellStyle name="40% - Accent1 4 4 2 2 8" xfId="20260"/>
    <cellStyle name="40% - Accent1 4 4 2 2 9" xfId="20261"/>
    <cellStyle name="40% - Accent1 4 4 2 3" xfId="20262"/>
    <cellStyle name="40% - Accent1 4 4 2 3 2" xfId="20263"/>
    <cellStyle name="40% - Accent1 4 4 2 3 2 2" xfId="20264"/>
    <cellStyle name="40% - Accent1 4 4 2 3 2 3" xfId="20265"/>
    <cellStyle name="40% - Accent1 4 4 2 3 3" xfId="20266"/>
    <cellStyle name="40% - Accent1 4 4 2 3 3 2" xfId="20267"/>
    <cellStyle name="40% - Accent1 4 4 2 3 3 3" xfId="20268"/>
    <cellStyle name="40% - Accent1 4 4 2 3 4" xfId="20269"/>
    <cellStyle name="40% - Accent1 4 4 2 3 4 2" xfId="20270"/>
    <cellStyle name="40% - Accent1 4 4 2 3 5" xfId="20271"/>
    <cellStyle name="40% - Accent1 4 4 2 3 6" xfId="20272"/>
    <cellStyle name="40% - Accent1 4 4 2 4" xfId="20273"/>
    <cellStyle name="40% - Accent1 4 4 2 4 2" xfId="20274"/>
    <cellStyle name="40% - Accent1 4 4 2 4 2 2" xfId="20275"/>
    <cellStyle name="40% - Accent1 4 4 2 4 2 3" xfId="20276"/>
    <cellStyle name="40% - Accent1 4 4 2 4 3" xfId="20277"/>
    <cellStyle name="40% - Accent1 4 4 2 4 3 2" xfId="20278"/>
    <cellStyle name="40% - Accent1 4 4 2 4 3 3" xfId="20279"/>
    <cellStyle name="40% - Accent1 4 4 2 4 4" xfId="20280"/>
    <cellStyle name="40% - Accent1 4 4 2 4 4 2" xfId="20281"/>
    <cellStyle name="40% - Accent1 4 4 2 4 5" xfId="20282"/>
    <cellStyle name="40% - Accent1 4 4 2 4 6" xfId="20283"/>
    <cellStyle name="40% - Accent1 4 4 2 5" xfId="20284"/>
    <cellStyle name="40% - Accent1 4 4 2 5 2" xfId="20285"/>
    <cellStyle name="40% - Accent1 4 4 2 5 2 2" xfId="20286"/>
    <cellStyle name="40% - Accent1 4 4 2 5 2 3" xfId="20287"/>
    <cellStyle name="40% - Accent1 4 4 2 5 3" xfId="20288"/>
    <cellStyle name="40% - Accent1 4 4 2 5 3 2" xfId="20289"/>
    <cellStyle name="40% - Accent1 4 4 2 5 4" xfId="20290"/>
    <cellStyle name="40% - Accent1 4 4 2 5 5" xfId="20291"/>
    <cellStyle name="40% - Accent1 4 4 2 6" xfId="20292"/>
    <cellStyle name="40% - Accent1 4 4 2 6 2" xfId="20293"/>
    <cellStyle name="40% - Accent1 4 4 2 6 3" xfId="20294"/>
    <cellStyle name="40% - Accent1 4 4 2 7" xfId="20295"/>
    <cellStyle name="40% - Accent1 4 4 2 7 2" xfId="20296"/>
    <cellStyle name="40% - Accent1 4 4 2 7 3" xfId="20297"/>
    <cellStyle name="40% - Accent1 4 4 2 8" xfId="20298"/>
    <cellStyle name="40% - Accent1 4 4 2 8 2" xfId="20299"/>
    <cellStyle name="40% - Accent1 4 4 2 9" xfId="20300"/>
    <cellStyle name="40% - Accent1 4 4 3" xfId="1590"/>
    <cellStyle name="40% - Accent1 4 4 3 2" xfId="20301"/>
    <cellStyle name="40% - Accent1 4 4 3 2 2" xfId="20302"/>
    <cellStyle name="40% - Accent1 4 4 3 2 2 2" xfId="20303"/>
    <cellStyle name="40% - Accent1 4 4 3 2 2 3" xfId="20304"/>
    <cellStyle name="40% - Accent1 4 4 3 2 3" xfId="20305"/>
    <cellStyle name="40% - Accent1 4 4 3 2 3 2" xfId="20306"/>
    <cellStyle name="40% - Accent1 4 4 3 2 3 3" xfId="20307"/>
    <cellStyle name="40% - Accent1 4 4 3 2 4" xfId="20308"/>
    <cellStyle name="40% - Accent1 4 4 3 2 4 2" xfId="20309"/>
    <cellStyle name="40% - Accent1 4 4 3 2 5" xfId="20310"/>
    <cellStyle name="40% - Accent1 4 4 3 2 6" xfId="20311"/>
    <cellStyle name="40% - Accent1 4 4 3 3" xfId="20312"/>
    <cellStyle name="40% - Accent1 4 4 3 3 2" xfId="20313"/>
    <cellStyle name="40% - Accent1 4 4 3 3 2 2" xfId="20314"/>
    <cellStyle name="40% - Accent1 4 4 3 3 2 3" xfId="20315"/>
    <cellStyle name="40% - Accent1 4 4 3 3 3" xfId="20316"/>
    <cellStyle name="40% - Accent1 4 4 3 3 3 2" xfId="20317"/>
    <cellStyle name="40% - Accent1 4 4 3 3 3 3" xfId="20318"/>
    <cellStyle name="40% - Accent1 4 4 3 3 4" xfId="20319"/>
    <cellStyle name="40% - Accent1 4 4 3 3 4 2" xfId="20320"/>
    <cellStyle name="40% - Accent1 4 4 3 3 5" xfId="20321"/>
    <cellStyle name="40% - Accent1 4 4 3 3 6" xfId="20322"/>
    <cellStyle name="40% - Accent1 4 4 3 4" xfId="20323"/>
    <cellStyle name="40% - Accent1 4 4 3 4 2" xfId="20324"/>
    <cellStyle name="40% - Accent1 4 4 3 4 2 2" xfId="20325"/>
    <cellStyle name="40% - Accent1 4 4 3 4 2 3" xfId="20326"/>
    <cellStyle name="40% - Accent1 4 4 3 4 3" xfId="20327"/>
    <cellStyle name="40% - Accent1 4 4 3 4 3 2" xfId="20328"/>
    <cellStyle name="40% - Accent1 4 4 3 4 4" xfId="20329"/>
    <cellStyle name="40% - Accent1 4 4 3 4 5" xfId="20330"/>
    <cellStyle name="40% - Accent1 4 4 3 5" xfId="20331"/>
    <cellStyle name="40% - Accent1 4 4 3 5 2" xfId="20332"/>
    <cellStyle name="40% - Accent1 4 4 3 5 3" xfId="20333"/>
    <cellStyle name="40% - Accent1 4 4 3 6" xfId="20334"/>
    <cellStyle name="40% - Accent1 4 4 3 6 2" xfId="20335"/>
    <cellStyle name="40% - Accent1 4 4 3 6 3" xfId="20336"/>
    <cellStyle name="40% - Accent1 4 4 3 7" xfId="20337"/>
    <cellStyle name="40% - Accent1 4 4 3 7 2" xfId="20338"/>
    <cellStyle name="40% - Accent1 4 4 3 8" xfId="20339"/>
    <cellStyle name="40% - Accent1 4 4 3 9" xfId="20340"/>
    <cellStyle name="40% - Accent1 4 4 4" xfId="20341"/>
    <cellStyle name="40% - Accent1 4 4 4 2" xfId="20342"/>
    <cellStyle name="40% - Accent1 4 4 4 2 2" xfId="20343"/>
    <cellStyle name="40% - Accent1 4 4 4 2 2 2" xfId="20344"/>
    <cellStyle name="40% - Accent1 4 4 4 2 2 3" xfId="20345"/>
    <cellStyle name="40% - Accent1 4 4 4 2 3" xfId="20346"/>
    <cellStyle name="40% - Accent1 4 4 4 2 3 2" xfId="20347"/>
    <cellStyle name="40% - Accent1 4 4 4 2 3 3" xfId="20348"/>
    <cellStyle name="40% - Accent1 4 4 4 2 4" xfId="20349"/>
    <cellStyle name="40% - Accent1 4 4 4 2 4 2" xfId="20350"/>
    <cellStyle name="40% - Accent1 4 4 4 2 5" xfId="20351"/>
    <cellStyle name="40% - Accent1 4 4 4 2 6" xfId="20352"/>
    <cellStyle name="40% - Accent1 4 4 4 3" xfId="20353"/>
    <cellStyle name="40% - Accent1 4 4 4 3 2" xfId="20354"/>
    <cellStyle name="40% - Accent1 4 4 4 3 2 2" xfId="20355"/>
    <cellStyle name="40% - Accent1 4 4 4 3 2 3" xfId="20356"/>
    <cellStyle name="40% - Accent1 4 4 4 3 3" xfId="20357"/>
    <cellStyle name="40% - Accent1 4 4 4 3 3 2" xfId="20358"/>
    <cellStyle name="40% - Accent1 4 4 4 3 3 3" xfId="20359"/>
    <cellStyle name="40% - Accent1 4 4 4 3 4" xfId="20360"/>
    <cellStyle name="40% - Accent1 4 4 4 3 4 2" xfId="20361"/>
    <cellStyle name="40% - Accent1 4 4 4 3 5" xfId="20362"/>
    <cellStyle name="40% - Accent1 4 4 4 3 6" xfId="20363"/>
    <cellStyle name="40% - Accent1 4 4 4 4" xfId="20364"/>
    <cellStyle name="40% - Accent1 4 4 4 4 2" xfId="20365"/>
    <cellStyle name="40% - Accent1 4 4 4 4 2 2" xfId="20366"/>
    <cellStyle name="40% - Accent1 4 4 4 4 2 3" xfId="20367"/>
    <cellStyle name="40% - Accent1 4 4 4 4 3" xfId="20368"/>
    <cellStyle name="40% - Accent1 4 4 4 4 3 2" xfId="20369"/>
    <cellStyle name="40% - Accent1 4 4 4 4 4" xfId="20370"/>
    <cellStyle name="40% - Accent1 4 4 4 4 5" xfId="20371"/>
    <cellStyle name="40% - Accent1 4 4 4 5" xfId="20372"/>
    <cellStyle name="40% - Accent1 4 4 4 5 2" xfId="20373"/>
    <cellStyle name="40% - Accent1 4 4 4 5 3" xfId="20374"/>
    <cellStyle name="40% - Accent1 4 4 4 6" xfId="20375"/>
    <cellStyle name="40% - Accent1 4 4 4 6 2" xfId="20376"/>
    <cellStyle name="40% - Accent1 4 4 4 6 3" xfId="20377"/>
    <cellStyle name="40% - Accent1 4 4 4 7" xfId="20378"/>
    <cellStyle name="40% - Accent1 4 4 4 7 2" xfId="20379"/>
    <cellStyle name="40% - Accent1 4 4 4 8" xfId="20380"/>
    <cellStyle name="40% - Accent1 4 4 4 9" xfId="20381"/>
    <cellStyle name="40% - Accent1 4 4 5" xfId="20382"/>
    <cellStyle name="40% - Accent1 4 4 5 2" xfId="20383"/>
    <cellStyle name="40% - Accent1 4 4 5 2 2" xfId="20384"/>
    <cellStyle name="40% - Accent1 4 4 5 2 3" xfId="20385"/>
    <cellStyle name="40% - Accent1 4 4 5 3" xfId="20386"/>
    <cellStyle name="40% - Accent1 4 4 5 3 2" xfId="20387"/>
    <cellStyle name="40% - Accent1 4 4 5 3 3" xfId="20388"/>
    <cellStyle name="40% - Accent1 4 4 5 4" xfId="20389"/>
    <cellStyle name="40% - Accent1 4 4 5 4 2" xfId="20390"/>
    <cellStyle name="40% - Accent1 4 4 5 5" xfId="20391"/>
    <cellStyle name="40% - Accent1 4 4 5 6" xfId="20392"/>
    <cellStyle name="40% - Accent1 4 4 6" xfId="20393"/>
    <cellStyle name="40% - Accent1 4 4 6 2" xfId="20394"/>
    <cellStyle name="40% - Accent1 4 4 6 2 2" xfId="20395"/>
    <cellStyle name="40% - Accent1 4 4 6 2 3" xfId="20396"/>
    <cellStyle name="40% - Accent1 4 4 6 3" xfId="20397"/>
    <cellStyle name="40% - Accent1 4 4 6 3 2" xfId="20398"/>
    <cellStyle name="40% - Accent1 4 4 6 3 3" xfId="20399"/>
    <cellStyle name="40% - Accent1 4 4 6 4" xfId="20400"/>
    <cellStyle name="40% - Accent1 4 4 6 4 2" xfId="20401"/>
    <cellStyle name="40% - Accent1 4 4 6 5" xfId="20402"/>
    <cellStyle name="40% - Accent1 4 4 6 6" xfId="20403"/>
    <cellStyle name="40% - Accent1 4 4 7" xfId="20404"/>
    <cellStyle name="40% - Accent1 4 4 7 2" xfId="20405"/>
    <cellStyle name="40% - Accent1 4 4 7 2 2" xfId="20406"/>
    <cellStyle name="40% - Accent1 4 4 7 2 3" xfId="20407"/>
    <cellStyle name="40% - Accent1 4 4 7 3" xfId="20408"/>
    <cellStyle name="40% - Accent1 4 4 7 3 2" xfId="20409"/>
    <cellStyle name="40% - Accent1 4 4 7 4" xfId="20410"/>
    <cellStyle name="40% - Accent1 4 4 7 5" xfId="20411"/>
    <cellStyle name="40% - Accent1 4 4 8" xfId="20412"/>
    <cellStyle name="40% - Accent1 4 4 8 2" xfId="20413"/>
    <cellStyle name="40% - Accent1 4 4 8 3" xfId="20414"/>
    <cellStyle name="40% - Accent1 4 4 9" xfId="20415"/>
    <cellStyle name="40% - Accent1 4 4 9 2" xfId="20416"/>
    <cellStyle name="40% - Accent1 4 4 9 3" xfId="20417"/>
    <cellStyle name="40% - Accent1 4 5" xfId="1591"/>
    <cellStyle name="40% - Accent1 4 5 10" xfId="20418"/>
    <cellStyle name="40% - Accent1 4 5 2" xfId="1592"/>
    <cellStyle name="40% - Accent1 4 5 2 2" xfId="20419"/>
    <cellStyle name="40% - Accent1 4 5 2 2 2" xfId="20420"/>
    <cellStyle name="40% - Accent1 4 5 2 2 2 2" xfId="20421"/>
    <cellStyle name="40% - Accent1 4 5 2 2 2 3" xfId="20422"/>
    <cellStyle name="40% - Accent1 4 5 2 2 3" xfId="20423"/>
    <cellStyle name="40% - Accent1 4 5 2 2 3 2" xfId="20424"/>
    <cellStyle name="40% - Accent1 4 5 2 2 3 3" xfId="20425"/>
    <cellStyle name="40% - Accent1 4 5 2 2 4" xfId="20426"/>
    <cellStyle name="40% - Accent1 4 5 2 2 4 2" xfId="20427"/>
    <cellStyle name="40% - Accent1 4 5 2 2 5" xfId="20428"/>
    <cellStyle name="40% - Accent1 4 5 2 2 6" xfId="20429"/>
    <cellStyle name="40% - Accent1 4 5 2 3" xfId="20430"/>
    <cellStyle name="40% - Accent1 4 5 2 3 2" xfId="20431"/>
    <cellStyle name="40% - Accent1 4 5 2 3 2 2" xfId="20432"/>
    <cellStyle name="40% - Accent1 4 5 2 3 2 3" xfId="20433"/>
    <cellStyle name="40% - Accent1 4 5 2 3 3" xfId="20434"/>
    <cellStyle name="40% - Accent1 4 5 2 3 3 2" xfId="20435"/>
    <cellStyle name="40% - Accent1 4 5 2 3 3 3" xfId="20436"/>
    <cellStyle name="40% - Accent1 4 5 2 3 4" xfId="20437"/>
    <cellStyle name="40% - Accent1 4 5 2 3 4 2" xfId="20438"/>
    <cellStyle name="40% - Accent1 4 5 2 3 5" xfId="20439"/>
    <cellStyle name="40% - Accent1 4 5 2 3 6" xfId="20440"/>
    <cellStyle name="40% - Accent1 4 5 2 4" xfId="20441"/>
    <cellStyle name="40% - Accent1 4 5 2 4 2" xfId="20442"/>
    <cellStyle name="40% - Accent1 4 5 2 4 2 2" xfId="20443"/>
    <cellStyle name="40% - Accent1 4 5 2 4 2 3" xfId="20444"/>
    <cellStyle name="40% - Accent1 4 5 2 4 3" xfId="20445"/>
    <cellStyle name="40% - Accent1 4 5 2 4 3 2" xfId="20446"/>
    <cellStyle name="40% - Accent1 4 5 2 4 4" xfId="20447"/>
    <cellStyle name="40% - Accent1 4 5 2 4 5" xfId="20448"/>
    <cellStyle name="40% - Accent1 4 5 2 5" xfId="20449"/>
    <cellStyle name="40% - Accent1 4 5 2 5 2" xfId="20450"/>
    <cellStyle name="40% - Accent1 4 5 2 5 3" xfId="20451"/>
    <cellStyle name="40% - Accent1 4 5 2 6" xfId="20452"/>
    <cellStyle name="40% - Accent1 4 5 2 6 2" xfId="20453"/>
    <cellStyle name="40% - Accent1 4 5 2 6 3" xfId="20454"/>
    <cellStyle name="40% - Accent1 4 5 2 7" xfId="20455"/>
    <cellStyle name="40% - Accent1 4 5 2 7 2" xfId="20456"/>
    <cellStyle name="40% - Accent1 4 5 2 8" xfId="20457"/>
    <cellStyle name="40% - Accent1 4 5 2 9" xfId="20458"/>
    <cellStyle name="40% - Accent1 4 5 3" xfId="20459"/>
    <cellStyle name="40% - Accent1 4 5 3 2" xfId="20460"/>
    <cellStyle name="40% - Accent1 4 5 3 2 2" xfId="20461"/>
    <cellStyle name="40% - Accent1 4 5 3 2 3" xfId="20462"/>
    <cellStyle name="40% - Accent1 4 5 3 3" xfId="20463"/>
    <cellStyle name="40% - Accent1 4 5 3 3 2" xfId="20464"/>
    <cellStyle name="40% - Accent1 4 5 3 3 3" xfId="20465"/>
    <cellStyle name="40% - Accent1 4 5 3 4" xfId="20466"/>
    <cellStyle name="40% - Accent1 4 5 3 4 2" xfId="20467"/>
    <cellStyle name="40% - Accent1 4 5 3 5" xfId="20468"/>
    <cellStyle name="40% - Accent1 4 5 3 6" xfId="20469"/>
    <cellStyle name="40% - Accent1 4 5 4" xfId="20470"/>
    <cellStyle name="40% - Accent1 4 5 4 2" xfId="20471"/>
    <cellStyle name="40% - Accent1 4 5 4 2 2" xfId="20472"/>
    <cellStyle name="40% - Accent1 4 5 4 2 3" xfId="20473"/>
    <cellStyle name="40% - Accent1 4 5 4 3" xfId="20474"/>
    <cellStyle name="40% - Accent1 4 5 4 3 2" xfId="20475"/>
    <cellStyle name="40% - Accent1 4 5 4 3 3" xfId="20476"/>
    <cellStyle name="40% - Accent1 4 5 4 4" xfId="20477"/>
    <cellStyle name="40% - Accent1 4 5 4 4 2" xfId="20478"/>
    <cellStyle name="40% - Accent1 4 5 4 5" xfId="20479"/>
    <cellStyle name="40% - Accent1 4 5 4 6" xfId="20480"/>
    <cellStyle name="40% - Accent1 4 5 5" xfId="20481"/>
    <cellStyle name="40% - Accent1 4 5 5 2" xfId="20482"/>
    <cellStyle name="40% - Accent1 4 5 5 2 2" xfId="20483"/>
    <cellStyle name="40% - Accent1 4 5 5 2 3" xfId="20484"/>
    <cellStyle name="40% - Accent1 4 5 5 3" xfId="20485"/>
    <cellStyle name="40% - Accent1 4 5 5 3 2" xfId="20486"/>
    <cellStyle name="40% - Accent1 4 5 5 4" xfId="20487"/>
    <cellStyle name="40% - Accent1 4 5 5 5" xfId="20488"/>
    <cellStyle name="40% - Accent1 4 5 6" xfId="20489"/>
    <cellStyle name="40% - Accent1 4 5 6 2" xfId="20490"/>
    <cellStyle name="40% - Accent1 4 5 6 3" xfId="20491"/>
    <cellStyle name="40% - Accent1 4 5 7" xfId="20492"/>
    <cellStyle name="40% - Accent1 4 5 7 2" xfId="20493"/>
    <cellStyle name="40% - Accent1 4 5 7 3" xfId="20494"/>
    <cellStyle name="40% - Accent1 4 5 8" xfId="20495"/>
    <cellStyle name="40% - Accent1 4 5 8 2" xfId="20496"/>
    <cellStyle name="40% - Accent1 4 5 9" xfId="20497"/>
    <cellStyle name="40% - Accent1 4 6" xfId="1593"/>
    <cellStyle name="40% - Accent1 4 6 2" xfId="20498"/>
    <cellStyle name="40% - Accent1 4 6 2 2" xfId="20499"/>
    <cellStyle name="40% - Accent1 4 6 2 2 2" xfId="20500"/>
    <cellStyle name="40% - Accent1 4 6 2 2 3" xfId="20501"/>
    <cellStyle name="40% - Accent1 4 6 2 3" xfId="20502"/>
    <cellStyle name="40% - Accent1 4 6 2 3 2" xfId="20503"/>
    <cellStyle name="40% - Accent1 4 6 2 3 3" xfId="20504"/>
    <cellStyle name="40% - Accent1 4 6 2 4" xfId="20505"/>
    <cellStyle name="40% - Accent1 4 6 2 4 2" xfId="20506"/>
    <cellStyle name="40% - Accent1 4 6 2 5" xfId="20507"/>
    <cellStyle name="40% - Accent1 4 6 2 6" xfId="20508"/>
    <cellStyle name="40% - Accent1 4 6 3" xfId="20509"/>
    <cellStyle name="40% - Accent1 4 6 3 2" xfId="20510"/>
    <cellStyle name="40% - Accent1 4 6 3 2 2" xfId="20511"/>
    <cellStyle name="40% - Accent1 4 6 3 2 3" xfId="20512"/>
    <cellStyle name="40% - Accent1 4 6 3 3" xfId="20513"/>
    <cellStyle name="40% - Accent1 4 6 3 3 2" xfId="20514"/>
    <cellStyle name="40% - Accent1 4 6 3 3 3" xfId="20515"/>
    <cellStyle name="40% - Accent1 4 6 3 4" xfId="20516"/>
    <cellStyle name="40% - Accent1 4 6 3 4 2" xfId="20517"/>
    <cellStyle name="40% - Accent1 4 6 3 5" xfId="20518"/>
    <cellStyle name="40% - Accent1 4 6 3 6" xfId="20519"/>
    <cellStyle name="40% - Accent1 4 6 4" xfId="20520"/>
    <cellStyle name="40% - Accent1 4 6 4 2" xfId="20521"/>
    <cellStyle name="40% - Accent1 4 6 4 2 2" xfId="20522"/>
    <cellStyle name="40% - Accent1 4 6 4 2 3" xfId="20523"/>
    <cellStyle name="40% - Accent1 4 6 4 3" xfId="20524"/>
    <cellStyle name="40% - Accent1 4 6 4 3 2" xfId="20525"/>
    <cellStyle name="40% - Accent1 4 6 4 4" xfId="20526"/>
    <cellStyle name="40% - Accent1 4 6 4 5" xfId="20527"/>
    <cellStyle name="40% - Accent1 4 6 5" xfId="20528"/>
    <cellStyle name="40% - Accent1 4 6 5 2" xfId="20529"/>
    <cellStyle name="40% - Accent1 4 6 5 3" xfId="20530"/>
    <cellStyle name="40% - Accent1 4 6 6" xfId="20531"/>
    <cellStyle name="40% - Accent1 4 6 6 2" xfId="20532"/>
    <cellStyle name="40% - Accent1 4 6 6 3" xfId="20533"/>
    <cellStyle name="40% - Accent1 4 6 7" xfId="20534"/>
    <cellStyle name="40% - Accent1 4 6 7 2" xfId="20535"/>
    <cellStyle name="40% - Accent1 4 6 8" xfId="20536"/>
    <cellStyle name="40% - Accent1 4 6 9" xfId="20537"/>
    <cellStyle name="40% - Accent1 4 7" xfId="8989"/>
    <cellStyle name="40% - Accent1 4 7 2" xfId="20538"/>
    <cellStyle name="40% - Accent1 4 7 2 2" xfId="20539"/>
    <cellStyle name="40% - Accent1 4 7 2 2 2" xfId="20540"/>
    <cellStyle name="40% - Accent1 4 7 2 2 3" xfId="20541"/>
    <cellStyle name="40% - Accent1 4 7 2 3" xfId="20542"/>
    <cellStyle name="40% - Accent1 4 7 2 3 2" xfId="20543"/>
    <cellStyle name="40% - Accent1 4 7 2 3 3" xfId="20544"/>
    <cellStyle name="40% - Accent1 4 7 2 4" xfId="20545"/>
    <cellStyle name="40% - Accent1 4 7 2 4 2" xfId="20546"/>
    <cellStyle name="40% - Accent1 4 7 2 5" xfId="20547"/>
    <cellStyle name="40% - Accent1 4 7 2 6" xfId="20548"/>
    <cellStyle name="40% - Accent1 4 7 3" xfId="20549"/>
    <cellStyle name="40% - Accent1 4 7 3 2" xfId="20550"/>
    <cellStyle name="40% - Accent1 4 7 3 2 2" xfId="20551"/>
    <cellStyle name="40% - Accent1 4 7 3 2 3" xfId="20552"/>
    <cellStyle name="40% - Accent1 4 7 3 3" xfId="20553"/>
    <cellStyle name="40% - Accent1 4 7 3 3 2" xfId="20554"/>
    <cellStyle name="40% - Accent1 4 7 3 3 3" xfId="20555"/>
    <cellStyle name="40% - Accent1 4 7 3 4" xfId="20556"/>
    <cellStyle name="40% - Accent1 4 7 3 4 2" xfId="20557"/>
    <cellStyle name="40% - Accent1 4 7 3 5" xfId="20558"/>
    <cellStyle name="40% - Accent1 4 7 3 6" xfId="20559"/>
    <cellStyle name="40% - Accent1 4 7 4" xfId="20560"/>
    <cellStyle name="40% - Accent1 4 7 4 2" xfId="20561"/>
    <cellStyle name="40% - Accent1 4 7 4 2 2" xfId="20562"/>
    <cellStyle name="40% - Accent1 4 7 4 2 3" xfId="20563"/>
    <cellStyle name="40% - Accent1 4 7 4 3" xfId="20564"/>
    <cellStyle name="40% - Accent1 4 7 4 3 2" xfId="20565"/>
    <cellStyle name="40% - Accent1 4 7 4 4" xfId="20566"/>
    <cellStyle name="40% - Accent1 4 7 4 5" xfId="20567"/>
    <cellStyle name="40% - Accent1 4 7 5" xfId="20568"/>
    <cellStyle name="40% - Accent1 4 7 5 2" xfId="20569"/>
    <cellStyle name="40% - Accent1 4 7 5 3" xfId="20570"/>
    <cellStyle name="40% - Accent1 4 7 6" xfId="20571"/>
    <cellStyle name="40% - Accent1 4 7 6 2" xfId="20572"/>
    <cellStyle name="40% - Accent1 4 7 6 3" xfId="20573"/>
    <cellStyle name="40% - Accent1 4 7 7" xfId="20574"/>
    <cellStyle name="40% - Accent1 4 7 7 2" xfId="20575"/>
    <cellStyle name="40% - Accent1 4 7 8" xfId="20576"/>
    <cellStyle name="40% - Accent1 4 7 9" xfId="20577"/>
    <cellStyle name="40% - Accent1 4 8" xfId="20578"/>
    <cellStyle name="40% - Accent1 4 8 2" xfId="20579"/>
    <cellStyle name="40% - Accent1 4 8 2 2" xfId="20580"/>
    <cellStyle name="40% - Accent1 4 8 2 3" xfId="20581"/>
    <cellStyle name="40% - Accent1 4 8 3" xfId="20582"/>
    <cellStyle name="40% - Accent1 4 8 3 2" xfId="20583"/>
    <cellStyle name="40% - Accent1 4 8 3 3" xfId="20584"/>
    <cellStyle name="40% - Accent1 4 8 4" xfId="20585"/>
    <cellStyle name="40% - Accent1 4 8 4 2" xfId="20586"/>
    <cellStyle name="40% - Accent1 4 8 5" xfId="20587"/>
    <cellStyle name="40% - Accent1 4 8 6" xfId="20588"/>
    <cellStyle name="40% - Accent1 4 9" xfId="20589"/>
    <cellStyle name="40% - Accent1 4 9 2" xfId="20590"/>
    <cellStyle name="40% - Accent1 4 9 2 2" xfId="20591"/>
    <cellStyle name="40% - Accent1 4 9 2 3" xfId="20592"/>
    <cellStyle name="40% - Accent1 4 9 3" xfId="20593"/>
    <cellStyle name="40% - Accent1 4 9 3 2" xfId="20594"/>
    <cellStyle name="40% - Accent1 4 9 3 3" xfId="20595"/>
    <cellStyle name="40% - Accent1 4 9 4" xfId="20596"/>
    <cellStyle name="40% - Accent1 4 9 4 2" xfId="20597"/>
    <cellStyle name="40% - Accent1 4 9 5" xfId="20598"/>
    <cellStyle name="40% - Accent1 4 9 6" xfId="20599"/>
    <cellStyle name="40% - Accent1 5" xfId="1594"/>
    <cellStyle name="40% - Accent1 5 2" xfId="1595"/>
    <cellStyle name="40% - Accent1 5 2 2" xfId="1596"/>
    <cellStyle name="40% - Accent1 5 2 2 2" xfId="1597"/>
    <cellStyle name="40% - Accent1 5 2 2 2 2" xfId="1598"/>
    <cellStyle name="40% - Accent1 5 2 2 3" xfId="1599"/>
    <cellStyle name="40% - Accent1 5 2 3" xfId="1600"/>
    <cellStyle name="40% - Accent1 5 2 3 2" xfId="1601"/>
    <cellStyle name="40% - Accent1 5 2 4" xfId="1602"/>
    <cellStyle name="40% - Accent1 5 2 5" xfId="58179"/>
    <cellStyle name="40% - Accent1 5 3" xfId="1603"/>
    <cellStyle name="40% - Accent1 5 3 2" xfId="1604"/>
    <cellStyle name="40% - Accent1 5 3 2 2" xfId="1605"/>
    <cellStyle name="40% - Accent1 5 3 3" xfId="1606"/>
    <cellStyle name="40% - Accent1 5 4" xfId="1607"/>
    <cellStyle name="40% - Accent1 5 4 2" xfId="1608"/>
    <cellStyle name="40% - Accent1 5 5" xfId="1609"/>
    <cellStyle name="40% - Accent1 5 6" xfId="8990"/>
    <cellStyle name="40% - Accent1 6" xfId="1610"/>
    <cellStyle name="40% - Accent1 6 2" xfId="1611"/>
    <cellStyle name="40% - Accent1 6 2 2" xfId="1612"/>
    <cellStyle name="40% - Accent1 6 2 2 2" xfId="1613"/>
    <cellStyle name="40% - Accent1 6 2 3" xfId="1614"/>
    <cellStyle name="40% - Accent1 6 2 4" xfId="58180"/>
    <cellStyle name="40% - Accent1 6 2 5" xfId="58181"/>
    <cellStyle name="40% - Accent1 6 3" xfId="1615"/>
    <cellStyle name="40% - Accent1 6 3 2" xfId="1616"/>
    <cellStyle name="40% - Accent1 6 4" xfId="1617"/>
    <cellStyle name="40% - Accent1 6 5" xfId="58182"/>
    <cellStyle name="40% - Accent1 7" xfId="1618"/>
    <cellStyle name="40% - Accent1 7 2" xfId="1619"/>
    <cellStyle name="40% - Accent1 7 2 2" xfId="1620"/>
    <cellStyle name="40% - Accent1 7 2 2 2" xfId="1621"/>
    <cellStyle name="40% - Accent1 7 2 3" xfId="1622"/>
    <cellStyle name="40% - Accent1 7 3" xfId="1623"/>
    <cellStyle name="40% - Accent1 7 3 2" xfId="1624"/>
    <cellStyle name="40% - Accent1 7 4" xfId="1625"/>
    <cellStyle name="40% - Accent1 7 5" xfId="58183"/>
    <cellStyle name="40% - Accent1 8" xfId="1626"/>
    <cellStyle name="40% - Accent1 8 2" xfId="1627"/>
    <cellStyle name="40% - Accent1 8 2 2" xfId="1628"/>
    <cellStyle name="40% - Accent1 8 2 2 2" xfId="1629"/>
    <cellStyle name="40% - Accent1 8 2 3" xfId="1630"/>
    <cellStyle name="40% - Accent1 8 3" xfId="1631"/>
    <cellStyle name="40% - Accent1 8 3 2" xfId="1632"/>
    <cellStyle name="40% - Accent1 8 4" xfId="1633"/>
    <cellStyle name="40% - Accent1 8 5" xfId="58184"/>
    <cellStyle name="40% - Accent1 9" xfId="1634"/>
    <cellStyle name="40% - Accent1 9 2" xfId="1635"/>
    <cellStyle name="40% - Accent1 9 2 2" xfId="1636"/>
    <cellStyle name="40% - Accent1 9 3" xfId="1637"/>
    <cellStyle name="40% - Accent1 9 4" xfId="58185"/>
    <cellStyle name="40% - Accent2 10" xfId="1638"/>
    <cellStyle name="40% - Accent2 10 2" xfId="1639"/>
    <cellStyle name="40% - Accent2 10 2 2" xfId="1640"/>
    <cellStyle name="40% - Accent2 10 3" xfId="1641"/>
    <cellStyle name="40% - Accent2 10 4" xfId="58186"/>
    <cellStyle name="40% - Accent2 11" xfId="1642"/>
    <cellStyle name="40% - Accent2 11 2" xfId="1643"/>
    <cellStyle name="40% - Accent2 11 2 2" xfId="1644"/>
    <cellStyle name="40% - Accent2 11 3" xfId="1645"/>
    <cellStyle name="40% - Accent2 11 4" xfId="58187"/>
    <cellStyle name="40% - Accent2 12" xfId="1646"/>
    <cellStyle name="40% - Accent2 12 2" xfId="1647"/>
    <cellStyle name="40% - Accent2 12 3" xfId="58188"/>
    <cellStyle name="40% - Accent2 13" xfId="1648"/>
    <cellStyle name="40% - Accent2 13 2" xfId="58189"/>
    <cellStyle name="40% - Accent2 14" xfId="8991"/>
    <cellStyle name="40% - Accent2 15" xfId="20600"/>
    <cellStyle name="40% - Accent2 16" xfId="20601"/>
    <cellStyle name="40% - Accent2 17" xfId="20602"/>
    <cellStyle name="40% - Accent2 18" xfId="58190"/>
    <cellStyle name="40% - Accent2 19" xfId="58191"/>
    <cellStyle name="40% - Accent2 2" xfId="1649"/>
    <cellStyle name="40% - Accent2 2 2" xfId="1650"/>
    <cellStyle name="40% - Accent2 2 2 2" xfId="1651"/>
    <cellStyle name="40% - Accent2 2 2 2 2" xfId="1652"/>
    <cellStyle name="40% - Accent2 2 2 2 2 2" xfId="1653"/>
    <cellStyle name="40% - Accent2 2 2 2 2 2 2" xfId="1654"/>
    <cellStyle name="40% - Accent2 2 2 2 2 2 2 2" xfId="1655"/>
    <cellStyle name="40% - Accent2 2 2 2 2 2 3" xfId="1656"/>
    <cellStyle name="40% - Accent2 2 2 2 2 3" xfId="1657"/>
    <cellStyle name="40% - Accent2 2 2 2 2 3 2" xfId="1658"/>
    <cellStyle name="40% - Accent2 2 2 2 2 4" xfId="1659"/>
    <cellStyle name="40% - Accent2 2 2 2 2 5" xfId="58192"/>
    <cellStyle name="40% - Accent2 2 2 2 3" xfId="1660"/>
    <cellStyle name="40% - Accent2 2 2 2 3 2" xfId="1661"/>
    <cellStyle name="40% - Accent2 2 2 2 3 2 2" xfId="1662"/>
    <cellStyle name="40% - Accent2 2 2 2 3 3" xfId="1663"/>
    <cellStyle name="40% - Accent2 2 2 2 4" xfId="1664"/>
    <cellStyle name="40% - Accent2 2 2 2 4 2" xfId="1665"/>
    <cellStyle name="40% - Accent2 2 2 2 5" xfId="1666"/>
    <cellStyle name="40% - Accent2 2 2 2 6" xfId="58193"/>
    <cellStyle name="40% - Accent2 2 2 3" xfId="1667"/>
    <cellStyle name="40% - Accent2 2 2 3 2" xfId="1668"/>
    <cellStyle name="40% - Accent2 2 2 3 2 2" xfId="1669"/>
    <cellStyle name="40% - Accent2 2 2 3 2 2 2" xfId="1670"/>
    <cellStyle name="40% - Accent2 2 2 3 2 3" xfId="1671"/>
    <cellStyle name="40% - Accent2 2 2 3 3" xfId="1672"/>
    <cellStyle name="40% - Accent2 2 2 3 3 2" xfId="1673"/>
    <cellStyle name="40% - Accent2 2 2 3 4" xfId="1674"/>
    <cellStyle name="40% - Accent2 2 2 3 5" xfId="58194"/>
    <cellStyle name="40% - Accent2 2 2 4" xfId="1675"/>
    <cellStyle name="40% - Accent2 2 2 4 2" xfId="1676"/>
    <cellStyle name="40% - Accent2 2 2 4 2 2" xfId="1677"/>
    <cellStyle name="40% - Accent2 2 2 4 3" xfId="1678"/>
    <cellStyle name="40% - Accent2 2 2 5" xfId="1679"/>
    <cellStyle name="40% - Accent2 2 2 5 2" xfId="1680"/>
    <cellStyle name="40% - Accent2 2 2 6" xfId="1681"/>
    <cellStyle name="40% - Accent2 2 2 7" xfId="58195"/>
    <cellStyle name="40% - Accent2 2 3" xfId="1682"/>
    <cellStyle name="40% - Accent2 2 3 2" xfId="1683"/>
    <cellStyle name="40% - Accent2 2 3 2 2" xfId="1684"/>
    <cellStyle name="40% - Accent2 2 3 2 2 2" xfId="1685"/>
    <cellStyle name="40% - Accent2 2 3 2 2 2 2" xfId="1686"/>
    <cellStyle name="40% - Accent2 2 3 2 2 3" xfId="1687"/>
    <cellStyle name="40% - Accent2 2 3 2 3" xfId="1688"/>
    <cellStyle name="40% - Accent2 2 3 2 3 2" xfId="1689"/>
    <cellStyle name="40% - Accent2 2 3 2 4" xfId="1690"/>
    <cellStyle name="40% - Accent2 2 3 3" xfId="1691"/>
    <cellStyle name="40% - Accent2 2 3 3 2" xfId="1692"/>
    <cellStyle name="40% - Accent2 2 3 3 2 2" xfId="1693"/>
    <cellStyle name="40% - Accent2 2 3 3 3" xfId="1694"/>
    <cellStyle name="40% - Accent2 2 3 4" xfId="1695"/>
    <cellStyle name="40% - Accent2 2 3 4 2" xfId="1696"/>
    <cellStyle name="40% - Accent2 2 3 5" xfId="1697"/>
    <cellStyle name="40% - Accent2 2 3 6" xfId="58196"/>
    <cellStyle name="40% - Accent2 2 4" xfId="1698"/>
    <cellStyle name="40% - Accent2 2 4 2" xfId="1699"/>
    <cellStyle name="40% - Accent2 2 4 2 2" xfId="1700"/>
    <cellStyle name="40% - Accent2 2 4 2 2 2" xfId="1701"/>
    <cellStyle name="40% - Accent2 2 4 2 3" xfId="1702"/>
    <cellStyle name="40% - Accent2 2 4 3" xfId="1703"/>
    <cellStyle name="40% - Accent2 2 4 3 2" xfId="1704"/>
    <cellStyle name="40% - Accent2 2 4 4" xfId="1705"/>
    <cellStyle name="40% - Accent2 2 4 5" xfId="58197"/>
    <cellStyle name="40% - Accent2 2 5" xfId="1706"/>
    <cellStyle name="40% - Accent2 2 5 2" xfId="1707"/>
    <cellStyle name="40% - Accent2 2 5 2 2" xfId="1708"/>
    <cellStyle name="40% - Accent2 2 5 3" xfId="1709"/>
    <cellStyle name="40% - Accent2 2 5 4" xfId="58198"/>
    <cellStyle name="40% - Accent2 2 6" xfId="1710"/>
    <cellStyle name="40% - Accent2 2 6 2" xfId="1711"/>
    <cellStyle name="40% - Accent2 2 6 3" xfId="58199"/>
    <cellStyle name="40% - Accent2 2 7" xfId="1712"/>
    <cellStyle name="40% - Accent2 2 8" xfId="1713"/>
    <cellStyle name="40% - Accent2 2 9" xfId="58200"/>
    <cellStyle name="40% - Accent2 20" xfId="58201"/>
    <cellStyle name="40% - Accent2 21" xfId="58202"/>
    <cellStyle name="40% - Accent2 3" xfId="1714"/>
    <cellStyle name="40% - Accent2 3 2" xfId="1715"/>
    <cellStyle name="40% - Accent2 3 2 2" xfId="1716"/>
    <cellStyle name="40% - Accent2 3 2 2 2" xfId="1717"/>
    <cellStyle name="40% - Accent2 3 2 2 2 2" xfId="1718"/>
    <cellStyle name="40% - Accent2 3 2 2 2 2 2" xfId="1719"/>
    <cellStyle name="40% - Accent2 3 2 2 2 2 2 2" xfId="1720"/>
    <cellStyle name="40% - Accent2 3 2 2 2 2 3" xfId="1721"/>
    <cellStyle name="40% - Accent2 3 2 2 2 3" xfId="1722"/>
    <cellStyle name="40% - Accent2 3 2 2 2 3 2" xfId="1723"/>
    <cellStyle name="40% - Accent2 3 2 2 2 4" xfId="1724"/>
    <cellStyle name="40% - Accent2 3 2 2 2 5" xfId="8992"/>
    <cellStyle name="40% - Accent2 3 2 2 3" xfId="1725"/>
    <cellStyle name="40% - Accent2 3 2 2 3 2" xfId="1726"/>
    <cellStyle name="40% - Accent2 3 2 2 3 2 2" xfId="1727"/>
    <cellStyle name="40% - Accent2 3 2 2 3 3" xfId="1728"/>
    <cellStyle name="40% - Accent2 3 2 2 4" xfId="1729"/>
    <cellStyle name="40% - Accent2 3 2 2 4 2" xfId="1730"/>
    <cellStyle name="40% - Accent2 3 2 2 5" xfId="1731"/>
    <cellStyle name="40% - Accent2 3 2 2 6" xfId="8993"/>
    <cellStyle name="40% - Accent2 3 2 3" xfId="1732"/>
    <cellStyle name="40% - Accent2 3 2 3 2" xfId="1733"/>
    <cellStyle name="40% - Accent2 3 2 3 2 2" xfId="1734"/>
    <cellStyle name="40% - Accent2 3 2 3 2 2 2" xfId="1735"/>
    <cellStyle name="40% - Accent2 3 2 3 2 3" xfId="1736"/>
    <cellStyle name="40% - Accent2 3 2 3 3" xfId="1737"/>
    <cellStyle name="40% - Accent2 3 2 3 3 2" xfId="1738"/>
    <cellStyle name="40% - Accent2 3 2 3 4" xfId="1739"/>
    <cellStyle name="40% - Accent2 3 2 3 5" xfId="8994"/>
    <cellStyle name="40% - Accent2 3 2 4" xfId="1740"/>
    <cellStyle name="40% - Accent2 3 2 4 2" xfId="1741"/>
    <cellStyle name="40% - Accent2 3 2 4 2 2" xfId="1742"/>
    <cellStyle name="40% - Accent2 3 2 4 3" xfId="1743"/>
    <cellStyle name="40% - Accent2 3 2 5" xfId="1744"/>
    <cellStyle name="40% - Accent2 3 2 5 2" xfId="1745"/>
    <cellStyle name="40% - Accent2 3 2 6" xfId="1746"/>
    <cellStyle name="40% - Accent2 3 2 7" xfId="8995"/>
    <cellStyle name="40% - Accent2 3 3" xfId="1747"/>
    <cellStyle name="40% - Accent2 3 3 2" xfId="1748"/>
    <cellStyle name="40% - Accent2 3 3 2 2" xfId="1749"/>
    <cellStyle name="40% - Accent2 3 3 2 2 2" xfId="1750"/>
    <cellStyle name="40% - Accent2 3 3 2 2 2 2" xfId="1751"/>
    <cellStyle name="40% - Accent2 3 3 2 2 3" xfId="1752"/>
    <cellStyle name="40% - Accent2 3 3 2 3" xfId="1753"/>
    <cellStyle name="40% - Accent2 3 3 2 3 2" xfId="1754"/>
    <cellStyle name="40% - Accent2 3 3 2 4" xfId="1755"/>
    <cellStyle name="40% - Accent2 3 3 2 5" xfId="8996"/>
    <cellStyle name="40% - Accent2 3 3 3" xfId="1756"/>
    <cellStyle name="40% - Accent2 3 3 3 2" xfId="1757"/>
    <cellStyle name="40% - Accent2 3 3 3 2 2" xfId="1758"/>
    <cellStyle name="40% - Accent2 3 3 3 3" xfId="1759"/>
    <cellStyle name="40% - Accent2 3 3 4" xfId="1760"/>
    <cellStyle name="40% - Accent2 3 3 4 2" xfId="1761"/>
    <cellStyle name="40% - Accent2 3 3 5" xfId="1762"/>
    <cellStyle name="40% - Accent2 3 3 6" xfId="8997"/>
    <cellStyle name="40% - Accent2 3 4" xfId="1763"/>
    <cellStyle name="40% - Accent2 3 4 2" xfId="1764"/>
    <cellStyle name="40% - Accent2 3 4 2 2" xfId="1765"/>
    <cellStyle name="40% - Accent2 3 4 2 2 2" xfId="1766"/>
    <cellStyle name="40% - Accent2 3 4 2 3" xfId="1767"/>
    <cellStyle name="40% - Accent2 3 4 3" xfId="1768"/>
    <cellStyle name="40% - Accent2 3 4 3 2" xfId="1769"/>
    <cellStyle name="40% - Accent2 3 4 4" xfId="1770"/>
    <cellStyle name="40% - Accent2 3 4 5" xfId="8998"/>
    <cellStyle name="40% - Accent2 3 5" xfId="1771"/>
    <cellStyle name="40% - Accent2 3 5 2" xfId="1772"/>
    <cellStyle name="40% - Accent2 3 5 2 2" xfId="1773"/>
    <cellStyle name="40% - Accent2 3 5 3" xfId="1774"/>
    <cellStyle name="40% - Accent2 3 6" xfId="1775"/>
    <cellStyle name="40% - Accent2 3 6 2" xfId="1776"/>
    <cellStyle name="40% - Accent2 3 7" xfId="1777"/>
    <cellStyle name="40% - Accent2 3 8" xfId="1778"/>
    <cellStyle name="40% - Accent2 3 9" xfId="8999"/>
    <cellStyle name="40% - Accent2 4" xfId="1779"/>
    <cellStyle name="40% - Accent2 4 10" xfId="20603"/>
    <cellStyle name="40% - Accent2 4 10 2" xfId="20604"/>
    <cellStyle name="40% - Accent2 4 10 2 2" xfId="20605"/>
    <cellStyle name="40% - Accent2 4 10 2 3" xfId="20606"/>
    <cellStyle name="40% - Accent2 4 10 3" xfId="20607"/>
    <cellStyle name="40% - Accent2 4 10 3 2" xfId="20608"/>
    <cellStyle name="40% - Accent2 4 10 4" xfId="20609"/>
    <cellStyle name="40% - Accent2 4 10 5" xfId="20610"/>
    <cellStyle name="40% - Accent2 4 11" xfId="20611"/>
    <cellStyle name="40% - Accent2 4 11 2" xfId="20612"/>
    <cellStyle name="40% - Accent2 4 11 3" xfId="20613"/>
    <cellStyle name="40% - Accent2 4 12" xfId="20614"/>
    <cellStyle name="40% - Accent2 4 12 2" xfId="20615"/>
    <cellStyle name="40% - Accent2 4 12 3" xfId="20616"/>
    <cellStyle name="40% - Accent2 4 13" xfId="20617"/>
    <cellStyle name="40% - Accent2 4 13 2" xfId="20618"/>
    <cellStyle name="40% - Accent2 4 14" xfId="20619"/>
    <cellStyle name="40% - Accent2 4 15" xfId="20620"/>
    <cellStyle name="40% - Accent2 4 16" xfId="20621"/>
    <cellStyle name="40% - Accent2 4 2" xfId="1780"/>
    <cellStyle name="40% - Accent2 4 2 10" xfId="20622"/>
    <cellStyle name="40% - Accent2 4 2 10 2" xfId="20623"/>
    <cellStyle name="40% - Accent2 4 2 10 3" xfId="20624"/>
    <cellStyle name="40% - Accent2 4 2 11" xfId="20625"/>
    <cellStyle name="40% - Accent2 4 2 11 2" xfId="20626"/>
    <cellStyle name="40% - Accent2 4 2 11 3" xfId="20627"/>
    <cellStyle name="40% - Accent2 4 2 12" xfId="20628"/>
    <cellStyle name="40% - Accent2 4 2 12 2" xfId="20629"/>
    <cellStyle name="40% - Accent2 4 2 13" xfId="20630"/>
    <cellStyle name="40% - Accent2 4 2 14" xfId="20631"/>
    <cellStyle name="40% - Accent2 4 2 15" xfId="20632"/>
    <cellStyle name="40% - Accent2 4 2 2" xfId="1781"/>
    <cellStyle name="40% - Accent2 4 2 2 10" xfId="20633"/>
    <cellStyle name="40% - Accent2 4 2 2 10 2" xfId="20634"/>
    <cellStyle name="40% - Accent2 4 2 2 10 3" xfId="20635"/>
    <cellStyle name="40% - Accent2 4 2 2 11" xfId="20636"/>
    <cellStyle name="40% - Accent2 4 2 2 11 2" xfId="20637"/>
    <cellStyle name="40% - Accent2 4 2 2 12" xfId="20638"/>
    <cellStyle name="40% - Accent2 4 2 2 13" xfId="20639"/>
    <cellStyle name="40% - Accent2 4 2 2 2" xfId="1782"/>
    <cellStyle name="40% - Accent2 4 2 2 2 10" xfId="20640"/>
    <cellStyle name="40% - Accent2 4 2 2 2 10 2" xfId="20641"/>
    <cellStyle name="40% - Accent2 4 2 2 2 11" xfId="20642"/>
    <cellStyle name="40% - Accent2 4 2 2 2 12" xfId="20643"/>
    <cellStyle name="40% - Accent2 4 2 2 2 2" xfId="1783"/>
    <cellStyle name="40% - Accent2 4 2 2 2 2 10" xfId="20644"/>
    <cellStyle name="40% - Accent2 4 2 2 2 2 2" xfId="1784"/>
    <cellStyle name="40% - Accent2 4 2 2 2 2 2 2" xfId="20645"/>
    <cellStyle name="40% - Accent2 4 2 2 2 2 2 2 2" xfId="20646"/>
    <cellStyle name="40% - Accent2 4 2 2 2 2 2 2 2 2" xfId="20647"/>
    <cellStyle name="40% - Accent2 4 2 2 2 2 2 2 2 3" xfId="20648"/>
    <cellStyle name="40% - Accent2 4 2 2 2 2 2 2 3" xfId="20649"/>
    <cellStyle name="40% - Accent2 4 2 2 2 2 2 2 3 2" xfId="20650"/>
    <cellStyle name="40% - Accent2 4 2 2 2 2 2 2 3 3" xfId="20651"/>
    <cellStyle name="40% - Accent2 4 2 2 2 2 2 2 4" xfId="20652"/>
    <cellStyle name="40% - Accent2 4 2 2 2 2 2 2 4 2" xfId="20653"/>
    <cellStyle name="40% - Accent2 4 2 2 2 2 2 2 5" xfId="20654"/>
    <cellStyle name="40% - Accent2 4 2 2 2 2 2 2 6" xfId="20655"/>
    <cellStyle name="40% - Accent2 4 2 2 2 2 2 3" xfId="20656"/>
    <cellStyle name="40% - Accent2 4 2 2 2 2 2 3 2" xfId="20657"/>
    <cellStyle name="40% - Accent2 4 2 2 2 2 2 3 2 2" xfId="20658"/>
    <cellStyle name="40% - Accent2 4 2 2 2 2 2 3 2 3" xfId="20659"/>
    <cellStyle name="40% - Accent2 4 2 2 2 2 2 3 3" xfId="20660"/>
    <cellStyle name="40% - Accent2 4 2 2 2 2 2 3 3 2" xfId="20661"/>
    <cellStyle name="40% - Accent2 4 2 2 2 2 2 3 3 3" xfId="20662"/>
    <cellStyle name="40% - Accent2 4 2 2 2 2 2 3 4" xfId="20663"/>
    <cellStyle name="40% - Accent2 4 2 2 2 2 2 3 4 2" xfId="20664"/>
    <cellStyle name="40% - Accent2 4 2 2 2 2 2 3 5" xfId="20665"/>
    <cellStyle name="40% - Accent2 4 2 2 2 2 2 3 6" xfId="20666"/>
    <cellStyle name="40% - Accent2 4 2 2 2 2 2 4" xfId="20667"/>
    <cellStyle name="40% - Accent2 4 2 2 2 2 2 4 2" xfId="20668"/>
    <cellStyle name="40% - Accent2 4 2 2 2 2 2 4 2 2" xfId="20669"/>
    <cellStyle name="40% - Accent2 4 2 2 2 2 2 4 2 3" xfId="20670"/>
    <cellStyle name="40% - Accent2 4 2 2 2 2 2 4 3" xfId="20671"/>
    <cellStyle name="40% - Accent2 4 2 2 2 2 2 4 3 2" xfId="20672"/>
    <cellStyle name="40% - Accent2 4 2 2 2 2 2 4 4" xfId="20673"/>
    <cellStyle name="40% - Accent2 4 2 2 2 2 2 4 5" xfId="20674"/>
    <cellStyle name="40% - Accent2 4 2 2 2 2 2 5" xfId="20675"/>
    <cellStyle name="40% - Accent2 4 2 2 2 2 2 5 2" xfId="20676"/>
    <cellStyle name="40% - Accent2 4 2 2 2 2 2 5 3" xfId="20677"/>
    <cellStyle name="40% - Accent2 4 2 2 2 2 2 6" xfId="20678"/>
    <cellStyle name="40% - Accent2 4 2 2 2 2 2 6 2" xfId="20679"/>
    <cellStyle name="40% - Accent2 4 2 2 2 2 2 6 3" xfId="20680"/>
    <cellStyle name="40% - Accent2 4 2 2 2 2 2 7" xfId="20681"/>
    <cellStyle name="40% - Accent2 4 2 2 2 2 2 7 2" xfId="20682"/>
    <cellStyle name="40% - Accent2 4 2 2 2 2 2 8" xfId="20683"/>
    <cellStyle name="40% - Accent2 4 2 2 2 2 2 9" xfId="20684"/>
    <cellStyle name="40% - Accent2 4 2 2 2 2 3" xfId="20685"/>
    <cellStyle name="40% - Accent2 4 2 2 2 2 3 2" xfId="20686"/>
    <cellStyle name="40% - Accent2 4 2 2 2 2 3 2 2" xfId="20687"/>
    <cellStyle name="40% - Accent2 4 2 2 2 2 3 2 3" xfId="20688"/>
    <cellStyle name="40% - Accent2 4 2 2 2 2 3 3" xfId="20689"/>
    <cellStyle name="40% - Accent2 4 2 2 2 2 3 3 2" xfId="20690"/>
    <cellStyle name="40% - Accent2 4 2 2 2 2 3 3 3" xfId="20691"/>
    <cellStyle name="40% - Accent2 4 2 2 2 2 3 4" xfId="20692"/>
    <cellStyle name="40% - Accent2 4 2 2 2 2 3 4 2" xfId="20693"/>
    <cellStyle name="40% - Accent2 4 2 2 2 2 3 5" xfId="20694"/>
    <cellStyle name="40% - Accent2 4 2 2 2 2 3 6" xfId="20695"/>
    <cellStyle name="40% - Accent2 4 2 2 2 2 4" xfId="20696"/>
    <cellStyle name="40% - Accent2 4 2 2 2 2 4 2" xfId="20697"/>
    <cellStyle name="40% - Accent2 4 2 2 2 2 4 2 2" xfId="20698"/>
    <cellStyle name="40% - Accent2 4 2 2 2 2 4 2 3" xfId="20699"/>
    <cellStyle name="40% - Accent2 4 2 2 2 2 4 3" xfId="20700"/>
    <cellStyle name="40% - Accent2 4 2 2 2 2 4 3 2" xfId="20701"/>
    <cellStyle name="40% - Accent2 4 2 2 2 2 4 3 3" xfId="20702"/>
    <cellStyle name="40% - Accent2 4 2 2 2 2 4 4" xfId="20703"/>
    <cellStyle name="40% - Accent2 4 2 2 2 2 4 4 2" xfId="20704"/>
    <cellStyle name="40% - Accent2 4 2 2 2 2 4 5" xfId="20705"/>
    <cellStyle name="40% - Accent2 4 2 2 2 2 4 6" xfId="20706"/>
    <cellStyle name="40% - Accent2 4 2 2 2 2 5" xfId="20707"/>
    <cellStyle name="40% - Accent2 4 2 2 2 2 5 2" xfId="20708"/>
    <cellStyle name="40% - Accent2 4 2 2 2 2 5 2 2" xfId="20709"/>
    <cellStyle name="40% - Accent2 4 2 2 2 2 5 2 3" xfId="20710"/>
    <cellStyle name="40% - Accent2 4 2 2 2 2 5 3" xfId="20711"/>
    <cellStyle name="40% - Accent2 4 2 2 2 2 5 3 2" xfId="20712"/>
    <cellStyle name="40% - Accent2 4 2 2 2 2 5 4" xfId="20713"/>
    <cellStyle name="40% - Accent2 4 2 2 2 2 5 5" xfId="20714"/>
    <cellStyle name="40% - Accent2 4 2 2 2 2 6" xfId="20715"/>
    <cellStyle name="40% - Accent2 4 2 2 2 2 6 2" xfId="20716"/>
    <cellStyle name="40% - Accent2 4 2 2 2 2 6 3" xfId="20717"/>
    <cellStyle name="40% - Accent2 4 2 2 2 2 7" xfId="20718"/>
    <cellStyle name="40% - Accent2 4 2 2 2 2 7 2" xfId="20719"/>
    <cellStyle name="40% - Accent2 4 2 2 2 2 7 3" xfId="20720"/>
    <cellStyle name="40% - Accent2 4 2 2 2 2 8" xfId="20721"/>
    <cellStyle name="40% - Accent2 4 2 2 2 2 8 2" xfId="20722"/>
    <cellStyle name="40% - Accent2 4 2 2 2 2 9" xfId="20723"/>
    <cellStyle name="40% - Accent2 4 2 2 2 3" xfId="1785"/>
    <cellStyle name="40% - Accent2 4 2 2 2 3 2" xfId="20724"/>
    <cellStyle name="40% - Accent2 4 2 2 2 3 2 2" xfId="20725"/>
    <cellStyle name="40% - Accent2 4 2 2 2 3 2 2 2" xfId="20726"/>
    <cellStyle name="40% - Accent2 4 2 2 2 3 2 2 3" xfId="20727"/>
    <cellStyle name="40% - Accent2 4 2 2 2 3 2 3" xfId="20728"/>
    <cellStyle name="40% - Accent2 4 2 2 2 3 2 3 2" xfId="20729"/>
    <cellStyle name="40% - Accent2 4 2 2 2 3 2 3 3" xfId="20730"/>
    <cellStyle name="40% - Accent2 4 2 2 2 3 2 4" xfId="20731"/>
    <cellStyle name="40% - Accent2 4 2 2 2 3 2 4 2" xfId="20732"/>
    <cellStyle name="40% - Accent2 4 2 2 2 3 2 5" xfId="20733"/>
    <cellStyle name="40% - Accent2 4 2 2 2 3 2 6" xfId="20734"/>
    <cellStyle name="40% - Accent2 4 2 2 2 3 3" xfId="20735"/>
    <cellStyle name="40% - Accent2 4 2 2 2 3 3 2" xfId="20736"/>
    <cellStyle name="40% - Accent2 4 2 2 2 3 3 2 2" xfId="20737"/>
    <cellStyle name="40% - Accent2 4 2 2 2 3 3 2 3" xfId="20738"/>
    <cellStyle name="40% - Accent2 4 2 2 2 3 3 3" xfId="20739"/>
    <cellStyle name="40% - Accent2 4 2 2 2 3 3 3 2" xfId="20740"/>
    <cellStyle name="40% - Accent2 4 2 2 2 3 3 3 3" xfId="20741"/>
    <cellStyle name="40% - Accent2 4 2 2 2 3 3 4" xfId="20742"/>
    <cellStyle name="40% - Accent2 4 2 2 2 3 3 4 2" xfId="20743"/>
    <cellStyle name="40% - Accent2 4 2 2 2 3 3 5" xfId="20744"/>
    <cellStyle name="40% - Accent2 4 2 2 2 3 3 6" xfId="20745"/>
    <cellStyle name="40% - Accent2 4 2 2 2 3 4" xfId="20746"/>
    <cellStyle name="40% - Accent2 4 2 2 2 3 4 2" xfId="20747"/>
    <cellStyle name="40% - Accent2 4 2 2 2 3 4 2 2" xfId="20748"/>
    <cellStyle name="40% - Accent2 4 2 2 2 3 4 2 3" xfId="20749"/>
    <cellStyle name="40% - Accent2 4 2 2 2 3 4 3" xfId="20750"/>
    <cellStyle name="40% - Accent2 4 2 2 2 3 4 3 2" xfId="20751"/>
    <cellStyle name="40% - Accent2 4 2 2 2 3 4 4" xfId="20752"/>
    <cellStyle name="40% - Accent2 4 2 2 2 3 4 5" xfId="20753"/>
    <cellStyle name="40% - Accent2 4 2 2 2 3 5" xfId="20754"/>
    <cellStyle name="40% - Accent2 4 2 2 2 3 5 2" xfId="20755"/>
    <cellStyle name="40% - Accent2 4 2 2 2 3 5 3" xfId="20756"/>
    <cellStyle name="40% - Accent2 4 2 2 2 3 6" xfId="20757"/>
    <cellStyle name="40% - Accent2 4 2 2 2 3 6 2" xfId="20758"/>
    <cellStyle name="40% - Accent2 4 2 2 2 3 6 3" xfId="20759"/>
    <cellStyle name="40% - Accent2 4 2 2 2 3 7" xfId="20760"/>
    <cellStyle name="40% - Accent2 4 2 2 2 3 7 2" xfId="20761"/>
    <cellStyle name="40% - Accent2 4 2 2 2 3 8" xfId="20762"/>
    <cellStyle name="40% - Accent2 4 2 2 2 3 9" xfId="20763"/>
    <cellStyle name="40% - Accent2 4 2 2 2 4" xfId="20764"/>
    <cellStyle name="40% - Accent2 4 2 2 2 4 2" xfId="20765"/>
    <cellStyle name="40% - Accent2 4 2 2 2 4 2 2" xfId="20766"/>
    <cellStyle name="40% - Accent2 4 2 2 2 4 2 2 2" xfId="20767"/>
    <cellStyle name="40% - Accent2 4 2 2 2 4 2 2 3" xfId="20768"/>
    <cellStyle name="40% - Accent2 4 2 2 2 4 2 3" xfId="20769"/>
    <cellStyle name="40% - Accent2 4 2 2 2 4 2 3 2" xfId="20770"/>
    <cellStyle name="40% - Accent2 4 2 2 2 4 2 3 3" xfId="20771"/>
    <cellStyle name="40% - Accent2 4 2 2 2 4 2 4" xfId="20772"/>
    <cellStyle name="40% - Accent2 4 2 2 2 4 2 4 2" xfId="20773"/>
    <cellStyle name="40% - Accent2 4 2 2 2 4 2 5" xfId="20774"/>
    <cellStyle name="40% - Accent2 4 2 2 2 4 2 6" xfId="20775"/>
    <cellStyle name="40% - Accent2 4 2 2 2 4 3" xfId="20776"/>
    <cellStyle name="40% - Accent2 4 2 2 2 4 3 2" xfId="20777"/>
    <cellStyle name="40% - Accent2 4 2 2 2 4 3 2 2" xfId="20778"/>
    <cellStyle name="40% - Accent2 4 2 2 2 4 3 2 3" xfId="20779"/>
    <cellStyle name="40% - Accent2 4 2 2 2 4 3 3" xfId="20780"/>
    <cellStyle name="40% - Accent2 4 2 2 2 4 3 3 2" xfId="20781"/>
    <cellStyle name="40% - Accent2 4 2 2 2 4 3 3 3" xfId="20782"/>
    <cellStyle name="40% - Accent2 4 2 2 2 4 3 4" xfId="20783"/>
    <cellStyle name="40% - Accent2 4 2 2 2 4 3 4 2" xfId="20784"/>
    <cellStyle name="40% - Accent2 4 2 2 2 4 3 5" xfId="20785"/>
    <cellStyle name="40% - Accent2 4 2 2 2 4 3 6" xfId="20786"/>
    <cellStyle name="40% - Accent2 4 2 2 2 4 4" xfId="20787"/>
    <cellStyle name="40% - Accent2 4 2 2 2 4 4 2" xfId="20788"/>
    <cellStyle name="40% - Accent2 4 2 2 2 4 4 2 2" xfId="20789"/>
    <cellStyle name="40% - Accent2 4 2 2 2 4 4 2 3" xfId="20790"/>
    <cellStyle name="40% - Accent2 4 2 2 2 4 4 3" xfId="20791"/>
    <cellStyle name="40% - Accent2 4 2 2 2 4 4 3 2" xfId="20792"/>
    <cellStyle name="40% - Accent2 4 2 2 2 4 4 4" xfId="20793"/>
    <cellStyle name="40% - Accent2 4 2 2 2 4 4 5" xfId="20794"/>
    <cellStyle name="40% - Accent2 4 2 2 2 4 5" xfId="20795"/>
    <cellStyle name="40% - Accent2 4 2 2 2 4 5 2" xfId="20796"/>
    <cellStyle name="40% - Accent2 4 2 2 2 4 5 3" xfId="20797"/>
    <cellStyle name="40% - Accent2 4 2 2 2 4 6" xfId="20798"/>
    <cellStyle name="40% - Accent2 4 2 2 2 4 6 2" xfId="20799"/>
    <cellStyle name="40% - Accent2 4 2 2 2 4 6 3" xfId="20800"/>
    <cellStyle name="40% - Accent2 4 2 2 2 4 7" xfId="20801"/>
    <cellStyle name="40% - Accent2 4 2 2 2 4 7 2" xfId="20802"/>
    <cellStyle name="40% - Accent2 4 2 2 2 4 8" xfId="20803"/>
    <cellStyle name="40% - Accent2 4 2 2 2 4 9" xfId="20804"/>
    <cellStyle name="40% - Accent2 4 2 2 2 5" xfId="20805"/>
    <cellStyle name="40% - Accent2 4 2 2 2 5 2" xfId="20806"/>
    <cellStyle name="40% - Accent2 4 2 2 2 5 2 2" xfId="20807"/>
    <cellStyle name="40% - Accent2 4 2 2 2 5 2 3" xfId="20808"/>
    <cellStyle name="40% - Accent2 4 2 2 2 5 3" xfId="20809"/>
    <cellStyle name="40% - Accent2 4 2 2 2 5 3 2" xfId="20810"/>
    <cellStyle name="40% - Accent2 4 2 2 2 5 3 3" xfId="20811"/>
    <cellStyle name="40% - Accent2 4 2 2 2 5 4" xfId="20812"/>
    <cellStyle name="40% - Accent2 4 2 2 2 5 4 2" xfId="20813"/>
    <cellStyle name="40% - Accent2 4 2 2 2 5 5" xfId="20814"/>
    <cellStyle name="40% - Accent2 4 2 2 2 5 6" xfId="20815"/>
    <cellStyle name="40% - Accent2 4 2 2 2 6" xfId="20816"/>
    <cellStyle name="40% - Accent2 4 2 2 2 6 2" xfId="20817"/>
    <cellStyle name="40% - Accent2 4 2 2 2 6 2 2" xfId="20818"/>
    <cellStyle name="40% - Accent2 4 2 2 2 6 2 3" xfId="20819"/>
    <cellStyle name="40% - Accent2 4 2 2 2 6 3" xfId="20820"/>
    <cellStyle name="40% - Accent2 4 2 2 2 6 3 2" xfId="20821"/>
    <cellStyle name="40% - Accent2 4 2 2 2 6 3 3" xfId="20822"/>
    <cellStyle name="40% - Accent2 4 2 2 2 6 4" xfId="20823"/>
    <cellStyle name="40% - Accent2 4 2 2 2 6 4 2" xfId="20824"/>
    <cellStyle name="40% - Accent2 4 2 2 2 6 5" xfId="20825"/>
    <cellStyle name="40% - Accent2 4 2 2 2 6 6" xfId="20826"/>
    <cellStyle name="40% - Accent2 4 2 2 2 7" xfId="20827"/>
    <cellStyle name="40% - Accent2 4 2 2 2 7 2" xfId="20828"/>
    <cellStyle name="40% - Accent2 4 2 2 2 7 2 2" xfId="20829"/>
    <cellStyle name="40% - Accent2 4 2 2 2 7 2 3" xfId="20830"/>
    <cellStyle name="40% - Accent2 4 2 2 2 7 3" xfId="20831"/>
    <cellStyle name="40% - Accent2 4 2 2 2 7 3 2" xfId="20832"/>
    <cellStyle name="40% - Accent2 4 2 2 2 7 4" xfId="20833"/>
    <cellStyle name="40% - Accent2 4 2 2 2 7 5" xfId="20834"/>
    <cellStyle name="40% - Accent2 4 2 2 2 8" xfId="20835"/>
    <cellStyle name="40% - Accent2 4 2 2 2 8 2" xfId="20836"/>
    <cellStyle name="40% - Accent2 4 2 2 2 8 3" xfId="20837"/>
    <cellStyle name="40% - Accent2 4 2 2 2 9" xfId="20838"/>
    <cellStyle name="40% - Accent2 4 2 2 2 9 2" xfId="20839"/>
    <cellStyle name="40% - Accent2 4 2 2 2 9 3" xfId="20840"/>
    <cellStyle name="40% - Accent2 4 2 2 3" xfId="1786"/>
    <cellStyle name="40% - Accent2 4 2 2 3 10" xfId="20841"/>
    <cellStyle name="40% - Accent2 4 2 2 3 2" xfId="1787"/>
    <cellStyle name="40% - Accent2 4 2 2 3 2 2" xfId="20842"/>
    <cellStyle name="40% - Accent2 4 2 2 3 2 2 2" xfId="20843"/>
    <cellStyle name="40% - Accent2 4 2 2 3 2 2 2 2" xfId="20844"/>
    <cellStyle name="40% - Accent2 4 2 2 3 2 2 2 3" xfId="20845"/>
    <cellStyle name="40% - Accent2 4 2 2 3 2 2 3" xfId="20846"/>
    <cellStyle name="40% - Accent2 4 2 2 3 2 2 3 2" xfId="20847"/>
    <cellStyle name="40% - Accent2 4 2 2 3 2 2 3 3" xfId="20848"/>
    <cellStyle name="40% - Accent2 4 2 2 3 2 2 4" xfId="20849"/>
    <cellStyle name="40% - Accent2 4 2 2 3 2 2 4 2" xfId="20850"/>
    <cellStyle name="40% - Accent2 4 2 2 3 2 2 5" xfId="20851"/>
    <cellStyle name="40% - Accent2 4 2 2 3 2 2 6" xfId="20852"/>
    <cellStyle name="40% - Accent2 4 2 2 3 2 3" xfId="20853"/>
    <cellStyle name="40% - Accent2 4 2 2 3 2 3 2" xfId="20854"/>
    <cellStyle name="40% - Accent2 4 2 2 3 2 3 2 2" xfId="20855"/>
    <cellStyle name="40% - Accent2 4 2 2 3 2 3 2 3" xfId="20856"/>
    <cellStyle name="40% - Accent2 4 2 2 3 2 3 3" xfId="20857"/>
    <cellStyle name="40% - Accent2 4 2 2 3 2 3 3 2" xfId="20858"/>
    <cellStyle name="40% - Accent2 4 2 2 3 2 3 3 3" xfId="20859"/>
    <cellStyle name="40% - Accent2 4 2 2 3 2 3 4" xfId="20860"/>
    <cellStyle name="40% - Accent2 4 2 2 3 2 3 4 2" xfId="20861"/>
    <cellStyle name="40% - Accent2 4 2 2 3 2 3 5" xfId="20862"/>
    <cellStyle name="40% - Accent2 4 2 2 3 2 3 6" xfId="20863"/>
    <cellStyle name="40% - Accent2 4 2 2 3 2 4" xfId="20864"/>
    <cellStyle name="40% - Accent2 4 2 2 3 2 4 2" xfId="20865"/>
    <cellStyle name="40% - Accent2 4 2 2 3 2 4 2 2" xfId="20866"/>
    <cellStyle name="40% - Accent2 4 2 2 3 2 4 2 3" xfId="20867"/>
    <cellStyle name="40% - Accent2 4 2 2 3 2 4 3" xfId="20868"/>
    <cellStyle name="40% - Accent2 4 2 2 3 2 4 3 2" xfId="20869"/>
    <cellStyle name="40% - Accent2 4 2 2 3 2 4 4" xfId="20870"/>
    <cellStyle name="40% - Accent2 4 2 2 3 2 4 5" xfId="20871"/>
    <cellStyle name="40% - Accent2 4 2 2 3 2 5" xfId="20872"/>
    <cellStyle name="40% - Accent2 4 2 2 3 2 5 2" xfId="20873"/>
    <cellStyle name="40% - Accent2 4 2 2 3 2 5 3" xfId="20874"/>
    <cellStyle name="40% - Accent2 4 2 2 3 2 6" xfId="20875"/>
    <cellStyle name="40% - Accent2 4 2 2 3 2 6 2" xfId="20876"/>
    <cellStyle name="40% - Accent2 4 2 2 3 2 6 3" xfId="20877"/>
    <cellStyle name="40% - Accent2 4 2 2 3 2 7" xfId="20878"/>
    <cellStyle name="40% - Accent2 4 2 2 3 2 7 2" xfId="20879"/>
    <cellStyle name="40% - Accent2 4 2 2 3 2 8" xfId="20880"/>
    <cellStyle name="40% - Accent2 4 2 2 3 2 9" xfId="20881"/>
    <cellStyle name="40% - Accent2 4 2 2 3 3" xfId="20882"/>
    <cellStyle name="40% - Accent2 4 2 2 3 3 2" xfId="20883"/>
    <cellStyle name="40% - Accent2 4 2 2 3 3 2 2" xfId="20884"/>
    <cellStyle name="40% - Accent2 4 2 2 3 3 2 3" xfId="20885"/>
    <cellStyle name="40% - Accent2 4 2 2 3 3 3" xfId="20886"/>
    <cellStyle name="40% - Accent2 4 2 2 3 3 3 2" xfId="20887"/>
    <cellStyle name="40% - Accent2 4 2 2 3 3 3 3" xfId="20888"/>
    <cellStyle name="40% - Accent2 4 2 2 3 3 4" xfId="20889"/>
    <cellStyle name="40% - Accent2 4 2 2 3 3 4 2" xfId="20890"/>
    <cellStyle name="40% - Accent2 4 2 2 3 3 5" xfId="20891"/>
    <cellStyle name="40% - Accent2 4 2 2 3 3 6" xfId="20892"/>
    <cellStyle name="40% - Accent2 4 2 2 3 4" xfId="20893"/>
    <cellStyle name="40% - Accent2 4 2 2 3 4 2" xfId="20894"/>
    <cellStyle name="40% - Accent2 4 2 2 3 4 2 2" xfId="20895"/>
    <cellStyle name="40% - Accent2 4 2 2 3 4 2 3" xfId="20896"/>
    <cellStyle name="40% - Accent2 4 2 2 3 4 3" xfId="20897"/>
    <cellStyle name="40% - Accent2 4 2 2 3 4 3 2" xfId="20898"/>
    <cellStyle name="40% - Accent2 4 2 2 3 4 3 3" xfId="20899"/>
    <cellStyle name="40% - Accent2 4 2 2 3 4 4" xfId="20900"/>
    <cellStyle name="40% - Accent2 4 2 2 3 4 4 2" xfId="20901"/>
    <cellStyle name="40% - Accent2 4 2 2 3 4 5" xfId="20902"/>
    <cellStyle name="40% - Accent2 4 2 2 3 4 6" xfId="20903"/>
    <cellStyle name="40% - Accent2 4 2 2 3 5" xfId="20904"/>
    <cellStyle name="40% - Accent2 4 2 2 3 5 2" xfId="20905"/>
    <cellStyle name="40% - Accent2 4 2 2 3 5 2 2" xfId="20906"/>
    <cellStyle name="40% - Accent2 4 2 2 3 5 2 3" xfId="20907"/>
    <cellStyle name="40% - Accent2 4 2 2 3 5 3" xfId="20908"/>
    <cellStyle name="40% - Accent2 4 2 2 3 5 3 2" xfId="20909"/>
    <cellStyle name="40% - Accent2 4 2 2 3 5 4" xfId="20910"/>
    <cellStyle name="40% - Accent2 4 2 2 3 5 5" xfId="20911"/>
    <cellStyle name="40% - Accent2 4 2 2 3 6" xfId="20912"/>
    <cellStyle name="40% - Accent2 4 2 2 3 6 2" xfId="20913"/>
    <cellStyle name="40% - Accent2 4 2 2 3 6 3" xfId="20914"/>
    <cellStyle name="40% - Accent2 4 2 2 3 7" xfId="20915"/>
    <cellStyle name="40% - Accent2 4 2 2 3 7 2" xfId="20916"/>
    <cellStyle name="40% - Accent2 4 2 2 3 7 3" xfId="20917"/>
    <cellStyle name="40% - Accent2 4 2 2 3 8" xfId="20918"/>
    <cellStyle name="40% - Accent2 4 2 2 3 8 2" xfId="20919"/>
    <cellStyle name="40% - Accent2 4 2 2 3 9" xfId="20920"/>
    <cellStyle name="40% - Accent2 4 2 2 4" xfId="1788"/>
    <cellStyle name="40% - Accent2 4 2 2 4 2" xfId="20921"/>
    <cellStyle name="40% - Accent2 4 2 2 4 2 2" xfId="20922"/>
    <cellStyle name="40% - Accent2 4 2 2 4 2 2 2" xfId="20923"/>
    <cellStyle name="40% - Accent2 4 2 2 4 2 2 3" xfId="20924"/>
    <cellStyle name="40% - Accent2 4 2 2 4 2 3" xfId="20925"/>
    <cellStyle name="40% - Accent2 4 2 2 4 2 3 2" xfId="20926"/>
    <cellStyle name="40% - Accent2 4 2 2 4 2 3 3" xfId="20927"/>
    <cellStyle name="40% - Accent2 4 2 2 4 2 4" xfId="20928"/>
    <cellStyle name="40% - Accent2 4 2 2 4 2 4 2" xfId="20929"/>
    <cellStyle name="40% - Accent2 4 2 2 4 2 5" xfId="20930"/>
    <cellStyle name="40% - Accent2 4 2 2 4 2 6" xfId="20931"/>
    <cellStyle name="40% - Accent2 4 2 2 4 3" xfId="20932"/>
    <cellStyle name="40% - Accent2 4 2 2 4 3 2" xfId="20933"/>
    <cellStyle name="40% - Accent2 4 2 2 4 3 2 2" xfId="20934"/>
    <cellStyle name="40% - Accent2 4 2 2 4 3 2 3" xfId="20935"/>
    <cellStyle name="40% - Accent2 4 2 2 4 3 3" xfId="20936"/>
    <cellStyle name="40% - Accent2 4 2 2 4 3 3 2" xfId="20937"/>
    <cellStyle name="40% - Accent2 4 2 2 4 3 3 3" xfId="20938"/>
    <cellStyle name="40% - Accent2 4 2 2 4 3 4" xfId="20939"/>
    <cellStyle name="40% - Accent2 4 2 2 4 3 4 2" xfId="20940"/>
    <cellStyle name="40% - Accent2 4 2 2 4 3 5" xfId="20941"/>
    <cellStyle name="40% - Accent2 4 2 2 4 3 6" xfId="20942"/>
    <cellStyle name="40% - Accent2 4 2 2 4 4" xfId="20943"/>
    <cellStyle name="40% - Accent2 4 2 2 4 4 2" xfId="20944"/>
    <cellStyle name="40% - Accent2 4 2 2 4 4 2 2" xfId="20945"/>
    <cellStyle name="40% - Accent2 4 2 2 4 4 2 3" xfId="20946"/>
    <cellStyle name="40% - Accent2 4 2 2 4 4 3" xfId="20947"/>
    <cellStyle name="40% - Accent2 4 2 2 4 4 3 2" xfId="20948"/>
    <cellStyle name="40% - Accent2 4 2 2 4 4 4" xfId="20949"/>
    <cellStyle name="40% - Accent2 4 2 2 4 4 5" xfId="20950"/>
    <cellStyle name="40% - Accent2 4 2 2 4 5" xfId="20951"/>
    <cellStyle name="40% - Accent2 4 2 2 4 5 2" xfId="20952"/>
    <cellStyle name="40% - Accent2 4 2 2 4 5 3" xfId="20953"/>
    <cellStyle name="40% - Accent2 4 2 2 4 6" xfId="20954"/>
    <cellStyle name="40% - Accent2 4 2 2 4 6 2" xfId="20955"/>
    <cellStyle name="40% - Accent2 4 2 2 4 6 3" xfId="20956"/>
    <cellStyle name="40% - Accent2 4 2 2 4 7" xfId="20957"/>
    <cellStyle name="40% - Accent2 4 2 2 4 7 2" xfId="20958"/>
    <cellStyle name="40% - Accent2 4 2 2 4 8" xfId="20959"/>
    <cellStyle name="40% - Accent2 4 2 2 4 9" xfId="20960"/>
    <cellStyle name="40% - Accent2 4 2 2 5" xfId="20961"/>
    <cellStyle name="40% - Accent2 4 2 2 5 2" xfId="20962"/>
    <cellStyle name="40% - Accent2 4 2 2 5 2 2" xfId="20963"/>
    <cellStyle name="40% - Accent2 4 2 2 5 2 2 2" xfId="20964"/>
    <cellStyle name="40% - Accent2 4 2 2 5 2 2 3" xfId="20965"/>
    <cellStyle name="40% - Accent2 4 2 2 5 2 3" xfId="20966"/>
    <cellStyle name="40% - Accent2 4 2 2 5 2 3 2" xfId="20967"/>
    <cellStyle name="40% - Accent2 4 2 2 5 2 3 3" xfId="20968"/>
    <cellStyle name="40% - Accent2 4 2 2 5 2 4" xfId="20969"/>
    <cellStyle name="40% - Accent2 4 2 2 5 2 4 2" xfId="20970"/>
    <cellStyle name="40% - Accent2 4 2 2 5 2 5" xfId="20971"/>
    <cellStyle name="40% - Accent2 4 2 2 5 2 6" xfId="20972"/>
    <cellStyle name="40% - Accent2 4 2 2 5 3" xfId="20973"/>
    <cellStyle name="40% - Accent2 4 2 2 5 3 2" xfId="20974"/>
    <cellStyle name="40% - Accent2 4 2 2 5 3 2 2" xfId="20975"/>
    <cellStyle name="40% - Accent2 4 2 2 5 3 2 3" xfId="20976"/>
    <cellStyle name="40% - Accent2 4 2 2 5 3 3" xfId="20977"/>
    <cellStyle name="40% - Accent2 4 2 2 5 3 3 2" xfId="20978"/>
    <cellStyle name="40% - Accent2 4 2 2 5 3 3 3" xfId="20979"/>
    <cellStyle name="40% - Accent2 4 2 2 5 3 4" xfId="20980"/>
    <cellStyle name="40% - Accent2 4 2 2 5 3 4 2" xfId="20981"/>
    <cellStyle name="40% - Accent2 4 2 2 5 3 5" xfId="20982"/>
    <cellStyle name="40% - Accent2 4 2 2 5 3 6" xfId="20983"/>
    <cellStyle name="40% - Accent2 4 2 2 5 4" xfId="20984"/>
    <cellStyle name="40% - Accent2 4 2 2 5 4 2" xfId="20985"/>
    <cellStyle name="40% - Accent2 4 2 2 5 4 2 2" xfId="20986"/>
    <cellStyle name="40% - Accent2 4 2 2 5 4 2 3" xfId="20987"/>
    <cellStyle name="40% - Accent2 4 2 2 5 4 3" xfId="20988"/>
    <cellStyle name="40% - Accent2 4 2 2 5 4 3 2" xfId="20989"/>
    <cellStyle name="40% - Accent2 4 2 2 5 4 4" xfId="20990"/>
    <cellStyle name="40% - Accent2 4 2 2 5 4 5" xfId="20991"/>
    <cellStyle name="40% - Accent2 4 2 2 5 5" xfId="20992"/>
    <cellStyle name="40% - Accent2 4 2 2 5 5 2" xfId="20993"/>
    <cellStyle name="40% - Accent2 4 2 2 5 5 3" xfId="20994"/>
    <cellStyle name="40% - Accent2 4 2 2 5 6" xfId="20995"/>
    <cellStyle name="40% - Accent2 4 2 2 5 6 2" xfId="20996"/>
    <cellStyle name="40% - Accent2 4 2 2 5 6 3" xfId="20997"/>
    <cellStyle name="40% - Accent2 4 2 2 5 7" xfId="20998"/>
    <cellStyle name="40% - Accent2 4 2 2 5 7 2" xfId="20999"/>
    <cellStyle name="40% - Accent2 4 2 2 5 8" xfId="21000"/>
    <cellStyle name="40% - Accent2 4 2 2 5 9" xfId="21001"/>
    <cellStyle name="40% - Accent2 4 2 2 6" xfId="21002"/>
    <cellStyle name="40% - Accent2 4 2 2 6 2" xfId="21003"/>
    <cellStyle name="40% - Accent2 4 2 2 6 2 2" xfId="21004"/>
    <cellStyle name="40% - Accent2 4 2 2 6 2 3" xfId="21005"/>
    <cellStyle name="40% - Accent2 4 2 2 6 3" xfId="21006"/>
    <cellStyle name="40% - Accent2 4 2 2 6 3 2" xfId="21007"/>
    <cellStyle name="40% - Accent2 4 2 2 6 3 3" xfId="21008"/>
    <cellStyle name="40% - Accent2 4 2 2 6 4" xfId="21009"/>
    <cellStyle name="40% - Accent2 4 2 2 6 4 2" xfId="21010"/>
    <cellStyle name="40% - Accent2 4 2 2 6 5" xfId="21011"/>
    <cellStyle name="40% - Accent2 4 2 2 6 6" xfId="21012"/>
    <cellStyle name="40% - Accent2 4 2 2 7" xfId="21013"/>
    <cellStyle name="40% - Accent2 4 2 2 7 2" xfId="21014"/>
    <cellStyle name="40% - Accent2 4 2 2 7 2 2" xfId="21015"/>
    <cellStyle name="40% - Accent2 4 2 2 7 2 3" xfId="21016"/>
    <cellStyle name="40% - Accent2 4 2 2 7 3" xfId="21017"/>
    <cellStyle name="40% - Accent2 4 2 2 7 3 2" xfId="21018"/>
    <cellStyle name="40% - Accent2 4 2 2 7 3 3" xfId="21019"/>
    <cellStyle name="40% - Accent2 4 2 2 7 4" xfId="21020"/>
    <cellStyle name="40% - Accent2 4 2 2 7 4 2" xfId="21021"/>
    <cellStyle name="40% - Accent2 4 2 2 7 5" xfId="21022"/>
    <cellStyle name="40% - Accent2 4 2 2 7 6" xfId="21023"/>
    <cellStyle name="40% - Accent2 4 2 2 8" xfId="21024"/>
    <cellStyle name="40% - Accent2 4 2 2 8 2" xfId="21025"/>
    <cellStyle name="40% - Accent2 4 2 2 8 2 2" xfId="21026"/>
    <cellStyle name="40% - Accent2 4 2 2 8 2 3" xfId="21027"/>
    <cellStyle name="40% - Accent2 4 2 2 8 3" xfId="21028"/>
    <cellStyle name="40% - Accent2 4 2 2 8 3 2" xfId="21029"/>
    <cellStyle name="40% - Accent2 4 2 2 8 4" xfId="21030"/>
    <cellStyle name="40% - Accent2 4 2 2 8 5" xfId="21031"/>
    <cellStyle name="40% - Accent2 4 2 2 9" xfId="21032"/>
    <cellStyle name="40% - Accent2 4 2 2 9 2" xfId="21033"/>
    <cellStyle name="40% - Accent2 4 2 2 9 3" xfId="21034"/>
    <cellStyle name="40% - Accent2 4 2 3" xfId="1789"/>
    <cellStyle name="40% - Accent2 4 2 3 10" xfId="21035"/>
    <cellStyle name="40% - Accent2 4 2 3 10 2" xfId="21036"/>
    <cellStyle name="40% - Accent2 4 2 3 11" xfId="21037"/>
    <cellStyle name="40% - Accent2 4 2 3 12" xfId="21038"/>
    <cellStyle name="40% - Accent2 4 2 3 2" xfId="1790"/>
    <cellStyle name="40% - Accent2 4 2 3 2 10" xfId="21039"/>
    <cellStyle name="40% - Accent2 4 2 3 2 2" xfId="1791"/>
    <cellStyle name="40% - Accent2 4 2 3 2 2 2" xfId="21040"/>
    <cellStyle name="40% - Accent2 4 2 3 2 2 2 2" xfId="21041"/>
    <cellStyle name="40% - Accent2 4 2 3 2 2 2 2 2" xfId="21042"/>
    <cellStyle name="40% - Accent2 4 2 3 2 2 2 2 3" xfId="21043"/>
    <cellStyle name="40% - Accent2 4 2 3 2 2 2 3" xfId="21044"/>
    <cellStyle name="40% - Accent2 4 2 3 2 2 2 3 2" xfId="21045"/>
    <cellStyle name="40% - Accent2 4 2 3 2 2 2 3 3" xfId="21046"/>
    <cellStyle name="40% - Accent2 4 2 3 2 2 2 4" xfId="21047"/>
    <cellStyle name="40% - Accent2 4 2 3 2 2 2 4 2" xfId="21048"/>
    <cellStyle name="40% - Accent2 4 2 3 2 2 2 5" xfId="21049"/>
    <cellStyle name="40% - Accent2 4 2 3 2 2 2 6" xfId="21050"/>
    <cellStyle name="40% - Accent2 4 2 3 2 2 3" xfId="21051"/>
    <cellStyle name="40% - Accent2 4 2 3 2 2 3 2" xfId="21052"/>
    <cellStyle name="40% - Accent2 4 2 3 2 2 3 2 2" xfId="21053"/>
    <cellStyle name="40% - Accent2 4 2 3 2 2 3 2 3" xfId="21054"/>
    <cellStyle name="40% - Accent2 4 2 3 2 2 3 3" xfId="21055"/>
    <cellStyle name="40% - Accent2 4 2 3 2 2 3 3 2" xfId="21056"/>
    <cellStyle name="40% - Accent2 4 2 3 2 2 3 3 3" xfId="21057"/>
    <cellStyle name="40% - Accent2 4 2 3 2 2 3 4" xfId="21058"/>
    <cellStyle name="40% - Accent2 4 2 3 2 2 3 4 2" xfId="21059"/>
    <cellStyle name="40% - Accent2 4 2 3 2 2 3 5" xfId="21060"/>
    <cellStyle name="40% - Accent2 4 2 3 2 2 3 6" xfId="21061"/>
    <cellStyle name="40% - Accent2 4 2 3 2 2 4" xfId="21062"/>
    <cellStyle name="40% - Accent2 4 2 3 2 2 4 2" xfId="21063"/>
    <cellStyle name="40% - Accent2 4 2 3 2 2 4 2 2" xfId="21064"/>
    <cellStyle name="40% - Accent2 4 2 3 2 2 4 2 3" xfId="21065"/>
    <cellStyle name="40% - Accent2 4 2 3 2 2 4 3" xfId="21066"/>
    <cellStyle name="40% - Accent2 4 2 3 2 2 4 3 2" xfId="21067"/>
    <cellStyle name="40% - Accent2 4 2 3 2 2 4 4" xfId="21068"/>
    <cellStyle name="40% - Accent2 4 2 3 2 2 4 5" xfId="21069"/>
    <cellStyle name="40% - Accent2 4 2 3 2 2 5" xfId="21070"/>
    <cellStyle name="40% - Accent2 4 2 3 2 2 5 2" xfId="21071"/>
    <cellStyle name="40% - Accent2 4 2 3 2 2 5 3" xfId="21072"/>
    <cellStyle name="40% - Accent2 4 2 3 2 2 6" xfId="21073"/>
    <cellStyle name="40% - Accent2 4 2 3 2 2 6 2" xfId="21074"/>
    <cellStyle name="40% - Accent2 4 2 3 2 2 6 3" xfId="21075"/>
    <cellStyle name="40% - Accent2 4 2 3 2 2 7" xfId="21076"/>
    <cellStyle name="40% - Accent2 4 2 3 2 2 7 2" xfId="21077"/>
    <cellStyle name="40% - Accent2 4 2 3 2 2 8" xfId="21078"/>
    <cellStyle name="40% - Accent2 4 2 3 2 2 9" xfId="21079"/>
    <cellStyle name="40% - Accent2 4 2 3 2 3" xfId="21080"/>
    <cellStyle name="40% - Accent2 4 2 3 2 3 2" xfId="21081"/>
    <cellStyle name="40% - Accent2 4 2 3 2 3 2 2" xfId="21082"/>
    <cellStyle name="40% - Accent2 4 2 3 2 3 2 3" xfId="21083"/>
    <cellStyle name="40% - Accent2 4 2 3 2 3 3" xfId="21084"/>
    <cellStyle name="40% - Accent2 4 2 3 2 3 3 2" xfId="21085"/>
    <cellStyle name="40% - Accent2 4 2 3 2 3 3 3" xfId="21086"/>
    <cellStyle name="40% - Accent2 4 2 3 2 3 4" xfId="21087"/>
    <cellStyle name="40% - Accent2 4 2 3 2 3 4 2" xfId="21088"/>
    <cellStyle name="40% - Accent2 4 2 3 2 3 5" xfId="21089"/>
    <cellStyle name="40% - Accent2 4 2 3 2 3 6" xfId="21090"/>
    <cellStyle name="40% - Accent2 4 2 3 2 4" xfId="21091"/>
    <cellStyle name="40% - Accent2 4 2 3 2 4 2" xfId="21092"/>
    <cellStyle name="40% - Accent2 4 2 3 2 4 2 2" xfId="21093"/>
    <cellStyle name="40% - Accent2 4 2 3 2 4 2 3" xfId="21094"/>
    <cellStyle name="40% - Accent2 4 2 3 2 4 3" xfId="21095"/>
    <cellStyle name="40% - Accent2 4 2 3 2 4 3 2" xfId="21096"/>
    <cellStyle name="40% - Accent2 4 2 3 2 4 3 3" xfId="21097"/>
    <cellStyle name="40% - Accent2 4 2 3 2 4 4" xfId="21098"/>
    <cellStyle name="40% - Accent2 4 2 3 2 4 4 2" xfId="21099"/>
    <cellStyle name="40% - Accent2 4 2 3 2 4 5" xfId="21100"/>
    <cellStyle name="40% - Accent2 4 2 3 2 4 6" xfId="21101"/>
    <cellStyle name="40% - Accent2 4 2 3 2 5" xfId="21102"/>
    <cellStyle name="40% - Accent2 4 2 3 2 5 2" xfId="21103"/>
    <cellStyle name="40% - Accent2 4 2 3 2 5 2 2" xfId="21104"/>
    <cellStyle name="40% - Accent2 4 2 3 2 5 2 3" xfId="21105"/>
    <cellStyle name="40% - Accent2 4 2 3 2 5 3" xfId="21106"/>
    <cellStyle name="40% - Accent2 4 2 3 2 5 3 2" xfId="21107"/>
    <cellStyle name="40% - Accent2 4 2 3 2 5 4" xfId="21108"/>
    <cellStyle name="40% - Accent2 4 2 3 2 5 5" xfId="21109"/>
    <cellStyle name="40% - Accent2 4 2 3 2 6" xfId="21110"/>
    <cellStyle name="40% - Accent2 4 2 3 2 6 2" xfId="21111"/>
    <cellStyle name="40% - Accent2 4 2 3 2 6 3" xfId="21112"/>
    <cellStyle name="40% - Accent2 4 2 3 2 7" xfId="21113"/>
    <cellStyle name="40% - Accent2 4 2 3 2 7 2" xfId="21114"/>
    <cellStyle name="40% - Accent2 4 2 3 2 7 3" xfId="21115"/>
    <cellStyle name="40% - Accent2 4 2 3 2 8" xfId="21116"/>
    <cellStyle name="40% - Accent2 4 2 3 2 8 2" xfId="21117"/>
    <cellStyle name="40% - Accent2 4 2 3 2 9" xfId="21118"/>
    <cellStyle name="40% - Accent2 4 2 3 3" xfId="1792"/>
    <cellStyle name="40% - Accent2 4 2 3 3 2" xfId="21119"/>
    <cellStyle name="40% - Accent2 4 2 3 3 2 2" xfId="21120"/>
    <cellStyle name="40% - Accent2 4 2 3 3 2 2 2" xfId="21121"/>
    <cellStyle name="40% - Accent2 4 2 3 3 2 2 3" xfId="21122"/>
    <cellStyle name="40% - Accent2 4 2 3 3 2 3" xfId="21123"/>
    <cellStyle name="40% - Accent2 4 2 3 3 2 3 2" xfId="21124"/>
    <cellStyle name="40% - Accent2 4 2 3 3 2 3 3" xfId="21125"/>
    <cellStyle name="40% - Accent2 4 2 3 3 2 4" xfId="21126"/>
    <cellStyle name="40% - Accent2 4 2 3 3 2 4 2" xfId="21127"/>
    <cellStyle name="40% - Accent2 4 2 3 3 2 5" xfId="21128"/>
    <cellStyle name="40% - Accent2 4 2 3 3 2 6" xfId="21129"/>
    <cellStyle name="40% - Accent2 4 2 3 3 3" xfId="21130"/>
    <cellStyle name="40% - Accent2 4 2 3 3 3 2" xfId="21131"/>
    <cellStyle name="40% - Accent2 4 2 3 3 3 2 2" xfId="21132"/>
    <cellStyle name="40% - Accent2 4 2 3 3 3 2 3" xfId="21133"/>
    <cellStyle name="40% - Accent2 4 2 3 3 3 3" xfId="21134"/>
    <cellStyle name="40% - Accent2 4 2 3 3 3 3 2" xfId="21135"/>
    <cellStyle name="40% - Accent2 4 2 3 3 3 3 3" xfId="21136"/>
    <cellStyle name="40% - Accent2 4 2 3 3 3 4" xfId="21137"/>
    <cellStyle name="40% - Accent2 4 2 3 3 3 4 2" xfId="21138"/>
    <cellStyle name="40% - Accent2 4 2 3 3 3 5" xfId="21139"/>
    <cellStyle name="40% - Accent2 4 2 3 3 3 6" xfId="21140"/>
    <cellStyle name="40% - Accent2 4 2 3 3 4" xfId="21141"/>
    <cellStyle name="40% - Accent2 4 2 3 3 4 2" xfId="21142"/>
    <cellStyle name="40% - Accent2 4 2 3 3 4 2 2" xfId="21143"/>
    <cellStyle name="40% - Accent2 4 2 3 3 4 2 3" xfId="21144"/>
    <cellStyle name="40% - Accent2 4 2 3 3 4 3" xfId="21145"/>
    <cellStyle name="40% - Accent2 4 2 3 3 4 3 2" xfId="21146"/>
    <cellStyle name="40% - Accent2 4 2 3 3 4 4" xfId="21147"/>
    <cellStyle name="40% - Accent2 4 2 3 3 4 5" xfId="21148"/>
    <cellStyle name="40% - Accent2 4 2 3 3 5" xfId="21149"/>
    <cellStyle name="40% - Accent2 4 2 3 3 5 2" xfId="21150"/>
    <cellStyle name="40% - Accent2 4 2 3 3 5 3" xfId="21151"/>
    <cellStyle name="40% - Accent2 4 2 3 3 6" xfId="21152"/>
    <cellStyle name="40% - Accent2 4 2 3 3 6 2" xfId="21153"/>
    <cellStyle name="40% - Accent2 4 2 3 3 6 3" xfId="21154"/>
    <cellStyle name="40% - Accent2 4 2 3 3 7" xfId="21155"/>
    <cellStyle name="40% - Accent2 4 2 3 3 7 2" xfId="21156"/>
    <cellStyle name="40% - Accent2 4 2 3 3 8" xfId="21157"/>
    <cellStyle name="40% - Accent2 4 2 3 3 9" xfId="21158"/>
    <cellStyle name="40% - Accent2 4 2 3 4" xfId="21159"/>
    <cellStyle name="40% - Accent2 4 2 3 4 2" xfId="21160"/>
    <cellStyle name="40% - Accent2 4 2 3 4 2 2" xfId="21161"/>
    <cellStyle name="40% - Accent2 4 2 3 4 2 2 2" xfId="21162"/>
    <cellStyle name="40% - Accent2 4 2 3 4 2 2 3" xfId="21163"/>
    <cellStyle name="40% - Accent2 4 2 3 4 2 3" xfId="21164"/>
    <cellStyle name="40% - Accent2 4 2 3 4 2 3 2" xfId="21165"/>
    <cellStyle name="40% - Accent2 4 2 3 4 2 3 3" xfId="21166"/>
    <cellStyle name="40% - Accent2 4 2 3 4 2 4" xfId="21167"/>
    <cellStyle name="40% - Accent2 4 2 3 4 2 4 2" xfId="21168"/>
    <cellStyle name="40% - Accent2 4 2 3 4 2 5" xfId="21169"/>
    <cellStyle name="40% - Accent2 4 2 3 4 2 6" xfId="21170"/>
    <cellStyle name="40% - Accent2 4 2 3 4 3" xfId="21171"/>
    <cellStyle name="40% - Accent2 4 2 3 4 3 2" xfId="21172"/>
    <cellStyle name="40% - Accent2 4 2 3 4 3 2 2" xfId="21173"/>
    <cellStyle name="40% - Accent2 4 2 3 4 3 2 3" xfId="21174"/>
    <cellStyle name="40% - Accent2 4 2 3 4 3 3" xfId="21175"/>
    <cellStyle name="40% - Accent2 4 2 3 4 3 3 2" xfId="21176"/>
    <cellStyle name="40% - Accent2 4 2 3 4 3 3 3" xfId="21177"/>
    <cellStyle name="40% - Accent2 4 2 3 4 3 4" xfId="21178"/>
    <cellStyle name="40% - Accent2 4 2 3 4 3 4 2" xfId="21179"/>
    <cellStyle name="40% - Accent2 4 2 3 4 3 5" xfId="21180"/>
    <cellStyle name="40% - Accent2 4 2 3 4 3 6" xfId="21181"/>
    <cellStyle name="40% - Accent2 4 2 3 4 4" xfId="21182"/>
    <cellStyle name="40% - Accent2 4 2 3 4 4 2" xfId="21183"/>
    <cellStyle name="40% - Accent2 4 2 3 4 4 2 2" xfId="21184"/>
    <cellStyle name="40% - Accent2 4 2 3 4 4 2 3" xfId="21185"/>
    <cellStyle name="40% - Accent2 4 2 3 4 4 3" xfId="21186"/>
    <cellStyle name="40% - Accent2 4 2 3 4 4 3 2" xfId="21187"/>
    <cellStyle name="40% - Accent2 4 2 3 4 4 4" xfId="21188"/>
    <cellStyle name="40% - Accent2 4 2 3 4 4 5" xfId="21189"/>
    <cellStyle name="40% - Accent2 4 2 3 4 5" xfId="21190"/>
    <cellStyle name="40% - Accent2 4 2 3 4 5 2" xfId="21191"/>
    <cellStyle name="40% - Accent2 4 2 3 4 5 3" xfId="21192"/>
    <cellStyle name="40% - Accent2 4 2 3 4 6" xfId="21193"/>
    <cellStyle name="40% - Accent2 4 2 3 4 6 2" xfId="21194"/>
    <cellStyle name="40% - Accent2 4 2 3 4 6 3" xfId="21195"/>
    <cellStyle name="40% - Accent2 4 2 3 4 7" xfId="21196"/>
    <cellStyle name="40% - Accent2 4 2 3 4 7 2" xfId="21197"/>
    <cellStyle name="40% - Accent2 4 2 3 4 8" xfId="21198"/>
    <cellStyle name="40% - Accent2 4 2 3 4 9" xfId="21199"/>
    <cellStyle name="40% - Accent2 4 2 3 5" xfId="21200"/>
    <cellStyle name="40% - Accent2 4 2 3 5 2" xfId="21201"/>
    <cellStyle name="40% - Accent2 4 2 3 5 2 2" xfId="21202"/>
    <cellStyle name="40% - Accent2 4 2 3 5 2 3" xfId="21203"/>
    <cellStyle name="40% - Accent2 4 2 3 5 3" xfId="21204"/>
    <cellStyle name="40% - Accent2 4 2 3 5 3 2" xfId="21205"/>
    <cellStyle name="40% - Accent2 4 2 3 5 3 3" xfId="21206"/>
    <cellStyle name="40% - Accent2 4 2 3 5 4" xfId="21207"/>
    <cellStyle name="40% - Accent2 4 2 3 5 4 2" xfId="21208"/>
    <cellStyle name="40% - Accent2 4 2 3 5 5" xfId="21209"/>
    <cellStyle name="40% - Accent2 4 2 3 5 6" xfId="21210"/>
    <cellStyle name="40% - Accent2 4 2 3 6" xfId="21211"/>
    <cellStyle name="40% - Accent2 4 2 3 6 2" xfId="21212"/>
    <cellStyle name="40% - Accent2 4 2 3 6 2 2" xfId="21213"/>
    <cellStyle name="40% - Accent2 4 2 3 6 2 3" xfId="21214"/>
    <cellStyle name="40% - Accent2 4 2 3 6 3" xfId="21215"/>
    <cellStyle name="40% - Accent2 4 2 3 6 3 2" xfId="21216"/>
    <cellStyle name="40% - Accent2 4 2 3 6 3 3" xfId="21217"/>
    <cellStyle name="40% - Accent2 4 2 3 6 4" xfId="21218"/>
    <cellStyle name="40% - Accent2 4 2 3 6 4 2" xfId="21219"/>
    <cellStyle name="40% - Accent2 4 2 3 6 5" xfId="21220"/>
    <cellStyle name="40% - Accent2 4 2 3 6 6" xfId="21221"/>
    <cellStyle name="40% - Accent2 4 2 3 7" xfId="21222"/>
    <cellStyle name="40% - Accent2 4 2 3 7 2" xfId="21223"/>
    <cellStyle name="40% - Accent2 4 2 3 7 2 2" xfId="21224"/>
    <cellStyle name="40% - Accent2 4 2 3 7 2 3" xfId="21225"/>
    <cellStyle name="40% - Accent2 4 2 3 7 3" xfId="21226"/>
    <cellStyle name="40% - Accent2 4 2 3 7 3 2" xfId="21227"/>
    <cellStyle name="40% - Accent2 4 2 3 7 4" xfId="21228"/>
    <cellStyle name="40% - Accent2 4 2 3 7 5" xfId="21229"/>
    <cellStyle name="40% - Accent2 4 2 3 8" xfId="21230"/>
    <cellStyle name="40% - Accent2 4 2 3 8 2" xfId="21231"/>
    <cellStyle name="40% - Accent2 4 2 3 8 3" xfId="21232"/>
    <cellStyle name="40% - Accent2 4 2 3 9" xfId="21233"/>
    <cellStyle name="40% - Accent2 4 2 3 9 2" xfId="21234"/>
    <cellStyle name="40% - Accent2 4 2 3 9 3" xfId="21235"/>
    <cellStyle name="40% - Accent2 4 2 4" xfId="1793"/>
    <cellStyle name="40% - Accent2 4 2 4 10" xfId="21236"/>
    <cellStyle name="40% - Accent2 4 2 4 2" xfId="1794"/>
    <cellStyle name="40% - Accent2 4 2 4 2 2" xfId="21237"/>
    <cellStyle name="40% - Accent2 4 2 4 2 2 2" xfId="21238"/>
    <cellStyle name="40% - Accent2 4 2 4 2 2 2 2" xfId="21239"/>
    <cellStyle name="40% - Accent2 4 2 4 2 2 2 3" xfId="21240"/>
    <cellStyle name="40% - Accent2 4 2 4 2 2 3" xfId="21241"/>
    <cellStyle name="40% - Accent2 4 2 4 2 2 3 2" xfId="21242"/>
    <cellStyle name="40% - Accent2 4 2 4 2 2 3 3" xfId="21243"/>
    <cellStyle name="40% - Accent2 4 2 4 2 2 4" xfId="21244"/>
    <cellStyle name="40% - Accent2 4 2 4 2 2 4 2" xfId="21245"/>
    <cellStyle name="40% - Accent2 4 2 4 2 2 5" xfId="21246"/>
    <cellStyle name="40% - Accent2 4 2 4 2 2 6" xfId="21247"/>
    <cellStyle name="40% - Accent2 4 2 4 2 3" xfId="21248"/>
    <cellStyle name="40% - Accent2 4 2 4 2 3 2" xfId="21249"/>
    <cellStyle name="40% - Accent2 4 2 4 2 3 2 2" xfId="21250"/>
    <cellStyle name="40% - Accent2 4 2 4 2 3 2 3" xfId="21251"/>
    <cellStyle name="40% - Accent2 4 2 4 2 3 3" xfId="21252"/>
    <cellStyle name="40% - Accent2 4 2 4 2 3 3 2" xfId="21253"/>
    <cellStyle name="40% - Accent2 4 2 4 2 3 3 3" xfId="21254"/>
    <cellStyle name="40% - Accent2 4 2 4 2 3 4" xfId="21255"/>
    <cellStyle name="40% - Accent2 4 2 4 2 3 4 2" xfId="21256"/>
    <cellStyle name="40% - Accent2 4 2 4 2 3 5" xfId="21257"/>
    <cellStyle name="40% - Accent2 4 2 4 2 3 6" xfId="21258"/>
    <cellStyle name="40% - Accent2 4 2 4 2 4" xfId="21259"/>
    <cellStyle name="40% - Accent2 4 2 4 2 4 2" xfId="21260"/>
    <cellStyle name="40% - Accent2 4 2 4 2 4 2 2" xfId="21261"/>
    <cellStyle name="40% - Accent2 4 2 4 2 4 2 3" xfId="21262"/>
    <cellStyle name="40% - Accent2 4 2 4 2 4 3" xfId="21263"/>
    <cellStyle name="40% - Accent2 4 2 4 2 4 3 2" xfId="21264"/>
    <cellStyle name="40% - Accent2 4 2 4 2 4 4" xfId="21265"/>
    <cellStyle name="40% - Accent2 4 2 4 2 4 5" xfId="21266"/>
    <cellStyle name="40% - Accent2 4 2 4 2 5" xfId="21267"/>
    <cellStyle name="40% - Accent2 4 2 4 2 5 2" xfId="21268"/>
    <cellStyle name="40% - Accent2 4 2 4 2 5 3" xfId="21269"/>
    <cellStyle name="40% - Accent2 4 2 4 2 6" xfId="21270"/>
    <cellStyle name="40% - Accent2 4 2 4 2 6 2" xfId="21271"/>
    <cellStyle name="40% - Accent2 4 2 4 2 6 3" xfId="21272"/>
    <cellStyle name="40% - Accent2 4 2 4 2 7" xfId="21273"/>
    <cellStyle name="40% - Accent2 4 2 4 2 7 2" xfId="21274"/>
    <cellStyle name="40% - Accent2 4 2 4 2 8" xfId="21275"/>
    <cellStyle name="40% - Accent2 4 2 4 2 9" xfId="21276"/>
    <cellStyle name="40% - Accent2 4 2 4 3" xfId="21277"/>
    <cellStyle name="40% - Accent2 4 2 4 3 2" xfId="21278"/>
    <cellStyle name="40% - Accent2 4 2 4 3 2 2" xfId="21279"/>
    <cellStyle name="40% - Accent2 4 2 4 3 2 3" xfId="21280"/>
    <cellStyle name="40% - Accent2 4 2 4 3 3" xfId="21281"/>
    <cellStyle name="40% - Accent2 4 2 4 3 3 2" xfId="21282"/>
    <cellStyle name="40% - Accent2 4 2 4 3 3 3" xfId="21283"/>
    <cellStyle name="40% - Accent2 4 2 4 3 4" xfId="21284"/>
    <cellStyle name="40% - Accent2 4 2 4 3 4 2" xfId="21285"/>
    <cellStyle name="40% - Accent2 4 2 4 3 5" xfId="21286"/>
    <cellStyle name="40% - Accent2 4 2 4 3 6" xfId="21287"/>
    <cellStyle name="40% - Accent2 4 2 4 4" xfId="21288"/>
    <cellStyle name="40% - Accent2 4 2 4 4 2" xfId="21289"/>
    <cellStyle name="40% - Accent2 4 2 4 4 2 2" xfId="21290"/>
    <cellStyle name="40% - Accent2 4 2 4 4 2 3" xfId="21291"/>
    <cellStyle name="40% - Accent2 4 2 4 4 3" xfId="21292"/>
    <cellStyle name="40% - Accent2 4 2 4 4 3 2" xfId="21293"/>
    <cellStyle name="40% - Accent2 4 2 4 4 3 3" xfId="21294"/>
    <cellStyle name="40% - Accent2 4 2 4 4 4" xfId="21295"/>
    <cellStyle name="40% - Accent2 4 2 4 4 4 2" xfId="21296"/>
    <cellStyle name="40% - Accent2 4 2 4 4 5" xfId="21297"/>
    <cellStyle name="40% - Accent2 4 2 4 4 6" xfId="21298"/>
    <cellStyle name="40% - Accent2 4 2 4 5" xfId="21299"/>
    <cellStyle name="40% - Accent2 4 2 4 5 2" xfId="21300"/>
    <cellStyle name="40% - Accent2 4 2 4 5 2 2" xfId="21301"/>
    <cellStyle name="40% - Accent2 4 2 4 5 2 3" xfId="21302"/>
    <cellStyle name="40% - Accent2 4 2 4 5 3" xfId="21303"/>
    <cellStyle name="40% - Accent2 4 2 4 5 3 2" xfId="21304"/>
    <cellStyle name="40% - Accent2 4 2 4 5 4" xfId="21305"/>
    <cellStyle name="40% - Accent2 4 2 4 5 5" xfId="21306"/>
    <cellStyle name="40% - Accent2 4 2 4 6" xfId="21307"/>
    <cellStyle name="40% - Accent2 4 2 4 6 2" xfId="21308"/>
    <cellStyle name="40% - Accent2 4 2 4 6 3" xfId="21309"/>
    <cellStyle name="40% - Accent2 4 2 4 7" xfId="21310"/>
    <cellStyle name="40% - Accent2 4 2 4 7 2" xfId="21311"/>
    <cellStyle name="40% - Accent2 4 2 4 7 3" xfId="21312"/>
    <cellStyle name="40% - Accent2 4 2 4 8" xfId="21313"/>
    <cellStyle name="40% - Accent2 4 2 4 8 2" xfId="21314"/>
    <cellStyle name="40% - Accent2 4 2 4 9" xfId="21315"/>
    <cellStyle name="40% - Accent2 4 2 5" xfId="1795"/>
    <cellStyle name="40% - Accent2 4 2 5 2" xfId="21316"/>
    <cellStyle name="40% - Accent2 4 2 5 2 2" xfId="21317"/>
    <cellStyle name="40% - Accent2 4 2 5 2 2 2" xfId="21318"/>
    <cellStyle name="40% - Accent2 4 2 5 2 2 3" xfId="21319"/>
    <cellStyle name="40% - Accent2 4 2 5 2 3" xfId="21320"/>
    <cellStyle name="40% - Accent2 4 2 5 2 3 2" xfId="21321"/>
    <cellStyle name="40% - Accent2 4 2 5 2 3 3" xfId="21322"/>
    <cellStyle name="40% - Accent2 4 2 5 2 4" xfId="21323"/>
    <cellStyle name="40% - Accent2 4 2 5 2 4 2" xfId="21324"/>
    <cellStyle name="40% - Accent2 4 2 5 2 5" xfId="21325"/>
    <cellStyle name="40% - Accent2 4 2 5 2 6" xfId="21326"/>
    <cellStyle name="40% - Accent2 4 2 5 3" xfId="21327"/>
    <cellStyle name="40% - Accent2 4 2 5 3 2" xfId="21328"/>
    <cellStyle name="40% - Accent2 4 2 5 3 2 2" xfId="21329"/>
    <cellStyle name="40% - Accent2 4 2 5 3 2 3" xfId="21330"/>
    <cellStyle name="40% - Accent2 4 2 5 3 3" xfId="21331"/>
    <cellStyle name="40% - Accent2 4 2 5 3 3 2" xfId="21332"/>
    <cellStyle name="40% - Accent2 4 2 5 3 3 3" xfId="21333"/>
    <cellStyle name="40% - Accent2 4 2 5 3 4" xfId="21334"/>
    <cellStyle name="40% - Accent2 4 2 5 3 4 2" xfId="21335"/>
    <cellStyle name="40% - Accent2 4 2 5 3 5" xfId="21336"/>
    <cellStyle name="40% - Accent2 4 2 5 3 6" xfId="21337"/>
    <cellStyle name="40% - Accent2 4 2 5 4" xfId="21338"/>
    <cellStyle name="40% - Accent2 4 2 5 4 2" xfId="21339"/>
    <cellStyle name="40% - Accent2 4 2 5 4 2 2" xfId="21340"/>
    <cellStyle name="40% - Accent2 4 2 5 4 2 3" xfId="21341"/>
    <cellStyle name="40% - Accent2 4 2 5 4 3" xfId="21342"/>
    <cellStyle name="40% - Accent2 4 2 5 4 3 2" xfId="21343"/>
    <cellStyle name="40% - Accent2 4 2 5 4 4" xfId="21344"/>
    <cellStyle name="40% - Accent2 4 2 5 4 5" xfId="21345"/>
    <cellStyle name="40% - Accent2 4 2 5 5" xfId="21346"/>
    <cellStyle name="40% - Accent2 4 2 5 5 2" xfId="21347"/>
    <cellStyle name="40% - Accent2 4 2 5 5 3" xfId="21348"/>
    <cellStyle name="40% - Accent2 4 2 5 6" xfId="21349"/>
    <cellStyle name="40% - Accent2 4 2 5 6 2" xfId="21350"/>
    <cellStyle name="40% - Accent2 4 2 5 6 3" xfId="21351"/>
    <cellStyle name="40% - Accent2 4 2 5 7" xfId="21352"/>
    <cellStyle name="40% - Accent2 4 2 5 7 2" xfId="21353"/>
    <cellStyle name="40% - Accent2 4 2 5 8" xfId="21354"/>
    <cellStyle name="40% - Accent2 4 2 5 9" xfId="21355"/>
    <cellStyle name="40% - Accent2 4 2 6" xfId="21356"/>
    <cellStyle name="40% - Accent2 4 2 6 2" xfId="21357"/>
    <cellStyle name="40% - Accent2 4 2 6 2 2" xfId="21358"/>
    <cellStyle name="40% - Accent2 4 2 6 2 2 2" xfId="21359"/>
    <cellStyle name="40% - Accent2 4 2 6 2 2 3" xfId="21360"/>
    <cellStyle name="40% - Accent2 4 2 6 2 3" xfId="21361"/>
    <cellStyle name="40% - Accent2 4 2 6 2 3 2" xfId="21362"/>
    <cellStyle name="40% - Accent2 4 2 6 2 3 3" xfId="21363"/>
    <cellStyle name="40% - Accent2 4 2 6 2 4" xfId="21364"/>
    <cellStyle name="40% - Accent2 4 2 6 2 4 2" xfId="21365"/>
    <cellStyle name="40% - Accent2 4 2 6 2 5" xfId="21366"/>
    <cellStyle name="40% - Accent2 4 2 6 2 6" xfId="21367"/>
    <cellStyle name="40% - Accent2 4 2 6 3" xfId="21368"/>
    <cellStyle name="40% - Accent2 4 2 6 3 2" xfId="21369"/>
    <cellStyle name="40% - Accent2 4 2 6 3 2 2" xfId="21370"/>
    <cellStyle name="40% - Accent2 4 2 6 3 2 3" xfId="21371"/>
    <cellStyle name="40% - Accent2 4 2 6 3 3" xfId="21372"/>
    <cellStyle name="40% - Accent2 4 2 6 3 3 2" xfId="21373"/>
    <cellStyle name="40% - Accent2 4 2 6 3 3 3" xfId="21374"/>
    <cellStyle name="40% - Accent2 4 2 6 3 4" xfId="21375"/>
    <cellStyle name="40% - Accent2 4 2 6 3 4 2" xfId="21376"/>
    <cellStyle name="40% - Accent2 4 2 6 3 5" xfId="21377"/>
    <cellStyle name="40% - Accent2 4 2 6 3 6" xfId="21378"/>
    <cellStyle name="40% - Accent2 4 2 6 4" xfId="21379"/>
    <cellStyle name="40% - Accent2 4 2 6 4 2" xfId="21380"/>
    <cellStyle name="40% - Accent2 4 2 6 4 2 2" xfId="21381"/>
    <cellStyle name="40% - Accent2 4 2 6 4 2 3" xfId="21382"/>
    <cellStyle name="40% - Accent2 4 2 6 4 3" xfId="21383"/>
    <cellStyle name="40% - Accent2 4 2 6 4 3 2" xfId="21384"/>
    <cellStyle name="40% - Accent2 4 2 6 4 4" xfId="21385"/>
    <cellStyle name="40% - Accent2 4 2 6 4 5" xfId="21386"/>
    <cellStyle name="40% - Accent2 4 2 6 5" xfId="21387"/>
    <cellStyle name="40% - Accent2 4 2 6 5 2" xfId="21388"/>
    <cellStyle name="40% - Accent2 4 2 6 5 3" xfId="21389"/>
    <cellStyle name="40% - Accent2 4 2 6 6" xfId="21390"/>
    <cellStyle name="40% - Accent2 4 2 6 6 2" xfId="21391"/>
    <cellStyle name="40% - Accent2 4 2 6 6 3" xfId="21392"/>
    <cellStyle name="40% - Accent2 4 2 6 7" xfId="21393"/>
    <cellStyle name="40% - Accent2 4 2 6 7 2" xfId="21394"/>
    <cellStyle name="40% - Accent2 4 2 6 8" xfId="21395"/>
    <cellStyle name="40% - Accent2 4 2 6 9" xfId="21396"/>
    <cellStyle name="40% - Accent2 4 2 7" xfId="21397"/>
    <cellStyle name="40% - Accent2 4 2 7 2" xfId="21398"/>
    <cellStyle name="40% - Accent2 4 2 7 2 2" xfId="21399"/>
    <cellStyle name="40% - Accent2 4 2 7 2 3" xfId="21400"/>
    <cellStyle name="40% - Accent2 4 2 7 3" xfId="21401"/>
    <cellStyle name="40% - Accent2 4 2 7 3 2" xfId="21402"/>
    <cellStyle name="40% - Accent2 4 2 7 3 3" xfId="21403"/>
    <cellStyle name="40% - Accent2 4 2 7 4" xfId="21404"/>
    <cellStyle name="40% - Accent2 4 2 7 4 2" xfId="21405"/>
    <cellStyle name="40% - Accent2 4 2 7 5" xfId="21406"/>
    <cellStyle name="40% - Accent2 4 2 7 6" xfId="21407"/>
    <cellStyle name="40% - Accent2 4 2 8" xfId="21408"/>
    <cellStyle name="40% - Accent2 4 2 8 2" xfId="21409"/>
    <cellStyle name="40% - Accent2 4 2 8 2 2" xfId="21410"/>
    <cellStyle name="40% - Accent2 4 2 8 2 3" xfId="21411"/>
    <cellStyle name="40% - Accent2 4 2 8 3" xfId="21412"/>
    <cellStyle name="40% - Accent2 4 2 8 3 2" xfId="21413"/>
    <cellStyle name="40% - Accent2 4 2 8 3 3" xfId="21414"/>
    <cellStyle name="40% - Accent2 4 2 8 4" xfId="21415"/>
    <cellStyle name="40% - Accent2 4 2 8 4 2" xfId="21416"/>
    <cellStyle name="40% - Accent2 4 2 8 5" xfId="21417"/>
    <cellStyle name="40% - Accent2 4 2 8 6" xfId="21418"/>
    <cellStyle name="40% - Accent2 4 2 9" xfId="21419"/>
    <cellStyle name="40% - Accent2 4 2 9 2" xfId="21420"/>
    <cellStyle name="40% - Accent2 4 2 9 2 2" xfId="21421"/>
    <cellStyle name="40% - Accent2 4 2 9 2 3" xfId="21422"/>
    <cellStyle name="40% - Accent2 4 2 9 3" xfId="21423"/>
    <cellStyle name="40% - Accent2 4 2 9 3 2" xfId="21424"/>
    <cellStyle name="40% - Accent2 4 2 9 4" xfId="21425"/>
    <cellStyle name="40% - Accent2 4 2 9 5" xfId="21426"/>
    <cellStyle name="40% - Accent2 4 3" xfId="1796"/>
    <cellStyle name="40% - Accent2 4 3 10" xfId="21427"/>
    <cellStyle name="40% - Accent2 4 3 10 2" xfId="21428"/>
    <cellStyle name="40% - Accent2 4 3 10 3" xfId="21429"/>
    <cellStyle name="40% - Accent2 4 3 11" xfId="21430"/>
    <cellStyle name="40% - Accent2 4 3 11 2" xfId="21431"/>
    <cellStyle name="40% - Accent2 4 3 12" xfId="21432"/>
    <cellStyle name="40% - Accent2 4 3 13" xfId="21433"/>
    <cellStyle name="40% - Accent2 4 3 14" xfId="21434"/>
    <cellStyle name="40% - Accent2 4 3 2" xfId="1797"/>
    <cellStyle name="40% - Accent2 4 3 2 10" xfId="21435"/>
    <cellStyle name="40% - Accent2 4 3 2 10 2" xfId="21436"/>
    <cellStyle name="40% - Accent2 4 3 2 11" xfId="21437"/>
    <cellStyle name="40% - Accent2 4 3 2 12" xfId="21438"/>
    <cellStyle name="40% - Accent2 4 3 2 2" xfId="1798"/>
    <cellStyle name="40% - Accent2 4 3 2 2 10" xfId="21439"/>
    <cellStyle name="40% - Accent2 4 3 2 2 2" xfId="1799"/>
    <cellStyle name="40% - Accent2 4 3 2 2 2 2" xfId="21440"/>
    <cellStyle name="40% - Accent2 4 3 2 2 2 2 2" xfId="21441"/>
    <cellStyle name="40% - Accent2 4 3 2 2 2 2 2 2" xfId="21442"/>
    <cellStyle name="40% - Accent2 4 3 2 2 2 2 2 3" xfId="21443"/>
    <cellStyle name="40% - Accent2 4 3 2 2 2 2 3" xfId="21444"/>
    <cellStyle name="40% - Accent2 4 3 2 2 2 2 3 2" xfId="21445"/>
    <cellStyle name="40% - Accent2 4 3 2 2 2 2 3 3" xfId="21446"/>
    <cellStyle name="40% - Accent2 4 3 2 2 2 2 4" xfId="21447"/>
    <cellStyle name="40% - Accent2 4 3 2 2 2 2 4 2" xfId="21448"/>
    <cellStyle name="40% - Accent2 4 3 2 2 2 2 5" xfId="21449"/>
    <cellStyle name="40% - Accent2 4 3 2 2 2 2 6" xfId="21450"/>
    <cellStyle name="40% - Accent2 4 3 2 2 2 3" xfId="21451"/>
    <cellStyle name="40% - Accent2 4 3 2 2 2 3 2" xfId="21452"/>
    <cellStyle name="40% - Accent2 4 3 2 2 2 3 2 2" xfId="21453"/>
    <cellStyle name="40% - Accent2 4 3 2 2 2 3 2 3" xfId="21454"/>
    <cellStyle name="40% - Accent2 4 3 2 2 2 3 3" xfId="21455"/>
    <cellStyle name="40% - Accent2 4 3 2 2 2 3 3 2" xfId="21456"/>
    <cellStyle name="40% - Accent2 4 3 2 2 2 3 3 3" xfId="21457"/>
    <cellStyle name="40% - Accent2 4 3 2 2 2 3 4" xfId="21458"/>
    <cellStyle name="40% - Accent2 4 3 2 2 2 3 4 2" xfId="21459"/>
    <cellStyle name="40% - Accent2 4 3 2 2 2 3 5" xfId="21460"/>
    <cellStyle name="40% - Accent2 4 3 2 2 2 3 6" xfId="21461"/>
    <cellStyle name="40% - Accent2 4 3 2 2 2 4" xfId="21462"/>
    <cellStyle name="40% - Accent2 4 3 2 2 2 4 2" xfId="21463"/>
    <cellStyle name="40% - Accent2 4 3 2 2 2 4 2 2" xfId="21464"/>
    <cellStyle name="40% - Accent2 4 3 2 2 2 4 2 3" xfId="21465"/>
    <cellStyle name="40% - Accent2 4 3 2 2 2 4 3" xfId="21466"/>
    <cellStyle name="40% - Accent2 4 3 2 2 2 4 3 2" xfId="21467"/>
    <cellStyle name="40% - Accent2 4 3 2 2 2 4 4" xfId="21468"/>
    <cellStyle name="40% - Accent2 4 3 2 2 2 4 5" xfId="21469"/>
    <cellStyle name="40% - Accent2 4 3 2 2 2 5" xfId="21470"/>
    <cellStyle name="40% - Accent2 4 3 2 2 2 5 2" xfId="21471"/>
    <cellStyle name="40% - Accent2 4 3 2 2 2 5 3" xfId="21472"/>
    <cellStyle name="40% - Accent2 4 3 2 2 2 6" xfId="21473"/>
    <cellStyle name="40% - Accent2 4 3 2 2 2 6 2" xfId="21474"/>
    <cellStyle name="40% - Accent2 4 3 2 2 2 6 3" xfId="21475"/>
    <cellStyle name="40% - Accent2 4 3 2 2 2 7" xfId="21476"/>
    <cellStyle name="40% - Accent2 4 3 2 2 2 7 2" xfId="21477"/>
    <cellStyle name="40% - Accent2 4 3 2 2 2 8" xfId="21478"/>
    <cellStyle name="40% - Accent2 4 3 2 2 2 9" xfId="21479"/>
    <cellStyle name="40% - Accent2 4 3 2 2 3" xfId="21480"/>
    <cellStyle name="40% - Accent2 4 3 2 2 3 2" xfId="21481"/>
    <cellStyle name="40% - Accent2 4 3 2 2 3 2 2" xfId="21482"/>
    <cellStyle name="40% - Accent2 4 3 2 2 3 2 3" xfId="21483"/>
    <cellStyle name="40% - Accent2 4 3 2 2 3 3" xfId="21484"/>
    <cellStyle name="40% - Accent2 4 3 2 2 3 3 2" xfId="21485"/>
    <cellStyle name="40% - Accent2 4 3 2 2 3 3 3" xfId="21486"/>
    <cellStyle name="40% - Accent2 4 3 2 2 3 4" xfId="21487"/>
    <cellStyle name="40% - Accent2 4 3 2 2 3 4 2" xfId="21488"/>
    <cellStyle name="40% - Accent2 4 3 2 2 3 5" xfId="21489"/>
    <cellStyle name="40% - Accent2 4 3 2 2 3 6" xfId="21490"/>
    <cellStyle name="40% - Accent2 4 3 2 2 4" xfId="21491"/>
    <cellStyle name="40% - Accent2 4 3 2 2 4 2" xfId="21492"/>
    <cellStyle name="40% - Accent2 4 3 2 2 4 2 2" xfId="21493"/>
    <cellStyle name="40% - Accent2 4 3 2 2 4 2 3" xfId="21494"/>
    <cellStyle name="40% - Accent2 4 3 2 2 4 3" xfId="21495"/>
    <cellStyle name="40% - Accent2 4 3 2 2 4 3 2" xfId="21496"/>
    <cellStyle name="40% - Accent2 4 3 2 2 4 3 3" xfId="21497"/>
    <cellStyle name="40% - Accent2 4 3 2 2 4 4" xfId="21498"/>
    <cellStyle name="40% - Accent2 4 3 2 2 4 4 2" xfId="21499"/>
    <cellStyle name="40% - Accent2 4 3 2 2 4 5" xfId="21500"/>
    <cellStyle name="40% - Accent2 4 3 2 2 4 6" xfId="21501"/>
    <cellStyle name="40% - Accent2 4 3 2 2 5" xfId="21502"/>
    <cellStyle name="40% - Accent2 4 3 2 2 5 2" xfId="21503"/>
    <cellStyle name="40% - Accent2 4 3 2 2 5 2 2" xfId="21504"/>
    <cellStyle name="40% - Accent2 4 3 2 2 5 2 3" xfId="21505"/>
    <cellStyle name="40% - Accent2 4 3 2 2 5 3" xfId="21506"/>
    <cellStyle name="40% - Accent2 4 3 2 2 5 3 2" xfId="21507"/>
    <cellStyle name="40% - Accent2 4 3 2 2 5 4" xfId="21508"/>
    <cellStyle name="40% - Accent2 4 3 2 2 5 5" xfId="21509"/>
    <cellStyle name="40% - Accent2 4 3 2 2 6" xfId="21510"/>
    <cellStyle name="40% - Accent2 4 3 2 2 6 2" xfId="21511"/>
    <cellStyle name="40% - Accent2 4 3 2 2 6 3" xfId="21512"/>
    <cellStyle name="40% - Accent2 4 3 2 2 7" xfId="21513"/>
    <cellStyle name="40% - Accent2 4 3 2 2 7 2" xfId="21514"/>
    <cellStyle name="40% - Accent2 4 3 2 2 7 3" xfId="21515"/>
    <cellStyle name="40% - Accent2 4 3 2 2 8" xfId="21516"/>
    <cellStyle name="40% - Accent2 4 3 2 2 8 2" xfId="21517"/>
    <cellStyle name="40% - Accent2 4 3 2 2 9" xfId="21518"/>
    <cellStyle name="40% - Accent2 4 3 2 3" xfId="1800"/>
    <cellStyle name="40% - Accent2 4 3 2 3 2" xfId="21519"/>
    <cellStyle name="40% - Accent2 4 3 2 3 2 2" xfId="21520"/>
    <cellStyle name="40% - Accent2 4 3 2 3 2 2 2" xfId="21521"/>
    <cellStyle name="40% - Accent2 4 3 2 3 2 2 3" xfId="21522"/>
    <cellStyle name="40% - Accent2 4 3 2 3 2 3" xfId="21523"/>
    <cellStyle name="40% - Accent2 4 3 2 3 2 3 2" xfId="21524"/>
    <cellStyle name="40% - Accent2 4 3 2 3 2 3 3" xfId="21525"/>
    <cellStyle name="40% - Accent2 4 3 2 3 2 4" xfId="21526"/>
    <cellStyle name="40% - Accent2 4 3 2 3 2 4 2" xfId="21527"/>
    <cellStyle name="40% - Accent2 4 3 2 3 2 5" xfId="21528"/>
    <cellStyle name="40% - Accent2 4 3 2 3 2 6" xfId="21529"/>
    <cellStyle name="40% - Accent2 4 3 2 3 3" xfId="21530"/>
    <cellStyle name="40% - Accent2 4 3 2 3 3 2" xfId="21531"/>
    <cellStyle name="40% - Accent2 4 3 2 3 3 2 2" xfId="21532"/>
    <cellStyle name="40% - Accent2 4 3 2 3 3 2 3" xfId="21533"/>
    <cellStyle name="40% - Accent2 4 3 2 3 3 3" xfId="21534"/>
    <cellStyle name="40% - Accent2 4 3 2 3 3 3 2" xfId="21535"/>
    <cellStyle name="40% - Accent2 4 3 2 3 3 3 3" xfId="21536"/>
    <cellStyle name="40% - Accent2 4 3 2 3 3 4" xfId="21537"/>
    <cellStyle name="40% - Accent2 4 3 2 3 3 4 2" xfId="21538"/>
    <cellStyle name="40% - Accent2 4 3 2 3 3 5" xfId="21539"/>
    <cellStyle name="40% - Accent2 4 3 2 3 3 6" xfId="21540"/>
    <cellStyle name="40% - Accent2 4 3 2 3 4" xfId="21541"/>
    <cellStyle name="40% - Accent2 4 3 2 3 4 2" xfId="21542"/>
    <cellStyle name="40% - Accent2 4 3 2 3 4 2 2" xfId="21543"/>
    <cellStyle name="40% - Accent2 4 3 2 3 4 2 3" xfId="21544"/>
    <cellStyle name="40% - Accent2 4 3 2 3 4 3" xfId="21545"/>
    <cellStyle name="40% - Accent2 4 3 2 3 4 3 2" xfId="21546"/>
    <cellStyle name="40% - Accent2 4 3 2 3 4 4" xfId="21547"/>
    <cellStyle name="40% - Accent2 4 3 2 3 4 5" xfId="21548"/>
    <cellStyle name="40% - Accent2 4 3 2 3 5" xfId="21549"/>
    <cellStyle name="40% - Accent2 4 3 2 3 5 2" xfId="21550"/>
    <cellStyle name="40% - Accent2 4 3 2 3 5 3" xfId="21551"/>
    <cellStyle name="40% - Accent2 4 3 2 3 6" xfId="21552"/>
    <cellStyle name="40% - Accent2 4 3 2 3 6 2" xfId="21553"/>
    <cellStyle name="40% - Accent2 4 3 2 3 6 3" xfId="21554"/>
    <cellStyle name="40% - Accent2 4 3 2 3 7" xfId="21555"/>
    <cellStyle name="40% - Accent2 4 3 2 3 7 2" xfId="21556"/>
    <cellStyle name="40% - Accent2 4 3 2 3 8" xfId="21557"/>
    <cellStyle name="40% - Accent2 4 3 2 3 9" xfId="21558"/>
    <cellStyle name="40% - Accent2 4 3 2 4" xfId="21559"/>
    <cellStyle name="40% - Accent2 4 3 2 4 2" xfId="21560"/>
    <cellStyle name="40% - Accent2 4 3 2 4 2 2" xfId="21561"/>
    <cellStyle name="40% - Accent2 4 3 2 4 2 2 2" xfId="21562"/>
    <cellStyle name="40% - Accent2 4 3 2 4 2 2 3" xfId="21563"/>
    <cellStyle name="40% - Accent2 4 3 2 4 2 3" xfId="21564"/>
    <cellStyle name="40% - Accent2 4 3 2 4 2 3 2" xfId="21565"/>
    <cellStyle name="40% - Accent2 4 3 2 4 2 3 3" xfId="21566"/>
    <cellStyle name="40% - Accent2 4 3 2 4 2 4" xfId="21567"/>
    <cellStyle name="40% - Accent2 4 3 2 4 2 4 2" xfId="21568"/>
    <cellStyle name="40% - Accent2 4 3 2 4 2 5" xfId="21569"/>
    <cellStyle name="40% - Accent2 4 3 2 4 2 6" xfId="21570"/>
    <cellStyle name="40% - Accent2 4 3 2 4 3" xfId="21571"/>
    <cellStyle name="40% - Accent2 4 3 2 4 3 2" xfId="21572"/>
    <cellStyle name="40% - Accent2 4 3 2 4 3 2 2" xfId="21573"/>
    <cellStyle name="40% - Accent2 4 3 2 4 3 2 3" xfId="21574"/>
    <cellStyle name="40% - Accent2 4 3 2 4 3 3" xfId="21575"/>
    <cellStyle name="40% - Accent2 4 3 2 4 3 3 2" xfId="21576"/>
    <cellStyle name="40% - Accent2 4 3 2 4 3 3 3" xfId="21577"/>
    <cellStyle name="40% - Accent2 4 3 2 4 3 4" xfId="21578"/>
    <cellStyle name="40% - Accent2 4 3 2 4 3 4 2" xfId="21579"/>
    <cellStyle name="40% - Accent2 4 3 2 4 3 5" xfId="21580"/>
    <cellStyle name="40% - Accent2 4 3 2 4 3 6" xfId="21581"/>
    <cellStyle name="40% - Accent2 4 3 2 4 4" xfId="21582"/>
    <cellStyle name="40% - Accent2 4 3 2 4 4 2" xfId="21583"/>
    <cellStyle name="40% - Accent2 4 3 2 4 4 2 2" xfId="21584"/>
    <cellStyle name="40% - Accent2 4 3 2 4 4 2 3" xfId="21585"/>
    <cellStyle name="40% - Accent2 4 3 2 4 4 3" xfId="21586"/>
    <cellStyle name="40% - Accent2 4 3 2 4 4 3 2" xfId="21587"/>
    <cellStyle name="40% - Accent2 4 3 2 4 4 4" xfId="21588"/>
    <cellStyle name="40% - Accent2 4 3 2 4 4 5" xfId="21589"/>
    <cellStyle name="40% - Accent2 4 3 2 4 5" xfId="21590"/>
    <cellStyle name="40% - Accent2 4 3 2 4 5 2" xfId="21591"/>
    <cellStyle name="40% - Accent2 4 3 2 4 5 3" xfId="21592"/>
    <cellStyle name="40% - Accent2 4 3 2 4 6" xfId="21593"/>
    <cellStyle name="40% - Accent2 4 3 2 4 6 2" xfId="21594"/>
    <cellStyle name="40% - Accent2 4 3 2 4 6 3" xfId="21595"/>
    <cellStyle name="40% - Accent2 4 3 2 4 7" xfId="21596"/>
    <cellStyle name="40% - Accent2 4 3 2 4 7 2" xfId="21597"/>
    <cellStyle name="40% - Accent2 4 3 2 4 8" xfId="21598"/>
    <cellStyle name="40% - Accent2 4 3 2 4 9" xfId="21599"/>
    <cellStyle name="40% - Accent2 4 3 2 5" xfId="21600"/>
    <cellStyle name="40% - Accent2 4 3 2 5 2" xfId="21601"/>
    <cellStyle name="40% - Accent2 4 3 2 5 2 2" xfId="21602"/>
    <cellStyle name="40% - Accent2 4 3 2 5 2 3" xfId="21603"/>
    <cellStyle name="40% - Accent2 4 3 2 5 3" xfId="21604"/>
    <cellStyle name="40% - Accent2 4 3 2 5 3 2" xfId="21605"/>
    <cellStyle name="40% - Accent2 4 3 2 5 3 3" xfId="21606"/>
    <cellStyle name="40% - Accent2 4 3 2 5 4" xfId="21607"/>
    <cellStyle name="40% - Accent2 4 3 2 5 4 2" xfId="21608"/>
    <cellStyle name="40% - Accent2 4 3 2 5 5" xfId="21609"/>
    <cellStyle name="40% - Accent2 4 3 2 5 6" xfId="21610"/>
    <cellStyle name="40% - Accent2 4 3 2 6" xfId="21611"/>
    <cellStyle name="40% - Accent2 4 3 2 6 2" xfId="21612"/>
    <cellStyle name="40% - Accent2 4 3 2 6 2 2" xfId="21613"/>
    <cellStyle name="40% - Accent2 4 3 2 6 2 3" xfId="21614"/>
    <cellStyle name="40% - Accent2 4 3 2 6 3" xfId="21615"/>
    <cellStyle name="40% - Accent2 4 3 2 6 3 2" xfId="21616"/>
    <cellStyle name="40% - Accent2 4 3 2 6 3 3" xfId="21617"/>
    <cellStyle name="40% - Accent2 4 3 2 6 4" xfId="21618"/>
    <cellStyle name="40% - Accent2 4 3 2 6 4 2" xfId="21619"/>
    <cellStyle name="40% - Accent2 4 3 2 6 5" xfId="21620"/>
    <cellStyle name="40% - Accent2 4 3 2 6 6" xfId="21621"/>
    <cellStyle name="40% - Accent2 4 3 2 7" xfId="21622"/>
    <cellStyle name="40% - Accent2 4 3 2 7 2" xfId="21623"/>
    <cellStyle name="40% - Accent2 4 3 2 7 2 2" xfId="21624"/>
    <cellStyle name="40% - Accent2 4 3 2 7 2 3" xfId="21625"/>
    <cellStyle name="40% - Accent2 4 3 2 7 3" xfId="21626"/>
    <cellStyle name="40% - Accent2 4 3 2 7 3 2" xfId="21627"/>
    <cellStyle name="40% - Accent2 4 3 2 7 4" xfId="21628"/>
    <cellStyle name="40% - Accent2 4 3 2 7 5" xfId="21629"/>
    <cellStyle name="40% - Accent2 4 3 2 8" xfId="21630"/>
    <cellStyle name="40% - Accent2 4 3 2 8 2" xfId="21631"/>
    <cellStyle name="40% - Accent2 4 3 2 8 3" xfId="21632"/>
    <cellStyle name="40% - Accent2 4 3 2 9" xfId="21633"/>
    <cellStyle name="40% - Accent2 4 3 2 9 2" xfId="21634"/>
    <cellStyle name="40% - Accent2 4 3 2 9 3" xfId="21635"/>
    <cellStyle name="40% - Accent2 4 3 3" xfId="1801"/>
    <cellStyle name="40% - Accent2 4 3 3 10" xfId="21636"/>
    <cellStyle name="40% - Accent2 4 3 3 2" xfId="1802"/>
    <cellStyle name="40% - Accent2 4 3 3 2 2" xfId="21637"/>
    <cellStyle name="40% - Accent2 4 3 3 2 2 2" xfId="21638"/>
    <cellStyle name="40% - Accent2 4 3 3 2 2 2 2" xfId="21639"/>
    <cellStyle name="40% - Accent2 4 3 3 2 2 2 3" xfId="21640"/>
    <cellStyle name="40% - Accent2 4 3 3 2 2 3" xfId="21641"/>
    <cellStyle name="40% - Accent2 4 3 3 2 2 3 2" xfId="21642"/>
    <cellStyle name="40% - Accent2 4 3 3 2 2 3 3" xfId="21643"/>
    <cellStyle name="40% - Accent2 4 3 3 2 2 4" xfId="21644"/>
    <cellStyle name="40% - Accent2 4 3 3 2 2 4 2" xfId="21645"/>
    <cellStyle name="40% - Accent2 4 3 3 2 2 5" xfId="21646"/>
    <cellStyle name="40% - Accent2 4 3 3 2 2 6" xfId="21647"/>
    <cellStyle name="40% - Accent2 4 3 3 2 3" xfId="21648"/>
    <cellStyle name="40% - Accent2 4 3 3 2 3 2" xfId="21649"/>
    <cellStyle name="40% - Accent2 4 3 3 2 3 2 2" xfId="21650"/>
    <cellStyle name="40% - Accent2 4 3 3 2 3 2 3" xfId="21651"/>
    <cellStyle name="40% - Accent2 4 3 3 2 3 3" xfId="21652"/>
    <cellStyle name="40% - Accent2 4 3 3 2 3 3 2" xfId="21653"/>
    <cellStyle name="40% - Accent2 4 3 3 2 3 3 3" xfId="21654"/>
    <cellStyle name="40% - Accent2 4 3 3 2 3 4" xfId="21655"/>
    <cellStyle name="40% - Accent2 4 3 3 2 3 4 2" xfId="21656"/>
    <cellStyle name="40% - Accent2 4 3 3 2 3 5" xfId="21657"/>
    <cellStyle name="40% - Accent2 4 3 3 2 3 6" xfId="21658"/>
    <cellStyle name="40% - Accent2 4 3 3 2 4" xfId="21659"/>
    <cellStyle name="40% - Accent2 4 3 3 2 4 2" xfId="21660"/>
    <cellStyle name="40% - Accent2 4 3 3 2 4 2 2" xfId="21661"/>
    <cellStyle name="40% - Accent2 4 3 3 2 4 2 3" xfId="21662"/>
    <cellStyle name="40% - Accent2 4 3 3 2 4 3" xfId="21663"/>
    <cellStyle name="40% - Accent2 4 3 3 2 4 3 2" xfId="21664"/>
    <cellStyle name="40% - Accent2 4 3 3 2 4 4" xfId="21665"/>
    <cellStyle name="40% - Accent2 4 3 3 2 4 5" xfId="21666"/>
    <cellStyle name="40% - Accent2 4 3 3 2 5" xfId="21667"/>
    <cellStyle name="40% - Accent2 4 3 3 2 5 2" xfId="21668"/>
    <cellStyle name="40% - Accent2 4 3 3 2 5 3" xfId="21669"/>
    <cellStyle name="40% - Accent2 4 3 3 2 6" xfId="21670"/>
    <cellStyle name="40% - Accent2 4 3 3 2 6 2" xfId="21671"/>
    <cellStyle name="40% - Accent2 4 3 3 2 6 3" xfId="21672"/>
    <cellStyle name="40% - Accent2 4 3 3 2 7" xfId="21673"/>
    <cellStyle name="40% - Accent2 4 3 3 2 7 2" xfId="21674"/>
    <cellStyle name="40% - Accent2 4 3 3 2 8" xfId="21675"/>
    <cellStyle name="40% - Accent2 4 3 3 2 9" xfId="21676"/>
    <cellStyle name="40% - Accent2 4 3 3 3" xfId="21677"/>
    <cellStyle name="40% - Accent2 4 3 3 3 2" xfId="21678"/>
    <cellStyle name="40% - Accent2 4 3 3 3 2 2" xfId="21679"/>
    <cellStyle name="40% - Accent2 4 3 3 3 2 3" xfId="21680"/>
    <cellStyle name="40% - Accent2 4 3 3 3 3" xfId="21681"/>
    <cellStyle name="40% - Accent2 4 3 3 3 3 2" xfId="21682"/>
    <cellStyle name="40% - Accent2 4 3 3 3 3 3" xfId="21683"/>
    <cellStyle name="40% - Accent2 4 3 3 3 4" xfId="21684"/>
    <cellStyle name="40% - Accent2 4 3 3 3 4 2" xfId="21685"/>
    <cellStyle name="40% - Accent2 4 3 3 3 5" xfId="21686"/>
    <cellStyle name="40% - Accent2 4 3 3 3 6" xfId="21687"/>
    <cellStyle name="40% - Accent2 4 3 3 4" xfId="21688"/>
    <cellStyle name="40% - Accent2 4 3 3 4 2" xfId="21689"/>
    <cellStyle name="40% - Accent2 4 3 3 4 2 2" xfId="21690"/>
    <cellStyle name="40% - Accent2 4 3 3 4 2 3" xfId="21691"/>
    <cellStyle name="40% - Accent2 4 3 3 4 3" xfId="21692"/>
    <cellStyle name="40% - Accent2 4 3 3 4 3 2" xfId="21693"/>
    <cellStyle name="40% - Accent2 4 3 3 4 3 3" xfId="21694"/>
    <cellStyle name="40% - Accent2 4 3 3 4 4" xfId="21695"/>
    <cellStyle name="40% - Accent2 4 3 3 4 4 2" xfId="21696"/>
    <cellStyle name="40% - Accent2 4 3 3 4 5" xfId="21697"/>
    <cellStyle name="40% - Accent2 4 3 3 4 6" xfId="21698"/>
    <cellStyle name="40% - Accent2 4 3 3 5" xfId="21699"/>
    <cellStyle name="40% - Accent2 4 3 3 5 2" xfId="21700"/>
    <cellStyle name="40% - Accent2 4 3 3 5 2 2" xfId="21701"/>
    <cellStyle name="40% - Accent2 4 3 3 5 2 3" xfId="21702"/>
    <cellStyle name="40% - Accent2 4 3 3 5 3" xfId="21703"/>
    <cellStyle name="40% - Accent2 4 3 3 5 3 2" xfId="21704"/>
    <cellStyle name="40% - Accent2 4 3 3 5 4" xfId="21705"/>
    <cellStyle name="40% - Accent2 4 3 3 5 5" xfId="21706"/>
    <cellStyle name="40% - Accent2 4 3 3 6" xfId="21707"/>
    <cellStyle name="40% - Accent2 4 3 3 6 2" xfId="21708"/>
    <cellStyle name="40% - Accent2 4 3 3 6 3" xfId="21709"/>
    <cellStyle name="40% - Accent2 4 3 3 7" xfId="21710"/>
    <cellStyle name="40% - Accent2 4 3 3 7 2" xfId="21711"/>
    <cellStyle name="40% - Accent2 4 3 3 7 3" xfId="21712"/>
    <cellStyle name="40% - Accent2 4 3 3 8" xfId="21713"/>
    <cellStyle name="40% - Accent2 4 3 3 8 2" xfId="21714"/>
    <cellStyle name="40% - Accent2 4 3 3 9" xfId="21715"/>
    <cellStyle name="40% - Accent2 4 3 4" xfId="1803"/>
    <cellStyle name="40% - Accent2 4 3 4 2" xfId="21716"/>
    <cellStyle name="40% - Accent2 4 3 4 2 2" xfId="21717"/>
    <cellStyle name="40% - Accent2 4 3 4 2 2 2" xfId="21718"/>
    <cellStyle name="40% - Accent2 4 3 4 2 2 3" xfId="21719"/>
    <cellStyle name="40% - Accent2 4 3 4 2 3" xfId="21720"/>
    <cellStyle name="40% - Accent2 4 3 4 2 3 2" xfId="21721"/>
    <cellStyle name="40% - Accent2 4 3 4 2 3 3" xfId="21722"/>
    <cellStyle name="40% - Accent2 4 3 4 2 4" xfId="21723"/>
    <cellStyle name="40% - Accent2 4 3 4 2 4 2" xfId="21724"/>
    <cellStyle name="40% - Accent2 4 3 4 2 5" xfId="21725"/>
    <cellStyle name="40% - Accent2 4 3 4 2 6" xfId="21726"/>
    <cellStyle name="40% - Accent2 4 3 4 3" xfId="21727"/>
    <cellStyle name="40% - Accent2 4 3 4 3 2" xfId="21728"/>
    <cellStyle name="40% - Accent2 4 3 4 3 2 2" xfId="21729"/>
    <cellStyle name="40% - Accent2 4 3 4 3 2 3" xfId="21730"/>
    <cellStyle name="40% - Accent2 4 3 4 3 3" xfId="21731"/>
    <cellStyle name="40% - Accent2 4 3 4 3 3 2" xfId="21732"/>
    <cellStyle name="40% - Accent2 4 3 4 3 3 3" xfId="21733"/>
    <cellStyle name="40% - Accent2 4 3 4 3 4" xfId="21734"/>
    <cellStyle name="40% - Accent2 4 3 4 3 4 2" xfId="21735"/>
    <cellStyle name="40% - Accent2 4 3 4 3 5" xfId="21736"/>
    <cellStyle name="40% - Accent2 4 3 4 3 6" xfId="21737"/>
    <cellStyle name="40% - Accent2 4 3 4 4" xfId="21738"/>
    <cellStyle name="40% - Accent2 4 3 4 4 2" xfId="21739"/>
    <cellStyle name="40% - Accent2 4 3 4 4 2 2" xfId="21740"/>
    <cellStyle name="40% - Accent2 4 3 4 4 2 3" xfId="21741"/>
    <cellStyle name="40% - Accent2 4 3 4 4 3" xfId="21742"/>
    <cellStyle name="40% - Accent2 4 3 4 4 3 2" xfId="21743"/>
    <cellStyle name="40% - Accent2 4 3 4 4 4" xfId="21744"/>
    <cellStyle name="40% - Accent2 4 3 4 4 5" xfId="21745"/>
    <cellStyle name="40% - Accent2 4 3 4 5" xfId="21746"/>
    <cellStyle name="40% - Accent2 4 3 4 5 2" xfId="21747"/>
    <cellStyle name="40% - Accent2 4 3 4 5 3" xfId="21748"/>
    <cellStyle name="40% - Accent2 4 3 4 6" xfId="21749"/>
    <cellStyle name="40% - Accent2 4 3 4 6 2" xfId="21750"/>
    <cellStyle name="40% - Accent2 4 3 4 6 3" xfId="21751"/>
    <cellStyle name="40% - Accent2 4 3 4 7" xfId="21752"/>
    <cellStyle name="40% - Accent2 4 3 4 7 2" xfId="21753"/>
    <cellStyle name="40% - Accent2 4 3 4 8" xfId="21754"/>
    <cellStyle name="40% - Accent2 4 3 4 9" xfId="21755"/>
    <cellStyle name="40% - Accent2 4 3 5" xfId="21756"/>
    <cellStyle name="40% - Accent2 4 3 5 2" xfId="21757"/>
    <cellStyle name="40% - Accent2 4 3 5 2 2" xfId="21758"/>
    <cellStyle name="40% - Accent2 4 3 5 2 2 2" xfId="21759"/>
    <cellStyle name="40% - Accent2 4 3 5 2 2 3" xfId="21760"/>
    <cellStyle name="40% - Accent2 4 3 5 2 3" xfId="21761"/>
    <cellStyle name="40% - Accent2 4 3 5 2 3 2" xfId="21762"/>
    <cellStyle name="40% - Accent2 4 3 5 2 3 3" xfId="21763"/>
    <cellStyle name="40% - Accent2 4 3 5 2 4" xfId="21764"/>
    <cellStyle name="40% - Accent2 4 3 5 2 4 2" xfId="21765"/>
    <cellStyle name="40% - Accent2 4 3 5 2 5" xfId="21766"/>
    <cellStyle name="40% - Accent2 4 3 5 2 6" xfId="21767"/>
    <cellStyle name="40% - Accent2 4 3 5 3" xfId="21768"/>
    <cellStyle name="40% - Accent2 4 3 5 3 2" xfId="21769"/>
    <cellStyle name="40% - Accent2 4 3 5 3 2 2" xfId="21770"/>
    <cellStyle name="40% - Accent2 4 3 5 3 2 3" xfId="21771"/>
    <cellStyle name="40% - Accent2 4 3 5 3 3" xfId="21772"/>
    <cellStyle name="40% - Accent2 4 3 5 3 3 2" xfId="21773"/>
    <cellStyle name="40% - Accent2 4 3 5 3 3 3" xfId="21774"/>
    <cellStyle name="40% - Accent2 4 3 5 3 4" xfId="21775"/>
    <cellStyle name="40% - Accent2 4 3 5 3 4 2" xfId="21776"/>
    <cellStyle name="40% - Accent2 4 3 5 3 5" xfId="21777"/>
    <cellStyle name="40% - Accent2 4 3 5 3 6" xfId="21778"/>
    <cellStyle name="40% - Accent2 4 3 5 4" xfId="21779"/>
    <cellStyle name="40% - Accent2 4 3 5 4 2" xfId="21780"/>
    <cellStyle name="40% - Accent2 4 3 5 4 2 2" xfId="21781"/>
    <cellStyle name="40% - Accent2 4 3 5 4 2 3" xfId="21782"/>
    <cellStyle name="40% - Accent2 4 3 5 4 3" xfId="21783"/>
    <cellStyle name="40% - Accent2 4 3 5 4 3 2" xfId="21784"/>
    <cellStyle name="40% - Accent2 4 3 5 4 4" xfId="21785"/>
    <cellStyle name="40% - Accent2 4 3 5 4 5" xfId="21786"/>
    <cellStyle name="40% - Accent2 4 3 5 5" xfId="21787"/>
    <cellStyle name="40% - Accent2 4 3 5 5 2" xfId="21788"/>
    <cellStyle name="40% - Accent2 4 3 5 5 3" xfId="21789"/>
    <cellStyle name="40% - Accent2 4 3 5 6" xfId="21790"/>
    <cellStyle name="40% - Accent2 4 3 5 6 2" xfId="21791"/>
    <cellStyle name="40% - Accent2 4 3 5 6 3" xfId="21792"/>
    <cellStyle name="40% - Accent2 4 3 5 7" xfId="21793"/>
    <cellStyle name="40% - Accent2 4 3 5 7 2" xfId="21794"/>
    <cellStyle name="40% - Accent2 4 3 5 8" xfId="21795"/>
    <cellStyle name="40% - Accent2 4 3 5 9" xfId="21796"/>
    <cellStyle name="40% - Accent2 4 3 6" xfId="21797"/>
    <cellStyle name="40% - Accent2 4 3 6 2" xfId="21798"/>
    <cellStyle name="40% - Accent2 4 3 6 2 2" xfId="21799"/>
    <cellStyle name="40% - Accent2 4 3 6 2 3" xfId="21800"/>
    <cellStyle name="40% - Accent2 4 3 6 3" xfId="21801"/>
    <cellStyle name="40% - Accent2 4 3 6 3 2" xfId="21802"/>
    <cellStyle name="40% - Accent2 4 3 6 3 3" xfId="21803"/>
    <cellStyle name="40% - Accent2 4 3 6 4" xfId="21804"/>
    <cellStyle name="40% - Accent2 4 3 6 4 2" xfId="21805"/>
    <cellStyle name="40% - Accent2 4 3 6 5" xfId="21806"/>
    <cellStyle name="40% - Accent2 4 3 6 6" xfId="21807"/>
    <cellStyle name="40% - Accent2 4 3 7" xfId="21808"/>
    <cellStyle name="40% - Accent2 4 3 7 2" xfId="21809"/>
    <cellStyle name="40% - Accent2 4 3 7 2 2" xfId="21810"/>
    <cellStyle name="40% - Accent2 4 3 7 2 3" xfId="21811"/>
    <cellStyle name="40% - Accent2 4 3 7 3" xfId="21812"/>
    <cellStyle name="40% - Accent2 4 3 7 3 2" xfId="21813"/>
    <cellStyle name="40% - Accent2 4 3 7 3 3" xfId="21814"/>
    <cellStyle name="40% - Accent2 4 3 7 4" xfId="21815"/>
    <cellStyle name="40% - Accent2 4 3 7 4 2" xfId="21816"/>
    <cellStyle name="40% - Accent2 4 3 7 5" xfId="21817"/>
    <cellStyle name="40% - Accent2 4 3 7 6" xfId="21818"/>
    <cellStyle name="40% - Accent2 4 3 8" xfId="21819"/>
    <cellStyle name="40% - Accent2 4 3 8 2" xfId="21820"/>
    <cellStyle name="40% - Accent2 4 3 8 2 2" xfId="21821"/>
    <cellStyle name="40% - Accent2 4 3 8 2 3" xfId="21822"/>
    <cellStyle name="40% - Accent2 4 3 8 3" xfId="21823"/>
    <cellStyle name="40% - Accent2 4 3 8 3 2" xfId="21824"/>
    <cellStyle name="40% - Accent2 4 3 8 4" xfId="21825"/>
    <cellStyle name="40% - Accent2 4 3 8 5" xfId="21826"/>
    <cellStyle name="40% - Accent2 4 3 9" xfId="21827"/>
    <cellStyle name="40% - Accent2 4 3 9 2" xfId="21828"/>
    <cellStyle name="40% - Accent2 4 3 9 3" xfId="21829"/>
    <cellStyle name="40% - Accent2 4 4" xfId="1804"/>
    <cellStyle name="40% - Accent2 4 4 10" xfId="21830"/>
    <cellStyle name="40% - Accent2 4 4 10 2" xfId="21831"/>
    <cellStyle name="40% - Accent2 4 4 11" xfId="21832"/>
    <cellStyle name="40% - Accent2 4 4 12" xfId="21833"/>
    <cellStyle name="40% - Accent2 4 4 2" xfId="1805"/>
    <cellStyle name="40% - Accent2 4 4 2 10" xfId="21834"/>
    <cellStyle name="40% - Accent2 4 4 2 2" xfId="1806"/>
    <cellStyle name="40% - Accent2 4 4 2 2 2" xfId="21835"/>
    <cellStyle name="40% - Accent2 4 4 2 2 2 2" xfId="21836"/>
    <cellStyle name="40% - Accent2 4 4 2 2 2 2 2" xfId="21837"/>
    <cellStyle name="40% - Accent2 4 4 2 2 2 2 3" xfId="21838"/>
    <cellStyle name="40% - Accent2 4 4 2 2 2 3" xfId="21839"/>
    <cellStyle name="40% - Accent2 4 4 2 2 2 3 2" xfId="21840"/>
    <cellStyle name="40% - Accent2 4 4 2 2 2 3 3" xfId="21841"/>
    <cellStyle name="40% - Accent2 4 4 2 2 2 4" xfId="21842"/>
    <cellStyle name="40% - Accent2 4 4 2 2 2 4 2" xfId="21843"/>
    <cellStyle name="40% - Accent2 4 4 2 2 2 5" xfId="21844"/>
    <cellStyle name="40% - Accent2 4 4 2 2 2 6" xfId="21845"/>
    <cellStyle name="40% - Accent2 4 4 2 2 3" xfId="21846"/>
    <cellStyle name="40% - Accent2 4 4 2 2 3 2" xfId="21847"/>
    <cellStyle name="40% - Accent2 4 4 2 2 3 2 2" xfId="21848"/>
    <cellStyle name="40% - Accent2 4 4 2 2 3 2 3" xfId="21849"/>
    <cellStyle name="40% - Accent2 4 4 2 2 3 3" xfId="21850"/>
    <cellStyle name="40% - Accent2 4 4 2 2 3 3 2" xfId="21851"/>
    <cellStyle name="40% - Accent2 4 4 2 2 3 3 3" xfId="21852"/>
    <cellStyle name="40% - Accent2 4 4 2 2 3 4" xfId="21853"/>
    <cellStyle name="40% - Accent2 4 4 2 2 3 4 2" xfId="21854"/>
    <cellStyle name="40% - Accent2 4 4 2 2 3 5" xfId="21855"/>
    <cellStyle name="40% - Accent2 4 4 2 2 3 6" xfId="21856"/>
    <cellStyle name="40% - Accent2 4 4 2 2 4" xfId="21857"/>
    <cellStyle name="40% - Accent2 4 4 2 2 4 2" xfId="21858"/>
    <cellStyle name="40% - Accent2 4 4 2 2 4 2 2" xfId="21859"/>
    <cellStyle name="40% - Accent2 4 4 2 2 4 2 3" xfId="21860"/>
    <cellStyle name="40% - Accent2 4 4 2 2 4 3" xfId="21861"/>
    <cellStyle name="40% - Accent2 4 4 2 2 4 3 2" xfId="21862"/>
    <cellStyle name="40% - Accent2 4 4 2 2 4 4" xfId="21863"/>
    <cellStyle name="40% - Accent2 4 4 2 2 4 5" xfId="21864"/>
    <cellStyle name="40% - Accent2 4 4 2 2 5" xfId="21865"/>
    <cellStyle name="40% - Accent2 4 4 2 2 5 2" xfId="21866"/>
    <cellStyle name="40% - Accent2 4 4 2 2 5 3" xfId="21867"/>
    <cellStyle name="40% - Accent2 4 4 2 2 6" xfId="21868"/>
    <cellStyle name="40% - Accent2 4 4 2 2 6 2" xfId="21869"/>
    <cellStyle name="40% - Accent2 4 4 2 2 6 3" xfId="21870"/>
    <cellStyle name="40% - Accent2 4 4 2 2 7" xfId="21871"/>
    <cellStyle name="40% - Accent2 4 4 2 2 7 2" xfId="21872"/>
    <cellStyle name="40% - Accent2 4 4 2 2 8" xfId="21873"/>
    <cellStyle name="40% - Accent2 4 4 2 2 9" xfId="21874"/>
    <cellStyle name="40% - Accent2 4 4 2 3" xfId="21875"/>
    <cellStyle name="40% - Accent2 4 4 2 3 2" xfId="21876"/>
    <cellStyle name="40% - Accent2 4 4 2 3 2 2" xfId="21877"/>
    <cellStyle name="40% - Accent2 4 4 2 3 2 3" xfId="21878"/>
    <cellStyle name="40% - Accent2 4 4 2 3 3" xfId="21879"/>
    <cellStyle name="40% - Accent2 4 4 2 3 3 2" xfId="21880"/>
    <cellStyle name="40% - Accent2 4 4 2 3 3 3" xfId="21881"/>
    <cellStyle name="40% - Accent2 4 4 2 3 4" xfId="21882"/>
    <cellStyle name="40% - Accent2 4 4 2 3 4 2" xfId="21883"/>
    <cellStyle name="40% - Accent2 4 4 2 3 5" xfId="21884"/>
    <cellStyle name="40% - Accent2 4 4 2 3 6" xfId="21885"/>
    <cellStyle name="40% - Accent2 4 4 2 4" xfId="21886"/>
    <cellStyle name="40% - Accent2 4 4 2 4 2" xfId="21887"/>
    <cellStyle name="40% - Accent2 4 4 2 4 2 2" xfId="21888"/>
    <cellStyle name="40% - Accent2 4 4 2 4 2 3" xfId="21889"/>
    <cellStyle name="40% - Accent2 4 4 2 4 3" xfId="21890"/>
    <cellStyle name="40% - Accent2 4 4 2 4 3 2" xfId="21891"/>
    <cellStyle name="40% - Accent2 4 4 2 4 3 3" xfId="21892"/>
    <cellStyle name="40% - Accent2 4 4 2 4 4" xfId="21893"/>
    <cellStyle name="40% - Accent2 4 4 2 4 4 2" xfId="21894"/>
    <cellStyle name="40% - Accent2 4 4 2 4 5" xfId="21895"/>
    <cellStyle name="40% - Accent2 4 4 2 4 6" xfId="21896"/>
    <cellStyle name="40% - Accent2 4 4 2 5" xfId="21897"/>
    <cellStyle name="40% - Accent2 4 4 2 5 2" xfId="21898"/>
    <cellStyle name="40% - Accent2 4 4 2 5 2 2" xfId="21899"/>
    <cellStyle name="40% - Accent2 4 4 2 5 2 3" xfId="21900"/>
    <cellStyle name="40% - Accent2 4 4 2 5 3" xfId="21901"/>
    <cellStyle name="40% - Accent2 4 4 2 5 3 2" xfId="21902"/>
    <cellStyle name="40% - Accent2 4 4 2 5 4" xfId="21903"/>
    <cellStyle name="40% - Accent2 4 4 2 5 5" xfId="21904"/>
    <cellStyle name="40% - Accent2 4 4 2 6" xfId="21905"/>
    <cellStyle name="40% - Accent2 4 4 2 6 2" xfId="21906"/>
    <cellStyle name="40% - Accent2 4 4 2 6 3" xfId="21907"/>
    <cellStyle name="40% - Accent2 4 4 2 7" xfId="21908"/>
    <cellStyle name="40% - Accent2 4 4 2 7 2" xfId="21909"/>
    <cellStyle name="40% - Accent2 4 4 2 7 3" xfId="21910"/>
    <cellStyle name="40% - Accent2 4 4 2 8" xfId="21911"/>
    <cellStyle name="40% - Accent2 4 4 2 8 2" xfId="21912"/>
    <cellStyle name="40% - Accent2 4 4 2 9" xfId="21913"/>
    <cellStyle name="40% - Accent2 4 4 3" xfId="1807"/>
    <cellStyle name="40% - Accent2 4 4 3 2" xfId="21914"/>
    <cellStyle name="40% - Accent2 4 4 3 2 2" xfId="21915"/>
    <cellStyle name="40% - Accent2 4 4 3 2 2 2" xfId="21916"/>
    <cellStyle name="40% - Accent2 4 4 3 2 2 3" xfId="21917"/>
    <cellStyle name="40% - Accent2 4 4 3 2 3" xfId="21918"/>
    <cellStyle name="40% - Accent2 4 4 3 2 3 2" xfId="21919"/>
    <cellStyle name="40% - Accent2 4 4 3 2 3 3" xfId="21920"/>
    <cellStyle name="40% - Accent2 4 4 3 2 4" xfId="21921"/>
    <cellStyle name="40% - Accent2 4 4 3 2 4 2" xfId="21922"/>
    <cellStyle name="40% - Accent2 4 4 3 2 5" xfId="21923"/>
    <cellStyle name="40% - Accent2 4 4 3 2 6" xfId="21924"/>
    <cellStyle name="40% - Accent2 4 4 3 3" xfId="21925"/>
    <cellStyle name="40% - Accent2 4 4 3 3 2" xfId="21926"/>
    <cellStyle name="40% - Accent2 4 4 3 3 2 2" xfId="21927"/>
    <cellStyle name="40% - Accent2 4 4 3 3 2 3" xfId="21928"/>
    <cellStyle name="40% - Accent2 4 4 3 3 3" xfId="21929"/>
    <cellStyle name="40% - Accent2 4 4 3 3 3 2" xfId="21930"/>
    <cellStyle name="40% - Accent2 4 4 3 3 3 3" xfId="21931"/>
    <cellStyle name="40% - Accent2 4 4 3 3 4" xfId="21932"/>
    <cellStyle name="40% - Accent2 4 4 3 3 4 2" xfId="21933"/>
    <cellStyle name="40% - Accent2 4 4 3 3 5" xfId="21934"/>
    <cellStyle name="40% - Accent2 4 4 3 3 6" xfId="21935"/>
    <cellStyle name="40% - Accent2 4 4 3 4" xfId="21936"/>
    <cellStyle name="40% - Accent2 4 4 3 4 2" xfId="21937"/>
    <cellStyle name="40% - Accent2 4 4 3 4 2 2" xfId="21938"/>
    <cellStyle name="40% - Accent2 4 4 3 4 2 3" xfId="21939"/>
    <cellStyle name="40% - Accent2 4 4 3 4 3" xfId="21940"/>
    <cellStyle name="40% - Accent2 4 4 3 4 3 2" xfId="21941"/>
    <cellStyle name="40% - Accent2 4 4 3 4 4" xfId="21942"/>
    <cellStyle name="40% - Accent2 4 4 3 4 5" xfId="21943"/>
    <cellStyle name="40% - Accent2 4 4 3 5" xfId="21944"/>
    <cellStyle name="40% - Accent2 4 4 3 5 2" xfId="21945"/>
    <cellStyle name="40% - Accent2 4 4 3 5 3" xfId="21946"/>
    <cellStyle name="40% - Accent2 4 4 3 6" xfId="21947"/>
    <cellStyle name="40% - Accent2 4 4 3 6 2" xfId="21948"/>
    <cellStyle name="40% - Accent2 4 4 3 6 3" xfId="21949"/>
    <cellStyle name="40% - Accent2 4 4 3 7" xfId="21950"/>
    <cellStyle name="40% - Accent2 4 4 3 7 2" xfId="21951"/>
    <cellStyle name="40% - Accent2 4 4 3 8" xfId="21952"/>
    <cellStyle name="40% - Accent2 4 4 3 9" xfId="21953"/>
    <cellStyle name="40% - Accent2 4 4 4" xfId="21954"/>
    <cellStyle name="40% - Accent2 4 4 4 2" xfId="21955"/>
    <cellStyle name="40% - Accent2 4 4 4 2 2" xfId="21956"/>
    <cellStyle name="40% - Accent2 4 4 4 2 2 2" xfId="21957"/>
    <cellStyle name="40% - Accent2 4 4 4 2 2 3" xfId="21958"/>
    <cellStyle name="40% - Accent2 4 4 4 2 3" xfId="21959"/>
    <cellStyle name="40% - Accent2 4 4 4 2 3 2" xfId="21960"/>
    <cellStyle name="40% - Accent2 4 4 4 2 3 3" xfId="21961"/>
    <cellStyle name="40% - Accent2 4 4 4 2 4" xfId="21962"/>
    <cellStyle name="40% - Accent2 4 4 4 2 4 2" xfId="21963"/>
    <cellStyle name="40% - Accent2 4 4 4 2 5" xfId="21964"/>
    <cellStyle name="40% - Accent2 4 4 4 2 6" xfId="21965"/>
    <cellStyle name="40% - Accent2 4 4 4 3" xfId="21966"/>
    <cellStyle name="40% - Accent2 4 4 4 3 2" xfId="21967"/>
    <cellStyle name="40% - Accent2 4 4 4 3 2 2" xfId="21968"/>
    <cellStyle name="40% - Accent2 4 4 4 3 2 3" xfId="21969"/>
    <cellStyle name="40% - Accent2 4 4 4 3 3" xfId="21970"/>
    <cellStyle name="40% - Accent2 4 4 4 3 3 2" xfId="21971"/>
    <cellStyle name="40% - Accent2 4 4 4 3 3 3" xfId="21972"/>
    <cellStyle name="40% - Accent2 4 4 4 3 4" xfId="21973"/>
    <cellStyle name="40% - Accent2 4 4 4 3 4 2" xfId="21974"/>
    <cellStyle name="40% - Accent2 4 4 4 3 5" xfId="21975"/>
    <cellStyle name="40% - Accent2 4 4 4 3 6" xfId="21976"/>
    <cellStyle name="40% - Accent2 4 4 4 4" xfId="21977"/>
    <cellStyle name="40% - Accent2 4 4 4 4 2" xfId="21978"/>
    <cellStyle name="40% - Accent2 4 4 4 4 2 2" xfId="21979"/>
    <cellStyle name="40% - Accent2 4 4 4 4 2 3" xfId="21980"/>
    <cellStyle name="40% - Accent2 4 4 4 4 3" xfId="21981"/>
    <cellStyle name="40% - Accent2 4 4 4 4 3 2" xfId="21982"/>
    <cellStyle name="40% - Accent2 4 4 4 4 4" xfId="21983"/>
    <cellStyle name="40% - Accent2 4 4 4 4 5" xfId="21984"/>
    <cellStyle name="40% - Accent2 4 4 4 5" xfId="21985"/>
    <cellStyle name="40% - Accent2 4 4 4 5 2" xfId="21986"/>
    <cellStyle name="40% - Accent2 4 4 4 5 3" xfId="21987"/>
    <cellStyle name="40% - Accent2 4 4 4 6" xfId="21988"/>
    <cellStyle name="40% - Accent2 4 4 4 6 2" xfId="21989"/>
    <cellStyle name="40% - Accent2 4 4 4 6 3" xfId="21990"/>
    <cellStyle name="40% - Accent2 4 4 4 7" xfId="21991"/>
    <cellStyle name="40% - Accent2 4 4 4 7 2" xfId="21992"/>
    <cellStyle name="40% - Accent2 4 4 4 8" xfId="21993"/>
    <cellStyle name="40% - Accent2 4 4 4 9" xfId="21994"/>
    <cellStyle name="40% - Accent2 4 4 5" xfId="21995"/>
    <cellStyle name="40% - Accent2 4 4 5 2" xfId="21996"/>
    <cellStyle name="40% - Accent2 4 4 5 2 2" xfId="21997"/>
    <cellStyle name="40% - Accent2 4 4 5 2 3" xfId="21998"/>
    <cellStyle name="40% - Accent2 4 4 5 3" xfId="21999"/>
    <cellStyle name="40% - Accent2 4 4 5 3 2" xfId="22000"/>
    <cellStyle name="40% - Accent2 4 4 5 3 3" xfId="22001"/>
    <cellStyle name="40% - Accent2 4 4 5 4" xfId="22002"/>
    <cellStyle name="40% - Accent2 4 4 5 4 2" xfId="22003"/>
    <cellStyle name="40% - Accent2 4 4 5 5" xfId="22004"/>
    <cellStyle name="40% - Accent2 4 4 5 6" xfId="22005"/>
    <cellStyle name="40% - Accent2 4 4 6" xfId="22006"/>
    <cellStyle name="40% - Accent2 4 4 6 2" xfId="22007"/>
    <cellStyle name="40% - Accent2 4 4 6 2 2" xfId="22008"/>
    <cellStyle name="40% - Accent2 4 4 6 2 3" xfId="22009"/>
    <cellStyle name="40% - Accent2 4 4 6 3" xfId="22010"/>
    <cellStyle name="40% - Accent2 4 4 6 3 2" xfId="22011"/>
    <cellStyle name="40% - Accent2 4 4 6 3 3" xfId="22012"/>
    <cellStyle name="40% - Accent2 4 4 6 4" xfId="22013"/>
    <cellStyle name="40% - Accent2 4 4 6 4 2" xfId="22014"/>
    <cellStyle name="40% - Accent2 4 4 6 5" xfId="22015"/>
    <cellStyle name="40% - Accent2 4 4 6 6" xfId="22016"/>
    <cellStyle name="40% - Accent2 4 4 7" xfId="22017"/>
    <cellStyle name="40% - Accent2 4 4 7 2" xfId="22018"/>
    <cellStyle name="40% - Accent2 4 4 7 2 2" xfId="22019"/>
    <cellStyle name="40% - Accent2 4 4 7 2 3" xfId="22020"/>
    <cellStyle name="40% - Accent2 4 4 7 3" xfId="22021"/>
    <cellStyle name="40% - Accent2 4 4 7 3 2" xfId="22022"/>
    <cellStyle name="40% - Accent2 4 4 7 4" xfId="22023"/>
    <cellStyle name="40% - Accent2 4 4 7 5" xfId="22024"/>
    <cellStyle name="40% - Accent2 4 4 8" xfId="22025"/>
    <cellStyle name="40% - Accent2 4 4 8 2" xfId="22026"/>
    <cellStyle name="40% - Accent2 4 4 8 3" xfId="22027"/>
    <cellStyle name="40% - Accent2 4 4 9" xfId="22028"/>
    <cellStyle name="40% - Accent2 4 4 9 2" xfId="22029"/>
    <cellStyle name="40% - Accent2 4 4 9 3" xfId="22030"/>
    <cellStyle name="40% - Accent2 4 5" xfId="1808"/>
    <cellStyle name="40% - Accent2 4 5 10" xfId="22031"/>
    <cellStyle name="40% - Accent2 4 5 2" xfId="1809"/>
    <cellStyle name="40% - Accent2 4 5 2 2" xfId="22032"/>
    <cellStyle name="40% - Accent2 4 5 2 2 2" xfId="22033"/>
    <cellStyle name="40% - Accent2 4 5 2 2 2 2" xfId="22034"/>
    <cellStyle name="40% - Accent2 4 5 2 2 2 3" xfId="22035"/>
    <cellStyle name="40% - Accent2 4 5 2 2 3" xfId="22036"/>
    <cellStyle name="40% - Accent2 4 5 2 2 3 2" xfId="22037"/>
    <cellStyle name="40% - Accent2 4 5 2 2 3 3" xfId="22038"/>
    <cellStyle name="40% - Accent2 4 5 2 2 4" xfId="22039"/>
    <cellStyle name="40% - Accent2 4 5 2 2 4 2" xfId="22040"/>
    <cellStyle name="40% - Accent2 4 5 2 2 5" xfId="22041"/>
    <cellStyle name="40% - Accent2 4 5 2 2 6" xfId="22042"/>
    <cellStyle name="40% - Accent2 4 5 2 3" xfId="22043"/>
    <cellStyle name="40% - Accent2 4 5 2 3 2" xfId="22044"/>
    <cellStyle name="40% - Accent2 4 5 2 3 2 2" xfId="22045"/>
    <cellStyle name="40% - Accent2 4 5 2 3 2 3" xfId="22046"/>
    <cellStyle name="40% - Accent2 4 5 2 3 3" xfId="22047"/>
    <cellStyle name="40% - Accent2 4 5 2 3 3 2" xfId="22048"/>
    <cellStyle name="40% - Accent2 4 5 2 3 3 3" xfId="22049"/>
    <cellStyle name="40% - Accent2 4 5 2 3 4" xfId="22050"/>
    <cellStyle name="40% - Accent2 4 5 2 3 4 2" xfId="22051"/>
    <cellStyle name="40% - Accent2 4 5 2 3 5" xfId="22052"/>
    <cellStyle name="40% - Accent2 4 5 2 3 6" xfId="22053"/>
    <cellStyle name="40% - Accent2 4 5 2 4" xfId="22054"/>
    <cellStyle name="40% - Accent2 4 5 2 4 2" xfId="22055"/>
    <cellStyle name="40% - Accent2 4 5 2 4 2 2" xfId="22056"/>
    <cellStyle name="40% - Accent2 4 5 2 4 2 3" xfId="22057"/>
    <cellStyle name="40% - Accent2 4 5 2 4 3" xfId="22058"/>
    <cellStyle name="40% - Accent2 4 5 2 4 3 2" xfId="22059"/>
    <cellStyle name="40% - Accent2 4 5 2 4 4" xfId="22060"/>
    <cellStyle name="40% - Accent2 4 5 2 4 5" xfId="22061"/>
    <cellStyle name="40% - Accent2 4 5 2 5" xfId="22062"/>
    <cellStyle name="40% - Accent2 4 5 2 5 2" xfId="22063"/>
    <cellStyle name="40% - Accent2 4 5 2 5 3" xfId="22064"/>
    <cellStyle name="40% - Accent2 4 5 2 6" xfId="22065"/>
    <cellStyle name="40% - Accent2 4 5 2 6 2" xfId="22066"/>
    <cellStyle name="40% - Accent2 4 5 2 6 3" xfId="22067"/>
    <cellStyle name="40% - Accent2 4 5 2 7" xfId="22068"/>
    <cellStyle name="40% - Accent2 4 5 2 7 2" xfId="22069"/>
    <cellStyle name="40% - Accent2 4 5 2 8" xfId="22070"/>
    <cellStyle name="40% - Accent2 4 5 2 9" xfId="22071"/>
    <cellStyle name="40% - Accent2 4 5 3" xfId="22072"/>
    <cellStyle name="40% - Accent2 4 5 3 2" xfId="22073"/>
    <cellStyle name="40% - Accent2 4 5 3 2 2" xfId="22074"/>
    <cellStyle name="40% - Accent2 4 5 3 2 3" xfId="22075"/>
    <cellStyle name="40% - Accent2 4 5 3 3" xfId="22076"/>
    <cellStyle name="40% - Accent2 4 5 3 3 2" xfId="22077"/>
    <cellStyle name="40% - Accent2 4 5 3 3 3" xfId="22078"/>
    <cellStyle name="40% - Accent2 4 5 3 4" xfId="22079"/>
    <cellStyle name="40% - Accent2 4 5 3 4 2" xfId="22080"/>
    <cellStyle name="40% - Accent2 4 5 3 5" xfId="22081"/>
    <cellStyle name="40% - Accent2 4 5 3 6" xfId="22082"/>
    <cellStyle name="40% - Accent2 4 5 4" xfId="22083"/>
    <cellStyle name="40% - Accent2 4 5 4 2" xfId="22084"/>
    <cellStyle name="40% - Accent2 4 5 4 2 2" xfId="22085"/>
    <cellStyle name="40% - Accent2 4 5 4 2 3" xfId="22086"/>
    <cellStyle name="40% - Accent2 4 5 4 3" xfId="22087"/>
    <cellStyle name="40% - Accent2 4 5 4 3 2" xfId="22088"/>
    <cellStyle name="40% - Accent2 4 5 4 3 3" xfId="22089"/>
    <cellStyle name="40% - Accent2 4 5 4 4" xfId="22090"/>
    <cellStyle name="40% - Accent2 4 5 4 4 2" xfId="22091"/>
    <cellStyle name="40% - Accent2 4 5 4 5" xfId="22092"/>
    <cellStyle name="40% - Accent2 4 5 4 6" xfId="22093"/>
    <cellStyle name="40% - Accent2 4 5 5" xfId="22094"/>
    <cellStyle name="40% - Accent2 4 5 5 2" xfId="22095"/>
    <cellStyle name="40% - Accent2 4 5 5 2 2" xfId="22096"/>
    <cellStyle name="40% - Accent2 4 5 5 2 3" xfId="22097"/>
    <cellStyle name="40% - Accent2 4 5 5 3" xfId="22098"/>
    <cellStyle name="40% - Accent2 4 5 5 3 2" xfId="22099"/>
    <cellStyle name="40% - Accent2 4 5 5 4" xfId="22100"/>
    <cellStyle name="40% - Accent2 4 5 5 5" xfId="22101"/>
    <cellStyle name="40% - Accent2 4 5 6" xfId="22102"/>
    <cellStyle name="40% - Accent2 4 5 6 2" xfId="22103"/>
    <cellStyle name="40% - Accent2 4 5 6 3" xfId="22104"/>
    <cellStyle name="40% - Accent2 4 5 7" xfId="22105"/>
    <cellStyle name="40% - Accent2 4 5 7 2" xfId="22106"/>
    <cellStyle name="40% - Accent2 4 5 7 3" xfId="22107"/>
    <cellStyle name="40% - Accent2 4 5 8" xfId="22108"/>
    <cellStyle name="40% - Accent2 4 5 8 2" xfId="22109"/>
    <cellStyle name="40% - Accent2 4 5 9" xfId="22110"/>
    <cellStyle name="40% - Accent2 4 6" xfId="1810"/>
    <cellStyle name="40% - Accent2 4 6 2" xfId="22111"/>
    <cellStyle name="40% - Accent2 4 6 2 2" xfId="22112"/>
    <cellStyle name="40% - Accent2 4 6 2 2 2" xfId="22113"/>
    <cellStyle name="40% - Accent2 4 6 2 2 3" xfId="22114"/>
    <cellStyle name="40% - Accent2 4 6 2 3" xfId="22115"/>
    <cellStyle name="40% - Accent2 4 6 2 3 2" xfId="22116"/>
    <cellStyle name="40% - Accent2 4 6 2 3 3" xfId="22117"/>
    <cellStyle name="40% - Accent2 4 6 2 4" xfId="22118"/>
    <cellStyle name="40% - Accent2 4 6 2 4 2" xfId="22119"/>
    <cellStyle name="40% - Accent2 4 6 2 5" xfId="22120"/>
    <cellStyle name="40% - Accent2 4 6 2 6" xfId="22121"/>
    <cellStyle name="40% - Accent2 4 6 3" xfId="22122"/>
    <cellStyle name="40% - Accent2 4 6 3 2" xfId="22123"/>
    <cellStyle name="40% - Accent2 4 6 3 2 2" xfId="22124"/>
    <cellStyle name="40% - Accent2 4 6 3 2 3" xfId="22125"/>
    <cellStyle name="40% - Accent2 4 6 3 3" xfId="22126"/>
    <cellStyle name="40% - Accent2 4 6 3 3 2" xfId="22127"/>
    <cellStyle name="40% - Accent2 4 6 3 3 3" xfId="22128"/>
    <cellStyle name="40% - Accent2 4 6 3 4" xfId="22129"/>
    <cellStyle name="40% - Accent2 4 6 3 4 2" xfId="22130"/>
    <cellStyle name="40% - Accent2 4 6 3 5" xfId="22131"/>
    <cellStyle name="40% - Accent2 4 6 3 6" xfId="22132"/>
    <cellStyle name="40% - Accent2 4 6 4" xfId="22133"/>
    <cellStyle name="40% - Accent2 4 6 4 2" xfId="22134"/>
    <cellStyle name="40% - Accent2 4 6 4 2 2" xfId="22135"/>
    <cellStyle name="40% - Accent2 4 6 4 2 3" xfId="22136"/>
    <cellStyle name="40% - Accent2 4 6 4 3" xfId="22137"/>
    <cellStyle name="40% - Accent2 4 6 4 3 2" xfId="22138"/>
    <cellStyle name="40% - Accent2 4 6 4 4" xfId="22139"/>
    <cellStyle name="40% - Accent2 4 6 4 5" xfId="22140"/>
    <cellStyle name="40% - Accent2 4 6 5" xfId="22141"/>
    <cellStyle name="40% - Accent2 4 6 5 2" xfId="22142"/>
    <cellStyle name="40% - Accent2 4 6 5 3" xfId="22143"/>
    <cellStyle name="40% - Accent2 4 6 6" xfId="22144"/>
    <cellStyle name="40% - Accent2 4 6 6 2" xfId="22145"/>
    <cellStyle name="40% - Accent2 4 6 6 3" xfId="22146"/>
    <cellStyle name="40% - Accent2 4 6 7" xfId="22147"/>
    <cellStyle name="40% - Accent2 4 6 7 2" xfId="22148"/>
    <cellStyle name="40% - Accent2 4 6 8" xfId="22149"/>
    <cellStyle name="40% - Accent2 4 6 9" xfId="22150"/>
    <cellStyle name="40% - Accent2 4 7" xfId="9000"/>
    <cellStyle name="40% - Accent2 4 7 2" xfId="22151"/>
    <cellStyle name="40% - Accent2 4 7 2 2" xfId="22152"/>
    <cellStyle name="40% - Accent2 4 7 2 2 2" xfId="22153"/>
    <cellStyle name="40% - Accent2 4 7 2 2 3" xfId="22154"/>
    <cellStyle name="40% - Accent2 4 7 2 3" xfId="22155"/>
    <cellStyle name="40% - Accent2 4 7 2 3 2" xfId="22156"/>
    <cellStyle name="40% - Accent2 4 7 2 3 3" xfId="22157"/>
    <cellStyle name="40% - Accent2 4 7 2 4" xfId="22158"/>
    <cellStyle name="40% - Accent2 4 7 2 4 2" xfId="22159"/>
    <cellStyle name="40% - Accent2 4 7 2 5" xfId="22160"/>
    <cellStyle name="40% - Accent2 4 7 2 6" xfId="22161"/>
    <cellStyle name="40% - Accent2 4 7 3" xfId="22162"/>
    <cellStyle name="40% - Accent2 4 7 3 2" xfId="22163"/>
    <cellStyle name="40% - Accent2 4 7 3 2 2" xfId="22164"/>
    <cellStyle name="40% - Accent2 4 7 3 2 3" xfId="22165"/>
    <cellStyle name="40% - Accent2 4 7 3 3" xfId="22166"/>
    <cellStyle name="40% - Accent2 4 7 3 3 2" xfId="22167"/>
    <cellStyle name="40% - Accent2 4 7 3 3 3" xfId="22168"/>
    <cellStyle name="40% - Accent2 4 7 3 4" xfId="22169"/>
    <cellStyle name="40% - Accent2 4 7 3 4 2" xfId="22170"/>
    <cellStyle name="40% - Accent2 4 7 3 5" xfId="22171"/>
    <cellStyle name="40% - Accent2 4 7 3 6" xfId="22172"/>
    <cellStyle name="40% - Accent2 4 7 4" xfId="22173"/>
    <cellStyle name="40% - Accent2 4 7 4 2" xfId="22174"/>
    <cellStyle name="40% - Accent2 4 7 4 2 2" xfId="22175"/>
    <cellStyle name="40% - Accent2 4 7 4 2 3" xfId="22176"/>
    <cellStyle name="40% - Accent2 4 7 4 3" xfId="22177"/>
    <cellStyle name="40% - Accent2 4 7 4 3 2" xfId="22178"/>
    <cellStyle name="40% - Accent2 4 7 4 4" xfId="22179"/>
    <cellStyle name="40% - Accent2 4 7 4 5" xfId="22180"/>
    <cellStyle name="40% - Accent2 4 7 5" xfId="22181"/>
    <cellStyle name="40% - Accent2 4 7 5 2" xfId="22182"/>
    <cellStyle name="40% - Accent2 4 7 5 3" xfId="22183"/>
    <cellStyle name="40% - Accent2 4 7 6" xfId="22184"/>
    <cellStyle name="40% - Accent2 4 7 6 2" xfId="22185"/>
    <cellStyle name="40% - Accent2 4 7 6 3" xfId="22186"/>
    <cellStyle name="40% - Accent2 4 7 7" xfId="22187"/>
    <cellStyle name="40% - Accent2 4 7 7 2" xfId="22188"/>
    <cellStyle name="40% - Accent2 4 7 8" xfId="22189"/>
    <cellStyle name="40% - Accent2 4 7 9" xfId="22190"/>
    <cellStyle name="40% - Accent2 4 8" xfId="22191"/>
    <cellStyle name="40% - Accent2 4 8 2" xfId="22192"/>
    <cellStyle name="40% - Accent2 4 8 2 2" xfId="22193"/>
    <cellStyle name="40% - Accent2 4 8 2 3" xfId="22194"/>
    <cellStyle name="40% - Accent2 4 8 3" xfId="22195"/>
    <cellStyle name="40% - Accent2 4 8 3 2" xfId="22196"/>
    <cellStyle name="40% - Accent2 4 8 3 3" xfId="22197"/>
    <cellStyle name="40% - Accent2 4 8 4" xfId="22198"/>
    <cellStyle name="40% - Accent2 4 8 4 2" xfId="22199"/>
    <cellStyle name="40% - Accent2 4 8 5" xfId="22200"/>
    <cellStyle name="40% - Accent2 4 8 6" xfId="22201"/>
    <cellStyle name="40% - Accent2 4 9" xfId="22202"/>
    <cellStyle name="40% - Accent2 4 9 2" xfId="22203"/>
    <cellStyle name="40% - Accent2 4 9 2 2" xfId="22204"/>
    <cellStyle name="40% - Accent2 4 9 2 3" xfId="22205"/>
    <cellStyle name="40% - Accent2 4 9 3" xfId="22206"/>
    <cellStyle name="40% - Accent2 4 9 3 2" xfId="22207"/>
    <cellStyle name="40% - Accent2 4 9 3 3" xfId="22208"/>
    <cellStyle name="40% - Accent2 4 9 4" xfId="22209"/>
    <cellStyle name="40% - Accent2 4 9 4 2" xfId="22210"/>
    <cellStyle name="40% - Accent2 4 9 5" xfId="22211"/>
    <cellStyle name="40% - Accent2 4 9 6" xfId="22212"/>
    <cellStyle name="40% - Accent2 5" xfId="1811"/>
    <cellStyle name="40% - Accent2 5 2" xfId="1812"/>
    <cellStyle name="40% - Accent2 5 2 2" xfId="1813"/>
    <cellStyle name="40% - Accent2 5 2 2 2" xfId="1814"/>
    <cellStyle name="40% - Accent2 5 2 2 2 2" xfId="1815"/>
    <cellStyle name="40% - Accent2 5 2 2 3" xfId="1816"/>
    <cellStyle name="40% - Accent2 5 2 3" xfId="1817"/>
    <cellStyle name="40% - Accent2 5 2 3 2" xfId="1818"/>
    <cellStyle name="40% - Accent2 5 2 4" xfId="1819"/>
    <cellStyle name="40% - Accent2 5 2 5" xfId="58203"/>
    <cellStyle name="40% - Accent2 5 3" xfId="1820"/>
    <cellStyle name="40% - Accent2 5 3 2" xfId="1821"/>
    <cellStyle name="40% - Accent2 5 3 2 2" xfId="1822"/>
    <cellStyle name="40% - Accent2 5 3 3" xfId="1823"/>
    <cellStyle name="40% - Accent2 5 4" xfId="1824"/>
    <cellStyle name="40% - Accent2 5 4 2" xfId="1825"/>
    <cellStyle name="40% - Accent2 5 5" xfId="1826"/>
    <cellStyle name="40% - Accent2 5 6" xfId="9001"/>
    <cellStyle name="40% - Accent2 6" xfId="1827"/>
    <cellStyle name="40% - Accent2 6 2" xfId="1828"/>
    <cellStyle name="40% - Accent2 6 2 2" xfId="1829"/>
    <cellStyle name="40% - Accent2 6 2 2 2" xfId="1830"/>
    <cellStyle name="40% - Accent2 6 2 3" xfId="1831"/>
    <cellStyle name="40% - Accent2 6 2 4" xfId="58204"/>
    <cellStyle name="40% - Accent2 6 2 5" xfId="58205"/>
    <cellStyle name="40% - Accent2 6 3" xfId="1832"/>
    <cellStyle name="40% - Accent2 6 3 2" xfId="1833"/>
    <cellStyle name="40% - Accent2 6 4" xfId="1834"/>
    <cellStyle name="40% - Accent2 6 5" xfId="58206"/>
    <cellStyle name="40% - Accent2 7" xfId="1835"/>
    <cellStyle name="40% - Accent2 7 2" xfId="1836"/>
    <cellStyle name="40% - Accent2 7 2 2" xfId="1837"/>
    <cellStyle name="40% - Accent2 7 2 2 2" xfId="1838"/>
    <cellStyle name="40% - Accent2 7 2 3" xfId="1839"/>
    <cellStyle name="40% - Accent2 7 3" xfId="1840"/>
    <cellStyle name="40% - Accent2 7 3 2" xfId="1841"/>
    <cellStyle name="40% - Accent2 7 4" xfId="1842"/>
    <cellStyle name="40% - Accent2 7 5" xfId="58207"/>
    <cellStyle name="40% - Accent2 8" xfId="1843"/>
    <cellStyle name="40% - Accent2 8 2" xfId="1844"/>
    <cellStyle name="40% - Accent2 8 2 2" xfId="1845"/>
    <cellStyle name="40% - Accent2 8 2 2 2" xfId="1846"/>
    <cellStyle name="40% - Accent2 8 2 3" xfId="1847"/>
    <cellStyle name="40% - Accent2 8 3" xfId="1848"/>
    <cellStyle name="40% - Accent2 8 3 2" xfId="1849"/>
    <cellStyle name="40% - Accent2 8 4" xfId="1850"/>
    <cellStyle name="40% - Accent2 8 5" xfId="58208"/>
    <cellStyle name="40% - Accent2 9" xfId="1851"/>
    <cellStyle name="40% - Accent2 9 2" xfId="1852"/>
    <cellStyle name="40% - Accent2 9 2 2" xfId="1853"/>
    <cellStyle name="40% - Accent2 9 3" xfId="1854"/>
    <cellStyle name="40% - Accent2 9 4" xfId="58209"/>
    <cellStyle name="40% - Accent3 10" xfId="1855"/>
    <cellStyle name="40% - Accent3 10 2" xfId="1856"/>
    <cellStyle name="40% - Accent3 10 2 2" xfId="1857"/>
    <cellStyle name="40% - Accent3 10 3" xfId="1858"/>
    <cellStyle name="40% - Accent3 10 4" xfId="58210"/>
    <cellStyle name="40% - Accent3 11" xfId="1859"/>
    <cellStyle name="40% - Accent3 11 2" xfId="1860"/>
    <cellStyle name="40% - Accent3 11 2 2" xfId="1861"/>
    <cellStyle name="40% - Accent3 11 3" xfId="1862"/>
    <cellStyle name="40% - Accent3 11 4" xfId="58211"/>
    <cellStyle name="40% - Accent3 12" xfId="1863"/>
    <cellStyle name="40% - Accent3 12 2" xfId="1864"/>
    <cellStyle name="40% - Accent3 12 3" xfId="58212"/>
    <cellStyle name="40% - Accent3 13" xfId="1865"/>
    <cellStyle name="40% - Accent3 13 2" xfId="58213"/>
    <cellStyle name="40% - Accent3 14" xfId="9002"/>
    <cellStyle name="40% - Accent3 15" xfId="22213"/>
    <cellStyle name="40% - Accent3 16" xfId="22214"/>
    <cellStyle name="40% - Accent3 17" xfId="22215"/>
    <cellStyle name="40% - Accent3 17 2" xfId="58214"/>
    <cellStyle name="40% - Accent3 18" xfId="58215"/>
    <cellStyle name="40% - Accent3 19" xfId="58216"/>
    <cellStyle name="40% - Accent3 2" xfId="1866"/>
    <cellStyle name="40% - Accent3 2 2" xfId="1867"/>
    <cellStyle name="40% - Accent3 2 2 2" xfId="1868"/>
    <cellStyle name="40% - Accent3 2 2 2 2" xfId="1869"/>
    <cellStyle name="40% - Accent3 2 2 2 2 2" xfId="1870"/>
    <cellStyle name="40% - Accent3 2 2 2 2 2 2" xfId="1871"/>
    <cellStyle name="40% - Accent3 2 2 2 2 2 2 2" xfId="1872"/>
    <cellStyle name="40% - Accent3 2 2 2 2 2 3" xfId="1873"/>
    <cellStyle name="40% - Accent3 2 2 2 2 3" xfId="1874"/>
    <cellStyle name="40% - Accent3 2 2 2 2 3 2" xfId="1875"/>
    <cellStyle name="40% - Accent3 2 2 2 2 4" xfId="1876"/>
    <cellStyle name="40% - Accent3 2 2 2 2 5" xfId="58217"/>
    <cellStyle name="40% - Accent3 2 2 2 3" xfId="1877"/>
    <cellStyle name="40% - Accent3 2 2 2 3 2" xfId="1878"/>
    <cellStyle name="40% - Accent3 2 2 2 3 2 2" xfId="1879"/>
    <cellStyle name="40% - Accent3 2 2 2 3 3" xfId="1880"/>
    <cellStyle name="40% - Accent3 2 2 2 4" xfId="1881"/>
    <cellStyle name="40% - Accent3 2 2 2 4 2" xfId="1882"/>
    <cellStyle name="40% - Accent3 2 2 2 5" xfId="1883"/>
    <cellStyle name="40% - Accent3 2 2 2 6" xfId="58218"/>
    <cellStyle name="40% - Accent3 2 2 3" xfId="1884"/>
    <cellStyle name="40% - Accent3 2 2 3 2" xfId="1885"/>
    <cellStyle name="40% - Accent3 2 2 3 2 2" xfId="1886"/>
    <cellStyle name="40% - Accent3 2 2 3 2 2 2" xfId="1887"/>
    <cellStyle name="40% - Accent3 2 2 3 2 3" xfId="1888"/>
    <cellStyle name="40% - Accent3 2 2 3 3" xfId="1889"/>
    <cellStyle name="40% - Accent3 2 2 3 3 2" xfId="1890"/>
    <cellStyle name="40% - Accent3 2 2 3 4" xfId="1891"/>
    <cellStyle name="40% - Accent3 2 2 3 5" xfId="58219"/>
    <cellStyle name="40% - Accent3 2 2 4" xfId="1892"/>
    <cellStyle name="40% - Accent3 2 2 4 2" xfId="1893"/>
    <cellStyle name="40% - Accent3 2 2 4 2 2" xfId="1894"/>
    <cellStyle name="40% - Accent3 2 2 4 3" xfId="1895"/>
    <cellStyle name="40% - Accent3 2 2 5" xfId="1896"/>
    <cellStyle name="40% - Accent3 2 2 5 2" xfId="1897"/>
    <cellStyle name="40% - Accent3 2 2 6" xfId="1898"/>
    <cellStyle name="40% - Accent3 2 2 7" xfId="58220"/>
    <cellStyle name="40% - Accent3 2 3" xfId="1899"/>
    <cellStyle name="40% - Accent3 2 3 2" xfId="1900"/>
    <cellStyle name="40% - Accent3 2 3 2 2" xfId="1901"/>
    <cellStyle name="40% - Accent3 2 3 2 2 2" xfId="1902"/>
    <cellStyle name="40% - Accent3 2 3 2 2 2 2" xfId="1903"/>
    <cellStyle name="40% - Accent3 2 3 2 2 3" xfId="1904"/>
    <cellStyle name="40% - Accent3 2 3 2 3" xfId="1905"/>
    <cellStyle name="40% - Accent3 2 3 2 3 2" xfId="1906"/>
    <cellStyle name="40% - Accent3 2 3 2 4" xfId="1907"/>
    <cellStyle name="40% - Accent3 2 3 3" xfId="1908"/>
    <cellStyle name="40% - Accent3 2 3 3 2" xfId="1909"/>
    <cellStyle name="40% - Accent3 2 3 3 2 2" xfId="1910"/>
    <cellStyle name="40% - Accent3 2 3 3 3" xfId="1911"/>
    <cellStyle name="40% - Accent3 2 3 4" xfId="1912"/>
    <cellStyle name="40% - Accent3 2 3 4 2" xfId="1913"/>
    <cellStyle name="40% - Accent3 2 3 5" xfId="1914"/>
    <cellStyle name="40% - Accent3 2 3 6" xfId="58221"/>
    <cellStyle name="40% - Accent3 2 4" xfId="1915"/>
    <cellStyle name="40% - Accent3 2 4 2" xfId="1916"/>
    <cellStyle name="40% - Accent3 2 4 2 2" xfId="1917"/>
    <cellStyle name="40% - Accent3 2 4 2 2 2" xfId="1918"/>
    <cellStyle name="40% - Accent3 2 4 2 3" xfId="1919"/>
    <cellStyle name="40% - Accent3 2 4 3" xfId="1920"/>
    <cellStyle name="40% - Accent3 2 4 3 2" xfId="1921"/>
    <cellStyle name="40% - Accent3 2 4 4" xfId="1922"/>
    <cellStyle name="40% - Accent3 2 4 5" xfId="58222"/>
    <cellStyle name="40% - Accent3 2 5" xfId="1923"/>
    <cellStyle name="40% - Accent3 2 5 2" xfId="1924"/>
    <cellStyle name="40% - Accent3 2 5 2 2" xfId="1925"/>
    <cellStyle name="40% - Accent3 2 5 3" xfId="1926"/>
    <cellStyle name="40% - Accent3 2 5 4" xfId="58223"/>
    <cellStyle name="40% - Accent3 2 6" xfId="1927"/>
    <cellStyle name="40% - Accent3 2 6 2" xfId="1928"/>
    <cellStyle name="40% - Accent3 2 6 3" xfId="58224"/>
    <cellStyle name="40% - Accent3 2 7" xfId="1929"/>
    <cellStyle name="40% - Accent3 2 8" xfId="1930"/>
    <cellStyle name="40% - Accent3 2 9" xfId="58225"/>
    <cellStyle name="40% - Accent3 20" xfId="58226"/>
    <cellStyle name="40% - Accent3 21" xfId="58227"/>
    <cellStyle name="40% - Accent3 3" xfId="1931"/>
    <cellStyle name="40% - Accent3 3 2" xfId="1932"/>
    <cellStyle name="40% - Accent3 3 2 2" xfId="1933"/>
    <cellStyle name="40% - Accent3 3 2 2 2" xfId="1934"/>
    <cellStyle name="40% - Accent3 3 2 2 2 2" xfId="1935"/>
    <cellStyle name="40% - Accent3 3 2 2 2 2 2" xfId="1936"/>
    <cellStyle name="40% - Accent3 3 2 2 2 2 2 2" xfId="1937"/>
    <cellStyle name="40% - Accent3 3 2 2 2 2 3" xfId="1938"/>
    <cellStyle name="40% - Accent3 3 2 2 2 3" xfId="1939"/>
    <cellStyle name="40% - Accent3 3 2 2 2 3 2" xfId="1940"/>
    <cellStyle name="40% - Accent3 3 2 2 2 4" xfId="1941"/>
    <cellStyle name="40% - Accent3 3 2 2 2 5" xfId="9003"/>
    <cellStyle name="40% - Accent3 3 2 2 3" xfId="1942"/>
    <cellStyle name="40% - Accent3 3 2 2 3 2" xfId="1943"/>
    <cellStyle name="40% - Accent3 3 2 2 3 2 2" xfId="1944"/>
    <cellStyle name="40% - Accent3 3 2 2 3 3" xfId="1945"/>
    <cellStyle name="40% - Accent3 3 2 2 4" xfId="1946"/>
    <cellStyle name="40% - Accent3 3 2 2 4 2" xfId="1947"/>
    <cellStyle name="40% - Accent3 3 2 2 5" xfId="1948"/>
    <cellStyle name="40% - Accent3 3 2 2 6" xfId="9004"/>
    <cellStyle name="40% - Accent3 3 2 3" xfId="1949"/>
    <cellStyle name="40% - Accent3 3 2 3 2" xfId="1950"/>
    <cellStyle name="40% - Accent3 3 2 3 2 2" xfId="1951"/>
    <cellStyle name="40% - Accent3 3 2 3 2 2 2" xfId="1952"/>
    <cellStyle name="40% - Accent3 3 2 3 2 3" xfId="1953"/>
    <cellStyle name="40% - Accent3 3 2 3 3" xfId="1954"/>
    <cellStyle name="40% - Accent3 3 2 3 3 2" xfId="1955"/>
    <cellStyle name="40% - Accent3 3 2 3 4" xfId="1956"/>
    <cellStyle name="40% - Accent3 3 2 3 5" xfId="9005"/>
    <cellStyle name="40% - Accent3 3 2 4" xfId="1957"/>
    <cellStyle name="40% - Accent3 3 2 4 2" xfId="1958"/>
    <cellStyle name="40% - Accent3 3 2 4 2 2" xfId="1959"/>
    <cellStyle name="40% - Accent3 3 2 4 3" xfId="1960"/>
    <cellStyle name="40% - Accent3 3 2 5" xfId="1961"/>
    <cellStyle name="40% - Accent3 3 2 5 2" xfId="1962"/>
    <cellStyle name="40% - Accent3 3 2 6" xfId="1963"/>
    <cellStyle name="40% - Accent3 3 2 7" xfId="9006"/>
    <cellStyle name="40% - Accent3 3 3" xfId="1964"/>
    <cellStyle name="40% - Accent3 3 3 2" xfId="1965"/>
    <cellStyle name="40% - Accent3 3 3 2 2" xfId="1966"/>
    <cellStyle name="40% - Accent3 3 3 2 2 2" xfId="1967"/>
    <cellStyle name="40% - Accent3 3 3 2 2 2 2" xfId="1968"/>
    <cellStyle name="40% - Accent3 3 3 2 2 3" xfId="1969"/>
    <cellStyle name="40% - Accent3 3 3 2 3" xfId="1970"/>
    <cellStyle name="40% - Accent3 3 3 2 3 2" xfId="1971"/>
    <cellStyle name="40% - Accent3 3 3 2 4" xfId="1972"/>
    <cellStyle name="40% - Accent3 3 3 2 5" xfId="9007"/>
    <cellStyle name="40% - Accent3 3 3 3" xfId="1973"/>
    <cellStyle name="40% - Accent3 3 3 3 2" xfId="1974"/>
    <cellStyle name="40% - Accent3 3 3 3 2 2" xfId="1975"/>
    <cellStyle name="40% - Accent3 3 3 3 3" xfId="1976"/>
    <cellStyle name="40% - Accent3 3 3 4" xfId="1977"/>
    <cellStyle name="40% - Accent3 3 3 4 2" xfId="1978"/>
    <cellStyle name="40% - Accent3 3 3 5" xfId="1979"/>
    <cellStyle name="40% - Accent3 3 3 6" xfId="9008"/>
    <cellStyle name="40% - Accent3 3 4" xfId="1980"/>
    <cellStyle name="40% - Accent3 3 4 2" xfId="1981"/>
    <cellStyle name="40% - Accent3 3 4 2 2" xfId="1982"/>
    <cellStyle name="40% - Accent3 3 4 2 2 2" xfId="1983"/>
    <cellStyle name="40% - Accent3 3 4 2 3" xfId="1984"/>
    <cellStyle name="40% - Accent3 3 4 3" xfId="1985"/>
    <cellStyle name="40% - Accent3 3 4 3 2" xfId="1986"/>
    <cellStyle name="40% - Accent3 3 4 4" xfId="1987"/>
    <cellStyle name="40% - Accent3 3 4 5" xfId="9009"/>
    <cellStyle name="40% - Accent3 3 5" xfId="1988"/>
    <cellStyle name="40% - Accent3 3 5 2" xfId="1989"/>
    <cellStyle name="40% - Accent3 3 5 2 2" xfId="1990"/>
    <cellStyle name="40% - Accent3 3 5 3" xfId="1991"/>
    <cellStyle name="40% - Accent3 3 6" xfId="1992"/>
    <cellStyle name="40% - Accent3 3 6 2" xfId="1993"/>
    <cellStyle name="40% - Accent3 3 7" xfId="1994"/>
    <cellStyle name="40% - Accent3 3 8" xfId="1995"/>
    <cellStyle name="40% - Accent3 3 9" xfId="9010"/>
    <cellStyle name="40% - Accent3 4" xfId="1996"/>
    <cellStyle name="40% - Accent3 4 10" xfId="22216"/>
    <cellStyle name="40% - Accent3 4 10 2" xfId="22217"/>
    <cellStyle name="40% - Accent3 4 10 2 2" xfId="22218"/>
    <cellStyle name="40% - Accent3 4 10 2 3" xfId="22219"/>
    <cellStyle name="40% - Accent3 4 10 3" xfId="22220"/>
    <cellStyle name="40% - Accent3 4 10 3 2" xfId="22221"/>
    <cellStyle name="40% - Accent3 4 10 4" xfId="22222"/>
    <cellStyle name="40% - Accent3 4 10 5" xfId="22223"/>
    <cellStyle name="40% - Accent3 4 11" xfId="22224"/>
    <cellStyle name="40% - Accent3 4 11 2" xfId="22225"/>
    <cellStyle name="40% - Accent3 4 11 3" xfId="22226"/>
    <cellStyle name="40% - Accent3 4 12" xfId="22227"/>
    <cellStyle name="40% - Accent3 4 12 2" xfId="22228"/>
    <cellStyle name="40% - Accent3 4 12 3" xfId="22229"/>
    <cellStyle name="40% - Accent3 4 13" xfId="22230"/>
    <cellStyle name="40% - Accent3 4 13 2" xfId="22231"/>
    <cellStyle name="40% - Accent3 4 14" xfId="22232"/>
    <cellStyle name="40% - Accent3 4 15" xfId="22233"/>
    <cellStyle name="40% - Accent3 4 16" xfId="22234"/>
    <cellStyle name="40% - Accent3 4 2" xfId="1997"/>
    <cellStyle name="40% - Accent3 4 2 10" xfId="22235"/>
    <cellStyle name="40% - Accent3 4 2 10 2" xfId="22236"/>
    <cellStyle name="40% - Accent3 4 2 10 3" xfId="22237"/>
    <cellStyle name="40% - Accent3 4 2 11" xfId="22238"/>
    <cellStyle name="40% - Accent3 4 2 11 2" xfId="22239"/>
    <cellStyle name="40% - Accent3 4 2 11 3" xfId="22240"/>
    <cellStyle name="40% - Accent3 4 2 12" xfId="22241"/>
    <cellStyle name="40% - Accent3 4 2 12 2" xfId="22242"/>
    <cellStyle name="40% - Accent3 4 2 13" xfId="22243"/>
    <cellStyle name="40% - Accent3 4 2 14" xfId="22244"/>
    <cellStyle name="40% - Accent3 4 2 15" xfId="22245"/>
    <cellStyle name="40% - Accent3 4 2 2" xfId="1998"/>
    <cellStyle name="40% - Accent3 4 2 2 10" xfId="22246"/>
    <cellStyle name="40% - Accent3 4 2 2 10 2" xfId="22247"/>
    <cellStyle name="40% - Accent3 4 2 2 10 3" xfId="22248"/>
    <cellStyle name="40% - Accent3 4 2 2 11" xfId="22249"/>
    <cellStyle name="40% - Accent3 4 2 2 11 2" xfId="22250"/>
    <cellStyle name="40% - Accent3 4 2 2 12" xfId="22251"/>
    <cellStyle name="40% - Accent3 4 2 2 13" xfId="22252"/>
    <cellStyle name="40% - Accent3 4 2 2 2" xfId="1999"/>
    <cellStyle name="40% - Accent3 4 2 2 2 10" xfId="22253"/>
    <cellStyle name="40% - Accent3 4 2 2 2 10 2" xfId="22254"/>
    <cellStyle name="40% - Accent3 4 2 2 2 11" xfId="22255"/>
    <cellStyle name="40% - Accent3 4 2 2 2 12" xfId="22256"/>
    <cellStyle name="40% - Accent3 4 2 2 2 2" xfId="2000"/>
    <cellStyle name="40% - Accent3 4 2 2 2 2 10" xfId="22257"/>
    <cellStyle name="40% - Accent3 4 2 2 2 2 2" xfId="2001"/>
    <cellStyle name="40% - Accent3 4 2 2 2 2 2 2" xfId="22258"/>
    <cellStyle name="40% - Accent3 4 2 2 2 2 2 2 2" xfId="22259"/>
    <cellStyle name="40% - Accent3 4 2 2 2 2 2 2 2 2" xfId="22260"/>
    <cellStyle name="40% - Accent3 4 2 2 2 2 2 2 2 3" xfId="22261"/>
    <cellStyle name="40% - Accent3 4 2 2 2 2 2 2 3" xfId="22262"/>
    <cellStyle name="40% - Accent3 4 2 2 2 2 2 2 3 2" xfId="22263"/>
    <cellStyle name="40% - Accent3 4 2 2 2 2 2 2 3 3" xfId="22264"/>
    <cellStyle name="40% - Accent3 4 2 2 2 2 2 2 4" xfId="22265"/>
    <cellStyle name="40% - Accent3 4 2 2 2 2 2 2 4 2" xfId="22266"/>
    <cellStyle name="40% - Accent3 4 2 2 2 2 2 2 5" xfId="22267"/>
    <cellStyle name="40% - Accent3 4 2 2 2 2 2 2 6" xfId="22268"/>
    <cellStyle name="40% - Accent3 4 2 2 2 2 2 3" xfId="22269"/>
    <cellStyle name="40% - Accent3 4 2 2 2 2 2 3 2" xfId="22270"/>
    <cellStyle name="40% - Accent3 4 2 2 2 2 2 3 2 2" xfId="22271"/>
    <cellStyle name="40% - Accent3 4 2 2 2 2 2 3 2 3" xfId="22272"/>
    <cellStyle name="40% - Accent3 4 2 2 2 2 2 3 3" xfId="22273"/>
    <cellStyle name="40% - Accent3 4 2 2 2 2 2 3 3 2" xfId="22274"/>
    <cellStyle name="40% - Accent3 4 2 2 2 2 2 3 3 3" xfId="22275"/>
    <cellStyle name="40% - Accent3 4 2 2 2 2 2 3 4" xfId="22276"/>
    <cellStyle name="40% - Accent3 4 2 2 2 2 2 3 4 2" xfId="22277"/>
    <cellStyle name="40% - Accent3 4 2 2 2 2 2 3 5" xfId="22278"/>
    <cellStyle name="40% - Accent3 4 2 2 2 2 2 3 6" xfId="22279"/>
    <cellStyle name="40% - Accent3 4 2 2 2 2 2 4" xfId="22280"/>
    <cellStyle name="40% - Accent3 4 2 2 2 2 2 4 2" xfId="22281"/>
    <cellStyle name="40% - Accent3 4 2 2 2 2 2 4 2 2" xfId="22282"/>
    <cellStyle name="40% - Accent3 4 2 2 2 2 2 4 2 3" xfId="22283"/>
    <cellStyle name="40% - Accent3 4 2 2 2 2 2 4 3" xfId="22284"/>
    <cellStyle name="40% - Accent3 4 2 2 2 2 2 4 3 2" xfId="22285"/>
    <cellStyle name="40% - Accent3 4 2 2 2 2 2 4 4" xfId="22286"/>
    <cellStyle name="40% - Accent3 4 2 2 2 2 2 4 5" xfId="22287"/>
    <cellStyle name="40% - Accent3 4 2 2 2 2 2 5" xfId="22288"/>
    <cellStyle name="40% - Accent3 4 2 2 2 2 2 5 2" xfId="22289"/>
    <cellStyle name="40% - Accent3 4 2 2 2 2 2 5 3" xfId="22290"/>
    <cellStyle name="40% - Accent3 4 2 2 2 2 2 6" xfId="22291"/>
    <cellStyle name="40% - Accent3 4 2 2 2 2 2 6 2" xfId="22292"/>
    <cellStyle name="40% - Accent3 4 2 2 2 2 2 6 3" xfId="22293"/>
    <cellStyle name="40% - Accent3 4 2 2 2 2 2 7" xfId="22294"/>
    <cellStyle name="40% - Accent3 4 2 2 2 2 2 7 2" xfId="22295"/>
    <cellStyle name="40% - Accent3 4 2 2 2 2 2 8" xfId="22296"/>
    <cellStyle name="40% - Accent3 4 2 2 2 2 2 9" xfId="22297"/>
    <cellStyle name="40% - Accent3 4 2 2 2 2 3" xfId="22298"/>
    <cellStyle name="40% - Accent3 4 2 2 2 2 3 2" xfId="22299"/>
    <cellStyle name="40% - Accent3 4 2 2 2 2 3 2 2" xfId="22300"/>
    <cellStyle name="40% - Accent3 4 2 2 2 2 3 2 3" xfId="22301"/>
    <cellStyle name="40% - Accent3 4 2 2 2 2 3 3" xfId="22302"/>
    <cellStyle name="40% - Accent3 4 2 2 2 2 3 3 2" xfId="22303"/>
    <cellStyle name="40% - Accent3 4 2 2 2 2 3 3 3" xfId="22304"/>
    <cellStyle name="40% - Accent3 4 2 2 2 2 3 4" xfId="22305"/>
    <cellStyle name="40% - Accent3 4 2 2 2 2 3 4 2" xfId="22306"/>
    <cellStyle name="40% - Accent3 4 2 2 2 2 3 5" xfId="22307"/>
    <cellStyle name="40% - Accent3 4 2 2 2 2 3 6" xfId="22308"/>
    <cellStyle name="40% - Accent3 4 2 2 2 2 4" xfId="22309"/>
    <cellStyle name="40% - Accent3 4 2 2 2 2 4 2" xfId="22310"/>
    <cellStyle name="40% - Accent3 4 2 2 2 2 4 2 2" xfId="22311"/>
    <cellStyle name="40% - Accent3 4 2 2 2 2 4 2 3" xfId="22312"/>
    <cellStyle name="40% - Accent3 4 2 2 2 2 4 3" xfId="22313"/>
    <cellStyle name="40% - Accent3 4 2 2 2 2 4 3 2" xfId="22314"/>
    <cellStyle name="40% - Accent3 4 2 2 2 2 4 3 3" xfId="22315"/>
    <cellStyle name="40% - Accent3 4 2 2 2 2 4 4" xfId="22316"/>
    <cellStyle name="40% - Accent3 4 2 2 2 2 4 4 2" xfId="22317"/>
    <cellStyle name="40% - Accent3 4 2 2 2 2 4 5" xfId="22318"/>
    <cellStyle name="40% - Accent3 4 2 2 2 2 4 6" xfId="22319"/>
    <cellStyle name="40% - Accent3 4 2 2 2 2 5" xfId="22320"/>
    <cellStyle name="40% - Accent3 4 2 2 2 2 5 2" xfId="22321"/>
    <cellStyle name="40% - Accent3 4 2 2 2 2 5 2 2" xfId="22322"/>
    <cellStyle name="40% - Accent3 4 2 2 2 2 5 2 3" xfId="22323"/>
    <cellStyle name="40% - Accent3 4 2 2 2 2 5 3" xfId="22324"/>
    <cellStyle name="40% - Accent3 4 2 2 2 2 5 3 2" xfId="22325"/>
    <cellStyle name="40% - Accent3 4 2 2 2 2 5 4" xfId="22326"/>
    <cellStyle name="40% - Accent3 4 2 2 2 2 5 5" xfId="22327"/>
    <cellStyle name="40% - Accent3 4 2 2 2 2 6" xfId="22328"/>
    <cellStyle name="40% - Accent3 4 2 2 2 2 6 2" xfId="22329"/>
    <cellStyle name="40% - Accent3 4 2 2 2 2 6 3" xfId="22330"/>
    <cellStyle name="40% - Accent3 4 2 2 2 2 7" xfId="22331"/>
    <cellStyle name="40% - Accent3 4 2 2 2 2 7 2" xfId="22332"/>
    <cellStyle name="40% - Accent3 4 2 2 2 2 7 3" xfId="22333"/>
    <cellStyle name="40% - Accent3 4 2 2 2 2 8" xfId="22334"/>
    <cellStyle name="40% - Accent3 4 2 2 2 2 8 2" xfId="22335"/>
    <cellStyle name="40% - Accent3 4 2 2 2 2 9" xfId="22336"/>
    <cellStyle name="40% - Accent3 4 2 2 2 3" xfId="2002"/>
    <cellStyle name="40% - Accent3 4 2 2 2 3 2" xfId="22337"/>
    <cellStyle name="40% - Accent3 4 2 2 2 3 2 2" xfId="22338"/>
    <cellStyle name="40% - Accent3 4 2 2 2 3 2 2 2" xfId="22339"/>
    <cellStyle name="40% - Accent3 4 2 2 2 3 2 2 3" xfId="22340"/>
    <cellStyle name="40% - Accent3 4 2 2 2 3 2 3" xfId="22341"/>
    <cellStyle name="40% - Accent3 4 2 2 2 3 2 3 2" xfId="22342"/>
    <cellStyle name="40% - Accent3 4 2 2 2 3 2 3 3" xfId="22343"/>
    <cellStyle name="40% - Accent3 4 2 2 2 3 2 4" xfId="22344"/>
    <cellStyle name="40% - Accent3 4 2 2 2 3 2 4 2" xfId="22345"/>
    <cellStyle name="40% - Accent3 4 2 2 2 3 2 5" xfId="22346"/>
    <cellStyle name="40% - Accent3 4 2 2 2 3 2 6" xfId="22347"/>
    <cellStyle name="40% - Accent3 4 2 2 2 3 3" xfId="22348"/>
    <cellStyle name="40% - Accent3 4 2 2 2 3 3 2" xfId="22349"/>
    <cellStyle name="40% - Accent3 4 2 2 2 3 3 2 2" xfId="22350"/>
    <cellStyle name="40% - Accent3 4 2 2 2 3 3 2 3" xfId="22351"/>
    <cellStyle name="40% - Accent3 4 2 2 2 3 3 3" xfId="22352"/>
    <cellStyle name="40% - Accent3 4 2 2 2 3 3 3 2" xfId="22353"/>
    <cellStyle name="40% - Accent3 4 2 2 2 3 3 3 3" xfId="22354"/>
    <cellStyle name="40% - Accent3 4 2 2 2 3 3 4" xfId="22355"/>
    <cellStyle name="40% - Accent3 4 2 2 2 3 3 4 2" xfId="22356"/>
    <cellStyle name="40% - Accent3 4 2 2 2 3 3 5" xfId="22357"/>
    <cellStyle name="40% - Accent3 4 2 2 2 3 3 6" xfId="22358"/>
    <cellStyle name="40% - Accent3 4 2 2 2 3 4" xfId="22359"/>
    <cellStyle name="40% - Accent3 4 2 2 2 3 4 2" xfId="22360"/>
    <cellStyle name="40% - Accent3 4 2 2 2 3 4 2 2" xfId="22361"/>
    <cellStyle name="40% - Accent3 4 2 2 2 3 4 2 3" xfId="22362"/>
    <cellStyle name="40% - Accent3 4 2 2 2 3 4 3" xfId="22363"/>
    <cellStyle name="40% - Accent3 4 2 2 2 3 4 3 2" xfId="22364"/>
    <cellStyle name="40% - Accent3 4 2 2 2 3 4 4" xfId="22365"/>
    <cellStyle name="40% - Accent3 4 2 2 2 3 4 5" xfId="22366"/>
    <cellStyle name="40% - Accent3 4 2 2 2 3 5" xfId="22367"/>
    <cellStyle name="40% - Accent3 4 2 2 2 3 5 2" xfId="22368"/>
    <cellStyle name="40% - Accent3 4 2 2 2 3 5 3" xfId="22369"/>
    <cellStyle name="40% - Accent3 4 2 2 2 3 6" xfId="22370"/>
    <cellStyle name="40% - Accent3 4 2 2 2 3 6 2" xfId="22371"/>
    <cellStyle name="40% - Accent3 4 2 2 2 3 6 3" xfId="22372"/>
    <cellStyle name="40% - Accent3 4 2 2 2 3 7" xfId="22373"/>
    <cellStyle name="40% - Accent3 4 2 2 2 3 7 2" xfId="22374"/>
    <cellStyle name="40% - Accent3 4 2 2 2 3 8" xfId="22375"/>
    <cellStyle name="40% - Accent3 4 2 2 2 3 9" xfId="22376"/>
    <cellStyle name="40% - Accent3 4 2 2 2 4" xfId="22377"/>
    <cellStyle name="40% - Accent3 4 2 2 2 4 2" xfId="22378"/>
    <cellStyle name="40% - Accent3 4 2 2 2 4 2 2" xfId="22379"/>
    <cellStyle name="40% - Accent3 4 2 2 2 4 2 2 2" xfId="22380"/>
    <cellStyle name="40% - Accent3 4 2 2 2 4 2 2 3" xfId="22381"/>
    <cellStyle name="40% - Accent3 4 2 2 2 4 2 3" xfId="22382"/>
    <cellStyle name="40% - Accent3 4 2 2 2 4 2 3 2" xfId="22383"/>
    <cellStyle name="40% - Accent3 4 2 2 2 4 2 3 3" xfId="22384"/>
    <cellStyle name="40% - Accent3 4 2 2 2 4 2 4" xfId="22385"/>
    <cellStyle name="40% - Accent3 4 2 2 2 4 2 4 2" xfId="22386"/>
    <cellStyle name="40% - Accent3 4 2 2 2 4 2 5" xfId="22387"/>
    <cellStyle name="40% - Accent3 4 2 2 2 4 2 6" xfId="22388"/>
    <cellStyle name="40% - Accent3 4 2 2 2 4 3" xfId="22389"/>
    <cellStyle name="40% - Accent3 4 2 2 2 4 3 2" xfId="22390"/>
    <cellStyle name="40% - Accent3 4 2 2 2 4 3 2 2" xfId="22391"/>
    <cellStyle name="40% - Accent3 4 2 2 2 4 3 2 3" xfId="22392"/>
    <cellStyle name="40% - Accent3 4 2 2 2 4 3 3" xfId="22393"/>
    <cellStyle name="40% - Accent3 4 2 2 2 4 3 3 2" xfId="22394"/>
    <cellStyle name="40% - Accent3 4 2 2 2 4 3 3 3" xfId="22395"/>
    <cellStyle name="40% - Accent3 4 2 2 2 4 3 4" xfId="22396"/>
    <cellStyle name="40% - Accent3 4 2 2 2 4 3 4 2" xfId="22397"/>
    <cellStyle name="40% - Accent3 4 2 2 2 4 3 5" xfId="22398"/>
    <cellStyle name="40% - Accent3 4 2 2 2 4 3 6" xfId="22399"/>
    <cellStyle name="40% - Accent3 4 2 2 2 4 4" xfId="22400"/>
    <cellStyle name="40% - Accent3 4 2 2 2 4 4 2" xfId="22401"/>
    <cellStyle name="40% - Accent3 4 2 2 2 4 4 2 2" xfId="22402"/>
    <cellStyle name="40% - Accent3 4 2 2 2 4 4 2 3" xfId="22403"/>
    <cellStyle name="40% - Accent3 4 2 2 2 4 4 3" xfId="22404"/>
    <cellStyle name="40% - Accent3 4 2 2 2 4 4 3 2" xfId="22405"/>
    <cellStyle name="40% - Accent3 4 2 2 2 4 4 4" xfId="22406"/>
    <cellStyle name="40% - Accent3 4 2 2 2 4 4 5" xfId="22407"/>
    <cellStyle name="40% - Accent3 4 2 2 2 4 5" xfId="22408"/>
    <cellStyle name="40% - Accent3 4 2 2 2 4 5 2" xfId="22409"/>
    <cellStyle name="40% - Accent3 4 2 2 2 4 5 3" xfId="22410"/>
    <cellStyle name="40% - Accent3 4 2 2 2 4 6" xfId="22411"/>
    <cellStyle name="40% - Accent3 4 2 2 2 4 6 2" xfId="22412"/>
    <cellStyle name="40% - Accent3 4 2 2 2 4 6 3" xfId="22413"/>
    <cellStyle name="40% - Accent3 4 2 2 2 4 7" xfId="22414"/>
    <cellStyle name="40% - Accent3 4 2 2 2 4 7 2" xfId="22415"/>
    <cellStyle name="40% - Accent3 4 2 2 2 4 8" xfId="22416"/>
    <cellStyle name="40% - Accent3 4 2 2 2 4 9" xfId="22417"/>
    <cellStyle name="40% - Accent3 4 2 2 2 5" xfId="22418"/>
    <cellStyle name="40% - Accent3 4 2 2 2 5 2" xfId="22419"/>
    <cellStyle name="40% - Accent3 4 2 2 2 5 2 2" xfId="22420"/>
    <cellStyle name="40% - Accent3 4 2 2 2 5 2 3" xfId="22421"/>
    <cellStyle name="40% - Accent3 4 2 2 2 5 3" xfId="22422"/>
    <cellStyle name="40% - Accent3 4 2 2 2 5 3 2" xfId="22423"/>
    <cellStyle name="40% - Accent3 4 2 2 2 5 3 3" xfId="22424"/>
    <cellStyle name="40% - Accent3 4 2 2 2 5 4" xfId="22425"/>
    <cellStyle name="40% - Accent3 4 2 2 2 5 4 2" xfId="22426"/>
    <cellStyle name="40% - Accent3 4 2 2 2 5 5" xfId="22427"/>
    <cellStyle name="40% - Accent3 4 2 2 2 5 6" xfId="22428"/>
    <cellStyle name="40% - Accent3 4 2 2 2 6" xfId="22429"/>
    <cellStyle name="40% - Accent3 4 2 2 2 6 2" xfId="22430"/>
    <cellStyle name="40% - Accent3 4 2 2 2 6 2 2" xfId="22431"/>
    <cellStyle name="40% - Accent3 4 2 2 2 6 2 3" xfId="22432"/>
    <cellStyle name="40% - Accent3 4 2 2 2 6 3" xfId="22433"/>
    <cellStyle name="40% - Accent3 4 2 2 2 6 3 2" xfId="22434"/>
    <cellStyle name="40% - Accent3 4 2 2 2 6 3 3" xfId="22435"/>
    <cellStyle name="40% - Accent3 4 2 2 2 6 4" xfId="22436"/>
    <cellStyle name="40% - Accent3 4 2 2 2 6 4 2" xfId="22437"/>
    <cellStyle name="40% - Accent3 4 2 2 2 6 5" xfId="22438"/>
    <cellStyle name="40% - Accent3 4 2 2 2 6 6" xfId="22439"/>
    <cellStyle name="40% - Accent3 4 2 2 2 7" xfId="22440"/>
    <cellStyle name="40% - Accent3 4 2 2 2 7 2" xfId="22441"/>
    <cellStyle name="40% - Accent3 4 2 2 2 7 2 2" xfId="22442"/>
    <cellStyle name="40% - Accent3 4 2 2 2 7 2 3" xfId="22443"/>
    <cellStyle name="40% - Accent3 4 2 2 2 7 3" xfId="22444"/>
    <cellStyle name="40% - Accent3 4 2 2 2 7 3 2" xfId="22445"/>
    <cellStyle name="40% - Accent3 4 2 2 2 7 4" xfId="22446"/>
    <cellStyle name="40% - Accent3 4 2 2 2 7 5" xfId="22447"/>
    <cellStyle name="40% - Accent3 4 2 2 2 8" xfId="22448"/>
    <cellStyle name="40% - Accent3 4 2 2 2 8 2" xfId="22449"/>
    <cellStyle name="40% - Accent3 4 2 2 2 8 3" xfId="22450"/>
    <cellStyle name="40% - Accent3 4 2 2 2 9" xfId="22451"/>
    <cellStyle name="40% - Accent3 4 2 2 2 9 2" xfId="22452"/>
    <cellStyle name="40% - Accent3 4 2 2 2 9 3" xfId="22453"/>
    <cellStyle name="40% - Accent3 4 2 2 3" xfId="2003"/>
    <cellStyle name="40% - Accent3 4 2 2 3 10" xfId="22454"/>
    <cellStyle name="40% - Accent3 4 2 2 3 2" xfId="2004"/>
    <cellStyle name="40% - Accent3 4 2 2 3 2 2" xfId="22455"/>
    <cellStyle name="40% - Accent3 4 2 2 3 2 2 2" xfId="22456"/>
    <cellStyle name="40% - Accent3 4 2 2 3 2 2 2 2" xfId="22457"/>
    <cellStyle name="40% - Accent3 4 2 2 3 2 2 2 3" xfId="22458"/>
    <cellStyle name="40% - Accent3 4 2 2 3 2 2 3" xfId="22459"/>
    <cellStyle name="40% - Accent3 4 2 2 3 2 2 3 2" xfId="22460"/>
    <cellStyle name="40% - Accent3 4 2 2 3 2 2 3 3" xfId="22461"/>
    <cellStyle name="40% - Accent3 4 2 2 3 2 2 4" xfId="22462"/>
    <cellStyle name="40% - Accent3 4 2 2 3 2 2 4 2" xfId="22463"/>
    <cellStyle name="40% - Accent3 4 2 2 3 2 2 5" xfId="22464"/>
    <cellStyle name="40% - Accent3 4 2 2 3 2 2 6" xfId="22465"/>
    <cellStyle name="40% - Accent3 4 2 2 3 2 3" xfId="22466"/>
    <cellStyle name="40% - Accent3 4 2 2 3 2 3 2" xfId="22467"/>
    <cellStyle name="40% - Accent3 4 2 2 3 2 3 2 2" xfId="22468"/>
    <cellStyle name="40% - Accent3 4 2 2 3 2 3 2 3" xfId="22469"/>
    <cellStyle name="40% - Accent3 4 2 2 3 2 3 3" xfId="22470"/>
    <cellStyle name="40% - Accent3 4 2 2 3 2 3 3 2" xfId="22471"/>
    <cellStyle name="40% - Accent3 4 2 2 3 2 3 3 3" xfId="22472"/>
    <cellStyle name="40% - Accent3 4 2 2 3 2 3 4" xfId="22473"/>
    <cellStyle name="40% - Accent3 4 2 2 3 2 3 4 2" xfId="22474"/>
    <cellStyle name="40% - Accent3 4 2 2 3 2 3 5" xfId="22475"/>
    <cellStyle name="40% - Accent3 4 2 2 3 2 3 6" xfId="22476"/>
    <cellStyle name="40% - Accent3 4 2 2 3 2 4" xfId="22477"/>
    <cellStyle name="40% - Accent3 4 2 2 3 2 4 2" xfId="22478"/>
    <cellStyle name="40% - Accent3 4 2 2 3 2 4 2 2" xfId="22479"/>
    <cellStyle name="40% - Accent3 4 2 2 3 2 4 2 3" xfId="22480"/>
    <cellStyle name="40% - Accent3 4 2 2 3 2 4 3" xfId="22481"/>
    <cellStyle name="40% - Accent3 4 2 2 3 2 4 3 2" xfId="22482"/>
    <cellStyle name="40% - Accent3 4 2 2 3 2 4 4" xfId="22483"/>
    <cellStyle name="40% - Accent3 4 2 2 3 2 4 5" xfId="22484"/>
    <cellStyle name="40% - Accent3 4 2 2 3 2 5" xfId="22485"/>
    <cellStyle name="40% - Accent3 4 2 2 3 2 5 2" xfId="22486"/>
    <cellStyle name="40% - Accent3 4 2 2 3 2 5 3" xfId="22487"/>
    <cellStyle name="40% - Accent3 4 2 2 3 2 6" xfId="22488"/>
    <cellStyle name="40% - Accent3 4 2 2 3 2 6 2" xfId="22489"/>
    <cellStyle name="40% - Accent3 4 2 2 3 2 6 3" xfId="22490"/>
    <cellStyle name="40% - Accent3 4 2 2 3 2 7" xfId="22491"/>
    <cellStyle name="40% - Accent3 4 2 2 3 2 7 2" xfId="22492"/>
    <cellStyle name="40% - Accent3 4 2 2 3 2 8" xfId="22493"/>
    <cellStyle name="40% - Accent3 4 2 2 3 2 9" xfId="22494"/>
    <cellStyle name="40% - Accent3 4 2 2 3 3" xfId="22495"/>
    <cellStyle name="40% - Accent3 4 2 2 3 3 2" xfId="22496"/>
    <cellStyle name="40% - Accent3 4 2 2 3 3 2 2" xfId="22497"/>
    <cellStyle name="40% - Accent3 4 2 2 3 3 2 3" xfId="22498"/>
    <cellStyle name="40% - Accent3 4 2 2 3 3 3" xfId="22499"/>
    <cellStyle name="40% - Accent3 4 2 2 3 3 3 2" xfId="22500"/>
    <cellStyle name="40% - Accent3 4 2 2 3 3 3 3" xfId="22501"/>
    <cellStyle name="40% - Accent3 4 2 2 3 3 4" xfId="22502"/>
    <cellStyle name="40% - Accent3 4 2 2 3 3 4 2" xfId="22503"/>
    <cellStyle name="40% - Accent3 4 2 2 3 3 5" xfId="22504"/>
    <cellStyle name="40% - Accent3 4 2 2 3 3 6" xfId="22505"/>
    <cellStyle name="40% - Accent3 4 2 2 3 4" xfId="22506"/>
    <cellStyle name="40% - Accent3 4 2 2 3 4 2" xfId="22507"/>
    <cellStyle name="40% - Accent3 4 2 2 3 4 2 2" xfId="22508"/>
    <cellStyle name="40% - Accent3 4 2 2 3 4 2 3" xfId="22509"/>
    <cellStyle name="40% - Accent3 4 2 2 3 4 3" xfId="22510"/>
    <cellStyle name="40% - Accent3 4 2 2 3 4 3 2" xfId="22511"/>
    <cellStyle name="40% - Accent3 4 2 2 3 4 3 3" xfId="22512"/>
    <cellStyle name="40% - Accent3 4 2 2 3 4 4" xfId="22513"/>
    <cellStyle name="40% - Accent3 4 2 2 3 4 4 2" xfId="22514"/>
    <cellStyle name="40% - Accent3 4 2 2 3 4 5" xfId="22515"/>
    <cellStyle name="40% - Accent3 4 2 2 3 4 6" xfId="22516"/>
    <cellStyle name="40% - Accent3 4 2 2 3 5" xfId="22517"/>
    <cellStyle name="40% - Accent3 4 2 2 3 5 2" xfId="22518"/>
    <cellStyle name="40% - Accent3 4 2 2 3 5 2 2" xfId="22519"/>
    <cellStyle name="40% - Accent3 4 2 2 3 5 2 3" xfId="22520"/>
    <cellStyle name="40% - Accent3 4 2 2 3 5 3" xfId="22521"/>
    <cellStyle name="40% - Accent3 4 2 2 3 5 3 2" xfId="22522"/>
    <cellStyle name="40% - Accent3 4 2 2 3 5 4" xfId="22523"/>
    <cellStyle name="40% - Accent3 4 2 2 3 5 5" xfId="22524"/>
    <cellStyle name="40% - Accent3 4 2 2 3 6" xfId="22525"/>
    <cellStyle name="40% - Accent3 4 2 2 3 6 2" xfId="22526"/>
    <cellStyle name="40% - Accent3 4 2 2 3 6 3" xfId="22527"/>
    <cellStyle name="40% - Accent3 4 2 2 3 7" xfId="22528"/>
    <cellStyle name="40% - Accent3 4 2 2 3 7 2" xfId="22529"/>
    <cellStyle name="40% - Accent3 4 2 2 3 7 3" xfId="22530"/>
    <cellStyle name="40% - Accent3 4 2 2 3 8" xfId="22531"/>
    <cellStyle name="40% - Accent3 4 2 2 3 8 2" xfId="22532"/>
    <cellStyle name="40% - Accent3 4 2 2 3 9" xfId="22533"/>
    <cellStyle name="40% - Accent3 4 2 2 4" xfId="2005"/>
    <cellStyle name="40% - Accent3 4 2 2 4 2" xfId="22534"/>
    <cellStyle name="40% - Accent3 4 2 2 4 2 2" xfId="22535"/>
    <cellStyle name="40% - Accent3 4 2 2 4 2 2 2" xfId="22536"/>
    <cellStyle name="40% - Accent3 4 2 2 4 2 2 3" xfId="22537"/>
    <cellStyle name="40% - Accent3 4 2 2 4 2 3" xfId="22538"/>
    <cellStyle name="40% - Accent3 4 2 2 4 2 3 2" xfId="22539"/>
    <cellStyle name="40% - Accent3 4 2 2 4 2 3 3" xfId="22540"/>
    <cellStyle name="40% - Accent3 4 2 2 4 2 4" xfId="22541"/>
    <cellStyle name="40% - Accent3 4 2 2 4 2 4 2" xfId="22542"/>
    <cellStyle name="40% - Accent3 4 2 2 4 2 5" xfId="22543"/>
    <cellStyle name="40% - Accent3 4 2 2 4 2 6" xfId="22544"/>
    <cellStyle name="40% - Accent3 4 2 2 4 3" xfId="22545"/>
    <cellStyle name="40% - Accent3 4 2 2 4 3 2" xfId="22546"/>
    <cellStyle name="40% - Accent3 4 2 2 4 3 2 2" xfId="22547"/>
    <cellStyle name="40% - Accent3 4 2 2 4 3 2 3" xfId="22548"/>
    <cellStyle name="40% - Accent3 4 2 2 4 3 3" xfId="22549"/>
    <cellStyle name="40% - Accent3 4 2 2 4 3 3 2" xfId="22550"/>
    <cellStyle name="40% - Accent3 4 2 2 4 3 3 3" xfId="22551"/>
    <cellStyle name="40% - Accent3 4 2 2 4 3 4" xfId="22552"/>
    <cellStyle name="40% - Accent3 4 2 2 4 3 4 2" xfId="22553"/>
    <cellStyle name="40% - Accent3 4 2 2 4 3 5" xfId="22554"/>
    <cellStyle name="40% - Accent3 4 2 2 4 3 6" xfId="22555"/>
    <cellStyle name="40% - Accent3 4 2 2 4 4" xfId="22556"/>
    <cellStyle name="40% - Accent3 4 2 2 4 4 2" xfId="22557"/>
    <cellStyle name="40% - Accent3 4 2 2 4 4 2 2" xfId="22558"/>
    <cellStyle name="40% - Accent3 4 2 2 4 4 2 3" xfId="22559"/>
    <cellStyle name="40% - Accent3 4 2 2 4 4 3" xfId="22560"/>
    <cellStyle name="40% - Accent3 4 2 2 4 4 3 2" xfId="22561"/>
    <cellStyle name="40% - Accent3 4 2 2 4 4 4" xfId="22562"/>
    <cellStyle name="40% - Accent3 4 2 2 4 4 5" xfId="22563"/>
    <cellStyle name="40% - Accent3 4 2 2 4 5" xfId="22564"/>
    <cellStyle name="40% - Accent3 4 2 2 4 5 2" xfId="22565"/>
    <cellStyle name="40% - Accent3 4 2 2 4 5 3" xfId="22566"/>
    <cellStyle name="40% - Accent3 4 2 2 4 6" xfId="22567"/>
    <cellStyle name="40% - Accent3 4 2 2 4 6 2" xfId="22568"/>
    <cellStyle name="40% - Accent3 4 2 2 4 6 3" xfId="22569"/>
    <cellStyle name="40% - Accent3 4 2 2 4 7" xfId="22570"/>
    <cellStyle name="40% - Accent3 4 2 2 4 7 2" xfId="22571"/>
    <cellStyle name="40% - Accent3 4 2 2 4 8" xfId="22572"/>
    <cellStyle name="40% - Accent3 4 2 2 4 9" xfId="22573"/>
    <cellStyle name="40% - Accent3 4 2 2 5" xfId="22574"/>
    <cellStyle name="40% - Accent3 4 2 2 5 2" xfId="22575"/>
    <cellStyle name="40% - Accent3 4 2 2 5 2 2" xfId="22576"/>
    <cellStyle name="40% - Accent3 4 2 2 5 2 2 2" xfId="22577"/>
    <cellStyle name="40% - Accent3 4 2 2 5 2 2 3" xfId="22578"/>
    <cellStyle name="40% - Accent3 4 2 2 5 2 3" xfId="22579"/>
    <cellStyle name="40% - Accent3 4 2 2 5 2 3 2" xfId="22580"/>
    <cellStyle name="40% - Accent3 4 2 2 5 2 3 3" xfId="22581"/>
    <cellStyle name="40% - Accent3 4 2 2 5 2 4" xfId="22582"/>
    <cellStyle name="40% - Accent3 4 2 2 5 2 4 2" xfId="22583"/>
    <cellStyle name="40% - Accent3 4 2 2 5 2 5" xfId="22584"/>
    <cellStyle name="40% - Accent3 4 2 2 5 2 6" xfId="22585"/>
    <cellStyle name="40% - Accent3 4 2 2 5 3" xfId="22586"/>
    <cellStyle name="40% - Accent3 4 2 2 5 3 2" xfId="22587"/>
    <cellStyle name="40% - Accent3 4 2 2 5 3 2 2" xfId="22588"/>
    <cellStyle name="40% - Accent3 4 2 2 5 3 2 3" xfId="22589"/>
    <cellStyle name="40% - Accent3 4 2 2 5 3 3" xfId="22590"/>
    <cellStyle name="40% - Accent3 4 2 2 5 3 3 2" xfId="22591"/>
    <cellStyle name="40% - Accent3 4 2 2 5 3 3 3" xfId="22592"/>
    <cellStyle name="40% - Accent3 4 2 2 5 3 4" xfId="22593"/>
    <cellStyle name="40% - Accent3 4 2 2 5 3 4 2" xfId="22594"/>
    <cellStyle name="40% - Accent3 4 2 2 5 3 5" xfId="22595"/>
    <cellStyle name="40% - Accent3 4 2 2 5 3 6" xfId="22596"/>
    <cellStyle name="40% - Accent3 4 2 2 5 4" xfId="22597"/>
    <cellStyle name="40% - Accent3 4 2 2 5 4 2" xfId="22598"/>
    <cellStyle name="40% - Accent3 4 2 2 5 4 2 2" xfId="22599"/>
    <cellStyle name="40% - Accent3 4 2 2 5 4 2 3" xfId="22600"/>
    <cellStyle name="40% - Accent3 4 2 2 5 4 3" xfId="22601"/>
    <cellStyle name="40% - Accent3 4 2 2 5 4 3 2" xfId="22602"/>
    <cellStyle name="40% - Accent3 4 2 2 5 4 4" xfId="22603"/>
    <cellStyle name="40% - Accent3 4 2 2 5 4 5" xfId="22604"/>
    <cellStyle name="40% - Accent3 4 2 2 5 5" xfId="22605"/>
    <cellStyle name="40% - Accent3 4 2 2 5 5 2" xfId="22606"/>
    <cellStyle name="40% - Accent3 4 2 2 5 5 3" xfId="22607"/>
    <cellStyle name="40% - Accent3 4 2 2 5 6" xfId="22608"/>
    <cellStyle name="40% - Accent3 4 2 2 5 6 2" xfId="22609"/>
    <cellStyle name="40% - Accent3 4 2 2 5 6 3" xfId="22610"/>
    <cellStyle name="40% - Accent3 4 2 2 5 7" xfId="22611"/>
    <cellStyle name="40% - Accent3 4 2 2 5 7 2" xfId="22612"/>
    <cellStyle name="40% - Accent3 4 2 2 5 8" xfId="22613"/>
    <cellStyle name="40% - Accent3 4 2 2 5 9" xfId="22614"/>
    <cellStyle name="40% - Accent3 4 2 2 6" xfId="22615"/>
    <cellStyle name="40% - Accent3 4 2 2 6 2" xfId="22616"/>
    <cellStyle name="40% - Accent3 4 2 2 6 2 2" xfId="22617"/>
    <cellStyle name="40% - Accent3 4 2 2 6 2 3" xfId="22618"/>
    <cellStyle name="40% - Accent3 4 2 2 6 3" xfId="22619"/>
    <cellStyle name="40% - Accent3 4 2 2 6 3 2" xfId="22620"/>
    <cellStyle name="40% - Accent3 4 2 2 6 3 3" xfId="22621"/>
    <cellStyle name="40% - Accent3 4 2 2 6 4" xfId="22622"/>
    <cellStyle name="40% - Accent3 4 2 2 6 4 2" xfId="22623"/>
    <cellStyle name="40% - Accent3 4 2 2 6 5" xfId="22624"/>
    <cellStyle name="40% - Accent3 4 2 2 6 6" xfId="22625"/>
    <cellStyle name="40% - Accent3 4 2 2 7" xfId="22626"/>
    <cellStyle name="40% - Accent3 4 2 2 7 2" xfId="22627"/>
    <cellStyle name="40% - Accent3 4 2 2 7 2 2" xfId="22628"/>
    <cellStyle name="40% - Accent3 4 2 2 7 2 3" xfId="22629"/>
    <cellStyle name="40% - Accent3 4 2 2 7 3" xfId="22630"/>
    <cellStyle name="40% - Accent3 4 2 2 7 3 2" xfId="22631"/>
    <cellStyle name="40% - Accent3 4 2 2 7 3 3" xfId="22632"/>
    <cellStyle name="40% - Accent3 4 2 2 7 4" xfId="22633"/>
    <cellStyle name="40% - Accent3 4 2 2 7 4 2" xfId="22634"/>
    <cellStyle name="40% - Accent3 4 2 2 7 5" xfId="22635"/>
    <cellStyle name="40% - Accent3 4 2 2 7 6" xfId="22636"/>
    <cellStyle name="40% - Accent3 4 2 2 8" xfId="22637"/>
    <cellStyle name="40% - Accent3 4 2 2 8 2" xfId="22638"/>
    <cellStyle name="40% - Accent3 4 2 2 8 2 2" xfId="22639"/>
    <cellStyle name="40% - Accent3 4 2 2 8 2 3" xfId="22640"/>
    <cellStyle name="40% - Accent3 4 2 2 8 3" xfId="22641"/>
    <cellStyle name="40% - Accent3 4 2 2 8 3 2" xfId="22642"/>
    <cellStyle name="40% - Accent3 4 2 2 8 4" xfId="22643"/>
    <cellStyle name="40% - Accent3 4 2 2 8 5" xfId="22644"/>
    <cellStyle name="40% - Accent3 4 2 2 9" xfId="22645"/>
    <cellStyle name="40% - Accent3 4 2 2 9 2" xfId="22646"/>
    <cellStyle name="40% - Accent3 4 2 2 9 3" xfId="22647"/>
    <cellStyle name="40% - Accent3 4 2 3" xfId="2006"/>
    <cellStyle name="40% - Accent3 4 2 3 10" xfId="22648"/>
    <cellStyle name="40% - Accent3 4 2 3 10 2" xfId="22649"/>
    <cellStyle name="40% - Accent3 4 2 3 11" xfId="22650"/>
    <cellStyle name="40% - Accent3 4 2 3 12" xfId="22651"/>
    <cellStyle name="40% - Accent3 4 2 3 2" xfId="2007"/>
    <cellStyle name="40% - Accent3 4 2 3 2 10" xfId="22652"/>
    <cellStyle name="40% - Accent3 4 2 3 2 2" xfId="2008"/>
    <cellStyle name="40% - Accent3 4 2 3 2 2 2" xfId="22653"/>
    <cellStyle name="40% - Accent3 4 2 3 2 2 2 2" xfId="22654"/>
    <cellStyle name="40% - Accent3 4 2 3 2 2 2 2 2" xfId="22655"/>
    <cellStyle name="40% - Accent3 4 2 3 2 2 2 2 3" xfId="22656"/>
    <cellStyle name="40% - Accent3 4 2 3 2 2 2 3" xfId="22657"/>
    <cellStyle name="40% - Accent3 4 2 3 2 2 2 3 2" xfId="22658"/>
    <cellStyle name="40% - Accent3 4 2 3 2 2 2 3 3" xfId="22659"/>
    <cellStyle name="40% - Accent3 4 2 3 2 2 2 4" xfId="22660"/>
    <cellStyle name="40% - Accent3 4 2 3 2 2 2 4 2" xfId="22661"/>
    <cellStyle name="40% - Accent3 4 2 3 2 2 2 5" xfId="22662"/>
    <cellStyle name="40% - Accent3 4 2 3 2 2 2 6" xfId="22663"/>
    <cellStyle name="40% - Accent3 4 2 3 2 2 3" xfId="22664"/>
    <cellStyle name="40% - Accent3 4 2 3 2 2 3 2" xfId="22665"/>
    <cellStyle name="40% - Accent3 4 2 3 2 2 3 2 2" xfId="22666"/>
    <cellStyle name="40% - Accent3 4 2 3 2 2 3 2 3" xfId="22667"/>
    <cellStyle name="40% - Accent3 4 2 3 2 2 3 3" xfId="22668"/>
    <cellStyle name="40% - Accent3 4 2 3 2 2 3 3 2" xfId="22669"/>
    <cellStyle name="40% - Accent3 4 2 3 2 2 3 3 3" xfId="22670"/>
    <cellStyle name="40% - Accent3 4 2 3 2 2 3 4" xfId="22671"/>
    <cellStyle name="40% - Accent3 4 2 3 2 2 3 4 2" xfId="22672"/>
    <cellStyle name="40% - Accent3 4 2 3 2 2 3 5" xfId="22673"/>
    <cellStyle name="40% - Accent3 4 2 3 2 2 3 6" xfId="22674"/>
    <cellStyle name="40% - Accent3 4 2 3 2 2 4" xfId="22675"/>
    <cellStyle name="40% - Accent3 4 2 3 2 2 4 2" xfId="22676"/>
    <cellStyle name="40% - Accent3 4 2 3 2 2 4 2 2" xfId="22677"/>
    <cellStyle name="40% - Accent3 4 2 3 2 2 4 2 3" xfId="22678"/>
    <cellStyle name="40% - Accent3 4 2 3 2 2 4 3" xfId="22679"/>
    <cellStyle name="40% - Accent3 4 2 3 2 2 4 3 2" xfId="22680"/>
    <cellStyle name="40% - Accent3 4 2 3 2 2 4 4" xfId="22681"/>
    <cellStyle name="40% - Accent3 4 2 3 2 2 4 5" xfId="22682"/>
    <cellStyle name="40% - Accent3 4 2 3 2 2 5" xfId="22683"/>
    <cellStyle name="40% - Accent3 4 2 3 2 2 5 2" xfId="22684"/>
    <cellStyle name="40% - Accent3 4 2 3 2 2 5 3" xfId="22685"/>
    <cellStyle name="40% - Accent3 4 2 3 2 2 6" xfId="22686"/>
    <cellStyle name="40% - Accent3 4 2 3 2 2 6 2" xfId="22687"/>
    <cellStyle name="40% - Accent3 4 2 3 2 2 6 3" xfId="22688"/>
    <cellStyle name="40% - Accent3 4 2 3 2 2 7" xfId="22689"/>
    <cellStyle name="40% - Accent3 4 2 3 2 2 7 2" xfId="22690"/>
    <cellStyle name="40% - Accent3 4 2 3 2 2 8" xfId="22691"/>
    <cellStyle name="40% - Accent3 4 2 3 2 2 9" xfId="22692"/>
    <cellStyle name="40% - Accent3 4 2 3 2 3" xfId="22693"/>
    <cellStyle name="40% - Accent3 4 2 3 2 3 2" xfId="22694"/>
    <cellStyle name="40% - Accent3 4 2 3 2 3 2 2" xfId="22695"/>
    <cellStyle name="40% - Accent3 4 2 3 2 3 2 3" xfId="22696"/>
    <cellStyle name="40% - Accent3 4 2 3 2 3 3" xfId="22697"/>
    <cellStyle name="40% - Accent3 4 2 3 2 3 3 2" xfId="22698"/>
    <cellStyle name="40% - Accent3 4 2 3 2 3 3 3" xfId="22699"/>
    <cellStyle name="40% - Accent3 4 2 3 2 3 4" xfId="22700"/>
    <cellStyle name="40% - Accent3 4 2 3 2 3 4 2" xfId="22701"/>
    <cellStyle name="40% - Accent3 4 2 3 2 3 5" xfId="22702"/>
    <cellStyle name="40% - Accent3 4 2 3 2 3 6" xfId="22703"/>
    <cellStyle name="40% - Accent3 4 2 3 2 4" xfId="22704"/>
    <cellStyle name="40% - Accent3 4 2 3 2 4 2" xfId="22705"/>
    <cellStyle name="40% - Accent3 4 2 3 2 4 2 2" xfId="22706"/>
    <cellStyle name="40% - Accent3 4 2 3 2 4 2 3" xfId="22707"/>
    <cellStyle name="40% - Accent3 4 2 3 2 4 3" xfId="22708"/>
    <cellStyle name="40% - Accent3 4 2 3 2 4 3 2" xfId="22709"/>
    <cellStyle name="40% - Accent3 4 2 3 2 4 3 3" xfId="22710"/>
    <cellStyle name="40% - Accent3 4 2 3 2 4 4" xfId="22711"/>
    <cellStyle name="40% - Accent3 4 2 3 2 4 4 2" xfId="22712"/>
    <cellStyle name="40% - Accent3 4 2 3 2 4 5" xfId="22713"/>
    <cellStyle name="40% - Accent3 4 2 3 2 4 6" xfId="22714"/>
    <cellStyle name="40% - Accent3 4 2 3 2 5" xfId="22715"/>
    <cellStyle name="40% - Accent3 4 2 3 2 5 2" xfId="22716"/>
    <cellStyle name="40% - Accent3 4 2 3 2 5 2 2" xfId="22717"/>
    <cellStyle name="40% - Accent3 4 2 3 2 5 2 3" xfId="22718"/>
    <cellStyle name="40% - Accent3 4 2 3 2 5 3" xfId="22719"/>
    <cellStyle name="40% - Accent3 4 2 3 2 5 3 2" xfId="22720"/>
    <cellStyle name="40% - Accent3 4 2 3 2 5 4" xfId="22721"/>
    <cellStyle name="40% - Accent3 4 2 3 2 5 5" xfId="22722"/>
    <cellStyle name="40% - Accent3 4 2 3 2 6" xfId="22723"/>
    <cellStyle name="40% - Accent3 4 2 3 2 6 2" xfId="22724"/>
    <cellStyle name="40% - Accent3 4 2 3 2 6 3" xfId="22725"/>
    <cellStyle name="40% - Accent3 4 2 3 2 7" xfId="22726"/>
    <cellStyle name="40% - Accent3 4 2 3 2 7 2" xfId="22727"/>
    <cellStyle name="40% - Accent3 4 2 3 2 7 3" xfId="22728"/>
    <cellStyle name="40% - Accent3 4 2 3 2 8" xfId="22729"/>
    <cellStyle name="40% - Accent3 4 2 3 2 8 2" xfId="22730"/>
    <cellStyle name="40% - Accent3 4 2 3 2 9" xfId="22731"/>
    <cellStyle name="40% - Accent3 4 2 3 3" xfId="2009"/>
    <cellStyle name="40% - Accent3 4 2 3 3 2" xfId="22732"/>
    <cellStyle name="40% - Accent3 4 2 3 3 2 2" xfId="22733"/>
    <cellStyle name="40% - Accent3 4 2 3 3 2 2 2" xfId="22734"/>
    <cellStyle name="40% - Accent3 4 2 3 3 2 2 3" xfId="22735"/>
    <cellStyle name="40% - Accent3 4 2 3 3 2 3" xfId="22736"/>
    <cellStyle name="40% - Accent3 4 2 3 3 2 3 2" xfId="22737"/>
    <cellStyle name="40% - Accent3 4 2 3 3 2 3 3" xfId="22738"/>
    <cellStyle name="40% - Accent3 4 2 3 3 2 4" xfId="22739"/>
    <cellStyle name="40% - Accent3 4 2 3 3 2 4 2" xfId="22740"/>
    <cellStyle name="40% - Accent3 4 2 3 3 2 5" xfId="22741"/>
    <cellStyle name="40% - Accent3 4 2 3 3 2 6" xfId="22742"/>
    <cellStyle name="40% - Accent3 4 2 3 3 3" xfId="22743"/>
    <cellStyle name="40% - Accent3 4 2 3 3 3 2" xfId="22744"/>
    <cellStyle name="40% - Accent3 4 2 3 3 3 2 2" xfId="22745"/>
    <cellStyle name="40% - Accent3 4 2 3 3 3 2 3" xfId="22746"/>
    <cellStyle name="40% - Accent3 4 2 3 3 3 3" xfId="22747"/>
    <cellStyle name="40% - Accent3 4 2 3 3 3 3 2" xfId="22748"/>
    <cellStyle name="40% - Accent3 4 2 3 3 3 3 3" xfId="22749"/>
    <cellStyle name="40% - Accent3 4 2 3 3 3 4" xfId="22750"/>
    <cellStyle name="40% - Accent3 4 2 3 3 3 4 2" xfId="22751"/>
    <cellStyle name="40% - Accent3 4 2 3 3 3 5" xfId="22752"/>
    <cellStyle name="40% - Accent3 4 2 3 3 3 6" xfId="22753"/>
    <cellStyle name="40% - Accent3 4 2 3 3 4" xfId="22754"/>
    <cellStyle name="40% - Accent3 4 2 3 3 4 2" xfId="22755"/>
    <cellStyle name="40% - Accent3 4 2 3 3 4 2 2" xfId="22756"/>
    <cellStyle name="40% - Accent3 4 2 3 3 4 2 3" xfId="22757"/>
    <cellStyle name="40% - Accent3 4 2 3 3 4 3" xfId="22758"/>
    <cellStyle name="40% - Accent3 4 2 3 3 4 3 2" xfId="22759"/>
    <cellStyle name="40% - Accent3 4 2 3 3 4 4" xfId="22760"/>
    <cellStyle name="40% - Accent3 4 2 3 3 4 5" xfId="22761"/>
    <cellStyle name="40% - Accent3 4 2 3 3 5" xfId="22762"/>
    <cellStyle name="40% - Accent3 4 2 3 3 5 2" xfId="22763"/>
    <cellStyle name="40% - Accent3 4 2 3 3 5 3" xfId="22764"/>
    <cellStyle name="40% - Accent3 4 2 3 3 6" xfId="22765"/>
    <cellStyle name="40% - Accent3 4 2 3 3 6 2" xfId="22766"/>
    <cellStyle name="40% - Accent3 4 2 3 3 6 3" xfId="22767"/>
    <cellStyle name="40% - Accent3 4 2 3 3 7" xfId="22768"/>
    <cellStyle name="40% - Accent3 4 2 3 3 7 2" xfId="22769"/>
    <cellStyle name="40% - Accent3 4 2 3 3 8" xfId="22770"/>
    <cellStyle name="40% - Accent3 4 2 3 3 9" xfId="22771"/>
    <cellStyle name="40% - Accent3 4 2 3 4" xfId="22772"/>
    <cellStyle name="40% - Accent3 4 2 3 4 2" xfId="22773"/>
    <cellStyle name="40% - Accent3 4 2 3 4 2 2" xfId="22774"/>
    <cellStyle name="40% - Accent3 4 2 3 4 2 2 2" xfId="22775"/>
    <cellStyle name="40% - Accent3 4 2 3 4 2 2 3" xfId="22776"/>
    <cellStyle name="40% - Accent3 4 2 3 4 2 3" xfId="22777"/>
    <cellStyle name="40% - Accent3 4 2 3 4 2 3 2" xfId="22778"/>
    <cellStyle name="40% - Accent3 4 2 3 4 2 3 3" xfId="22779"/>
    <cellStyle name="40% - Accent3 4 2 3 4 2 4" xfId="22780"/>
    <cellStyle name="40% - Accent3 4 2 3 4 2 4 2" xfId="22781"/>
    <cellStyle name="40% - Accent3 4 2 3 4 2 5" xfId="22782"/>
    <cellStyle name="40% - Accent3 4 2 3 4 2 6" xfId="22783"/>
    <cellStyle name="40% - Accent3 4 2 3 4 3" xfId="22784"/>
    <cellStyle name="40% - Accent3 4 2 3 4 3 2" xfId="22785"/>
    <cellStyle name="40% - Accent3 4 2 3 4 3 2 2" xfId="22786"/>
    <cellStyle name="40% - Accent3 4 2 3 4 3 2 3" xfId="22787"/>
    <cellStyle name="40% - Accent3 4 2 3 4 3 3" xfId="22788"/>
    <cellStyle name="40% - Accent3 4 2 3 4 3 3 2" xfId="22789"/>
    <cellStyle name="40% - Accent3 4 2 3 4 3 3 3" xfId="22790"/>
    <cellStyle name="40% - Accent3 4 2 3 4 3 4" xfId="22791"/>
    <cellStyle name="40% - Accent3 4 2 3 4 3 4 2" xfId="22792"/>
    <cellStyle name="40% - Accent3 4 2 3 4 3 5" xfId="22793"/>
    <cellStyle name="40% - Accent3 4 2 3 4 3 6" xfId="22794"/>
    <cellStyle name="40% - Accent3 4 2 3 4 4" xfId="22795"/>
    <cellStyle name="40% - Accent3 4 2 3 4 4 2" xfId="22796"/>
    <cellStyle name="40% - Accent3 4 2 3 4 4 2 2" xfId="22797"/>
    <cellStyle name="40% - Accent3 4 2 3 4 4 2 3" xfId="22798"/>
    <cellStyle name="40% - Accent3 4 2 3 4 4 3" xfId="22799"/>
    <cellStyle name="40% - Accent3 4 2 3 4 4 3 2" xfId="22800"/>
    <cellStyle name="40% - Accent3 4 2 3 4 4 4" xfId="22801"/>
    <cellStyle name="40% - Accent3 4 2 3 4 4 5" xfId="22802"/>
    <cellStyle name="40% - Accent3 4 2 3 4 5" xfId="22803"/>
    <cellStyle name="40% - Accent3 4 2 3 4 5 2" xfId="22804"/>
    <cellStyle name="40% - Accent3 4 2 3 4 5 3" xfId="22805"/>
    <cellStyle name="40% - Accent3 4 2 3 4 6" xfId="22806"/>
    <cellStyle name="40% - Accent3 4 2 3 4 6 2" xfId="22807"/>
    <cellStyle name="40% - Accent3 4 2 3 4 6 3" xfId="22808"/>
    <cellStyle name="40% - Accent3 4 2 3 4 7" xfId="22809"/>
    <cellStyle name="40% - Accent3 4 2 3 4 7 2" xfId="22810"/>
    <cellStyle name="40% - Accent3 4 2 3 4 8" xfId="22811"/>
    <cellStyle name="40% - Accent3 4 2 3 4 9" xfId="22812"/>
    <cellStyle name="40% - Accent3 4 2 3 5" xfId="22813"/>
    <cellStyle name="40% - Accent3 4 2 3 5 2" xfId="22814"/>
    <cellStyle name="40% - Accent3 4 2 3 5 2 2" xfId="22815"/>
    <cellStyle name="40% - Accent3 4 2 3 5 2 3" xfId="22816"/>
    <cellStyle name="40% - Accent3 4 2 3 5 3" xfId="22817"/>
    <cellStyle name="40% - Accent3 4 2 3 5 3 2" xfId="22818"/>
    <cellStyle name="40% - Accent3 4 2 3 5 3 3" xfId="22819"/>
    <cellStyle name="40% - Accent3 4 2 3 5 4" xfId="22820"/>
    <cellStyle name="40% - Accent3 4 2 3 5 4 2" xfId="22821"/>
    <cellStyle name="40% - Accent3 4 2 3 5 5" xfId="22822"/>
    <cellStyle name="40% - Accent3 4 2 3 5 6" xfId="22823"/>
    <cellStyle name="40% - Accent3 4 2 3 6" xfId="22824"/>
    <cellStyle name="40% - Accent3 4 2 3 6 2" xfId="22825"/>
    <cellStyle name="40% - Accent3 4 2 3 6 2 2" xfId="22826"/>
    <cellStyle name="40% - Accent3 4 2 3 6 2 3" xfId="22827"/>
    <cellStyle name="40% - Accent3 4 2 3 6 3" xfId="22828"/>
    <cellStyle name="40% - Accent3 4 2 3 6 3 2" xfId="22829"/>
    <cellStyle name="40% - Accent3 4 2 3 6 3 3" xfId="22830"/>
    <cellStyle name="40% - Accent3 4 2 3 6 4" xfId="22831"/>
    <cellStyle name="40% - Accent3 4 2 3 6 4 2" xfId="22832"/>
    <cellStyle name="40% - Accent3 4 2 3 6 5" xfId="22833"/>
    <cellStyle name="40% - Accent3 4 2 3 6 6" xfId="22834"/>
    <cellStyle name="40% - Accent3 4 2 3 7" xfId="22835"/>
    <cellStyle name="40% - Accent3 4 2 3 7 2" xfId="22836"/>
    <cellStyle name="40% - Accent3 4 2 3 7 2 2" xfId="22837"/>
    <cellStyle name="40% - Accent3 4 2 3 7 2 3" xfId="22838"/>
    <cellStyle name="40% - Accent3 4 2 3 7 3" xfId="22839"/>
    <cellStyle name="40% - Accent3 4 2 3 7 3 2" xfId="22840"/>
    <cellStyle name="40% - Accent3 4 2 3 7 4" xfId="22841"/>
    <cellStyle name="40% - Accent3 4 2 3 7 5" xfId="22842"/>
    <cellStyle name="40% - Accent3 4 2 3 8" xfId="22843"/>
    <cellStyle name="40% - Accent3 4 2 3 8 2" xfId="22844"/>
    <cellStyle name="40% - Accent3 4 2 3 8 3" xfId="22845"/>
    <cellStyle name="40% - Accent3 4 2 3 9" xfId="22846"/>
    <cellStyle name="40% - Accent3 4 2 3 9 2" xfId="22847"/>
    <cellStyle name="40% - Accent3 4 2 3 9 3" xfId="22848"/>
    <cellStyle name="40% - Accent3 4 2 4" xfId="2010"/>
    <cellStyle name="40% - Accent3 4 2 4 10" xfId="22849"/>
    <cellStyle name="40% - Accent3 4 2 4 2" xfId="2011"/>
    <cellStyle name="40% - Accent3 4 2 4 2 2" xfId="22850"/>
    <cellStyle name="40% - Accent3 4 2 4 2 2 2" xfId="22851"/>
    <cellStyle name="40% - Accent3 4 2 4 2 2 2 2" xfId="22852"/>
    <cellStyle name="40% - Accent3 4 2 4 2 2 2 3" xfId="22853"/>
    <cellStyle name="40% - Accent3 4 2 4 2 2 3" xfId="22854"/>
    <cellStyle name="40% - Accent3 4 2 4 2 2 3 2" xfId="22855"/>
    <cellStyle name="40% - Accent3 4 2 4 2 2 3 3" xfId="22856"/>
    <cellStyle name="40% - Accent3 4 2 4 2 2 4" xfId="22857"/>
    <cellStyle name="40% - Accent3 4 2 4 2 2 4 2" xfId="22858"/>
    <cellStyle name="40% - Accent3 4 2 4 2 2 5" xfId="22859"/>
    <cellStyle name="40% - Accent3 4 2 4 2 2 6" xfId="22860"/>
    <cellStyle name="40% - Accent3 4 2 4 2 3" xfId="22861"/>
    <cellStyle name="40% - Accent3 4 2 4 2 3 2" xfId="22862"/>
    <cellStyle name="40% - Accent3 4 2 4 2 3 2 2" xfId="22863"/>
    <cellStyle name="40% - Accent3 4 2 4 2 3 2 3" xfId="22864"/>
    <cellStyle name="40% - Accent3 4 2 4 2 3 3" xfId="22865"/>
    <cellStyle name="40% - Accent3 4 2 4 2 3 3 2" xfId="22866"/>
    <cellStyle name="40% - Accent3 4 2 4 2 3 3 3" xfId="22867"/>
    <cellStyle name="40% - Accent3 4 2 4 2 3 4" xfId="22868"/>
    <cellStyle name="40% - Accent3 4 2 4 2 3 4 2" xfId="22869"/>
    <cellStyle name="40% - Accent3 4 2 4 2 3 5" xfId="22870"/>
    <cellStyle name="40% - Accent3 4 2 4 2 3 6" xfId="22871"/>
    <cellStyle name="40% - Accent3 4 2 4 2 4" xfId="22872"/>
    <cellStyle name="40% - Accent3 4 2 4 2 4 2" xfId="22873"/>
    <cellStyle name="40% - Accent3 4 2 4 2 4 2 2" xfId="22874"/>
    <cellStyle name="40% - Accent3 4 2 4 2 4 2 3" xfId="22875"/>
    <cellStyle name="40% - Accent3 4 2 4 2 4 3" xfId="22876"/>
    <cellStyle name="40% - Accent3 4 2 4 2 4 3 2" xfId="22877"/>
    <cellStyle name="40% - Accent3 4 2 4 2 4 4" xfId="22878"/>
    <cellStyle name="40% - Accent3 4 2 4 2 4 5" xfId="22879"/>
    <cellStyle name="40% - Accent3 4 2 4 2 5" xfId="22880"/>
    <cellStyle name="40% - Accent3 4 2 4 2 5 2" xfId="22881"/>
    <cellStyle name="40% - Accent3 4 2 4 2 5 3" xfId="22882"/>
    <cellStyle name="40% - Accent3 4 2 4 2 6" xfId="22883"/>
    <cellStyle name="40% - Accent3 4 2 4 2 6 2" xfId="22884"/>
    <cellStyle name="40% - Accent3 4 2 4 2 6 3" xfId="22885"/>
    <cellStyle name="40% - Accent3 4 2 4 2 7" xfId="22886"/>
    <cellStyle name="40% - Accent3 4 2 4 2 7 2" xfId="22887"/>
    <cellStyle name="40% - Accent3 4 2 4 2 8" xfId="22888"/>
    <cellStyle name="40% - Accent3 4 2 4 2 9" xfId="22889"/>
    <cellStyle name="40% - Accent3 4 2 4 3" xfId="22890"/>
    <cellStyle name="40% - Accent3 4 2 4 3 2" xfId="22891"/>
    <cellStyle name="40% - Accent3 4 2 4 3 2 2" xfId="22892"/>
    <cellStyle name="40% - Accent3 4 2 4 3 2 3" xfId="22893"/>
    <cellStyle name="40% - Accent3 4 2 4 3 3" xfId="22894"/>
    <cellStyle name="40% - Accent3 4 2 4 3 3 2" xfId="22895"/>
    <cellStyle name="40% - Accent3 4 2 4 3 3 3" xfId="22896"/>
    <cellStyle name="40% - Accent3 4 2 4 3 4" xfId="22897"/>
    <cellStyle name="40% - Accent3 4 2 4 3 4 2" xfId="22898"/>
    <cellStyle name="40% - Accent3 4 2 4 3 5" xfId="22899"/>
    <cellStyle name="40% - Accent3 4 2 4 3 6" xfId="22900"/>
    <cellStyle name="40% - Accent3 4 2 4 4" xfId="22901"/>
    <cellStyle name="40% - Accent3 4 2 4 4 2" xfId="22902"/>
    <cellStyle name="40% - Accent3 4 2 4 4 2 2" xfId="22903"/>
    <cellStyle name="40% - Accent3 4 2 4 4 2 3" xfId="22904"/>
    <cellStyle name="40% - Accent3 4 2 4 4 3" xfId="22905"/>
    <cellStyle name="40% - Accent3 4 2 4 4 3 2" xfId="22906"/>
    <cellStyle name="40% - Accent3 4 2 4 4 3 3" xfId="22907"/>
    <cellStyle name="40% - Accent3 4 2 4 4 4" xfId="22908"/>
    <cellStyle name="40% - Accent3 4 2 4 4 4 2" xfId="22909"/>
    <cellStyle name="40% - Accent3 4 2 4 4 5" xfId="22910"/>
    <cellStyle name="40% - Accent3 4 2 4 4 6" xfId="22911"/>
    <cellStyle name="40% - Accent3 4 2 4 5" xfId="22912"/>
    <cellStyle name="40% - Accent3 4 2 4 5 2" xfId="22913"/>
    <cellStyle name="40% - Accent3 4 2 4 5 2 2" xfId="22914"/>
    <cellStyle name="40% - Accent3 4 2 4 5 2 3" xfId="22915"/>
    <cellStyle name="40% - Accent3 4 2 4 5 3" xfId="22916"/>
    <cellStyle name="40% - Accent3 4 2 4 5 3 2" xfId="22917"/>
    <cellStyle name="40% - Accent3 4 2 4 5 4" xfId="22918"/>
    <cellStyle name="40% - Accent3 4 2 4 5 5" xfId="22919"/>
    <cellStyle name="40% - Accent3 4 2 4 6" xfId="22920"/>
    <cellStyle name="40% - Accent3 4 2 4 6 2" xfId="22921"/>
    <cellStyle name="40% - Accent3 4 2 4 6 3" xfId="22922"/>
    <cellStyle name="40% - Accent3 4 2 4 7" xfId="22923"/>
    <cellStyle name="40% - Accent3 4 2 4 7 2" xfId="22924"/>
    <cellStyle name="40% - Accent3 4 2 4 7 3" xfId="22925"/>
    <cellStyle name="40% - Accent3 4 2 4 8" xfId="22926"/>
    <cellStyle name="40% - Accent3 4 2 4 8 2" xfId="22927"/>
    <cellStyle name="40% - Accent3 4 2 4 9" xfId="22928"/>
    <cellStyle name="40% - Accent3 4 2 5" xfId="2012"/>
    <cellStyle name="40% - Accent3 4 2 5 2" xfId="22929"/>
    <cellStyle name="40% - Accent3 4 2 5 2 2" xfId="22930"/>
    <cellStyle name="40% - Accent3 4 2 5 2 2 2" xfId="22931"/>
    <cellStyle name="40% - Accent3 4 2 5 2 2 3" xfId="22932"/>
    <cellStyle name="40% - Accent3 4 2 5 2 3" xfId="22933"/>
    <cellStyle name="40% - Accent3 4 2 5 2 3 2" xfId="22934"/>
    <cellStyle name="40% - Accent3 4 2 5 2 3 3" xfId="22935"/>
    <cellStyle name="40% - Accent3 4 2 5 2 4" xfId="22936"/>
    <cellStyle name="40% - Accent3 4 2 5 2 4 2" xfId="22937"/>
    <cellStyle name="40% - Accent3 4 2 5 2 5" xfId="22938"/>
    <cellStyle name="40% - Accent3 4 2 5 2 6" xfId="22939"/>
    <cellStyle name="40% - Accent3 4 2 5 3" xfId="22940"/>
    <cellStyle name="40% - Accent3 4 2 5 3 2" xfId="22941"/>
    <cellStyle name="40% - Accent3 4 2 5 3 2 2" xfId="22942"/>
    <cellStyle name="40% - Accent3 4 2 5 3 2 3" xfId="22943"/>
    <cellStyle name="40% - Accent3 4 2 5 3 3" xfId="22944"/>
    <cellStyle name="40% - Accent3 4 2 5 3 3 2" xfId="22945"/>
    <cellStyle name="40% - Accent3 4 2 5 3 3 3" xfId="22946"/>
    <cellStyle name="40% - Accent3 4 2 5 3 4" xfId="22947"/>
    <cellStyle name="40% - Accent3 4 2 5 3 4 2" xfId="22948"/>
    <cellStyle name="40% - Accent3 4 2 5 3 5" xfId="22949"/>
    <cellStyle name="40% - Accent3 4 2 5 3 6" xfId="22950"/>
    <cellStyle name="40% - Accent3 4 2 5 4" xfId="22951"/>
    <cellStyle name="40% - Accent3 4 2 5 4 2" xfId="22952"/>
    <cellStyle name="40% - Accent3 4 2 5 4 2 2" xfId="22953"/>
    <cellStyle name="40% - Accent3 4 2 5 4 2 3" xfId="22954"/>
    <cellStyle name="40% - Accent3 4 2 5 4 3" xfId="22955"/>
    <cellStyle name="40% - Accent3 4 2 5 4 3 2" xfId="22956"/>
    <cellStyle name="40% - Accent3 4 2 5 4 4" xfId="22957"/>
    <cellStyle name="40% - Accent3 4 2 5 4 5" xfId="22958"/>
    <cellStyle name="40% - Accent3 4 2 5 5" xfId="22959"/>
    <cellStyle name="40% - Accent3 4 2 5 5 2" xfId="22960"/>
    <cellStyle name="40% - Accent3 4 2 5 5 3" xfId="22961"/>
    <cellStyle name="40% - Accent3 4 2 5 6" xfId="22962"/>
    <cellStyle name="40% - Accent3 4 2 5 6 2" xfId="22963"/>
    <cellStyle name="40% - Accent3 4 2 5 6 3" xfId="22964"/>
    <cellStyle name="40% - Accent3 4 2 5 7" xfId="22965"/>
    <cellStyle name="40% - Accent3 4 2 5 7 2" xfId="22966"/>
    <cellStyle name="40% - Accent3 4 2 5 8" xfId="22967"/>
    <cellStyle name="40% - Accent3 4 2 5 9" xfId="22968"/>
    <cellStyle name="40% - Accent3 4 2 6" xfId="22969"/>
    <cellStyle name="40% - Accent3 4 2 6 2" xfId="22970"/>
    <cellStyle name="40% - Accent3 4 2 6 2 2" xfId="22971"/>
    <cellStyle name="40% - Accent3 4 2 6 2 2 2" xfId="22972"/>
    <cellStyle name="40% - Accent3 4 2 6 2 2 3" xfId="22973"/>
    <cellStyle name="40% - Accent3 4 2 6 2 3" xfId="22974"/>
    <cellStyle name="40% - Accent3 4 2 6 2 3 2" xfId="22975"/>
    <cellStyle name="40% - Accent3 4 2 6 2 3 3" xfId="22976"/>
    <cellStyle name="40% - Accent3 4 2 6 2 4" xfId="22977"/>
    <cellStyle name="40% - Accent3 4 2 6 2 4 2" xfId="22978"/>
    <cellStyle name="40% - Accent3 4 2 6 2 5" xfId="22979"/>
    <cellStyle name="40% - Accent3 4 2 6 2 6" xfId="22980"/>
    <cellStyle name="40% - Accent3 4 2 6 3" xfId="22981"/>
    <cellStyle name="40% - Accent3 4 2 6 3 2" xfId="22982"/>
    <cellStyle name="40% - Accent3 4 2 6 3 2 2" xfId="22983"/>
    <cellStyle name="40% - Accent3 4 2 6 3 2 3" xfId="22984"/>
    <cellStyle name="40% - Accent3 4 2 6 3 3" xfId="22985"/>
    <cellStyle name="40% - Accent3 4 2 6 3 3 2" xfId="22986"/>
    <cellStyle name="40% - Accent3 4 2 6 3 3 3" xfId="22987"/>
    <cellStyle name="40% - Accent3 4 2 6 3 4" xfId="22988"/>
    <cellStyle name="40% - Accent3 4 2 6 3 4 2" xfId="22989"/>
    <cellStyle name="40% - Accent3 4 2 6 3 5" xfId="22990"/>
    <cellStyle name="40% - Accent3 4 2 6 3 6" xfId="22991"/>
    <cellStyle name="40% - Accent3 4 2 6 4" xfId="22992"/>
    <cellStyle name="40% - Accent3 4 2 6 4 2" xfId="22993"/>
    <cellStyle name="40% - Accent3 4 2 6 4 2 2" xfId="22994"/>
    <cellStyle name="40% - Accent3 4 2 6 4 2 3" xfId="22995"/>
    <cellStyle name="40% - Accent3 4 2 6 4 3" xfId="22996"/>
    <cellStyle name="40% - Accent3 4 2 6 4 3 2" xfId="22997"/>
    <cellStyle name="40% - Accent3 4 2 6 4 4" xfId="22998"/>
    <cellStyle name="40% - Accent3 4 2 6 4 5" xfId="22999"/>
    <cellStyle name="40% - Accent3 4 2 6 5" xfId="23000"/>
    <cellStyle name="40% - Accent3 4 2 6 5 2" xfId="23001"/>
    <cellStyle name="40% - Accent3 4 2 6 5 3" xfId="23002"/>
    <cellStyle name="40% - Accent3 4 2 6 6" xfId="23003"/>
    <cellStyle name="40% - Accent3 4 2 6 6 2" xfId="23004"/>
    <cellStyle name="40% - Accent3 4 2 6 6 3" xfId="23005"/>
    <cellStyle name="40% - Accent3 4 2 6 7" xfId="23006"/>
    <cellStyle name="40% - Accent3 4 2 6 7 2" xfId="23007"/>
    <cellStyle name="40% - Accent3 4 2 6 8" xfId="23008"/>
    <cellStyle name="40% - Accent3 4 2 6 9" xfId="23009"/>
    <cellStyle name="40% - Accent3 4 2 7" xfId="23010"/>
    <cellStyle name="40% - Accent3 4 2 7 2" xfId="23011"/>
    <cellStyle name="40% - Accent3 4 2 7 2 2" xfId="23012"/>
    <cellStyle name="40% - Accent3 4 2 7 2 3" xfId="23013"/>
    <cellStyle name="40% - Accent3 4 2 7 3" xfId="23014"/>
    <cellStyle name="40% - Accent3 4 2 7 3 2" xfId="23015"/>
    <cellStyle name="40% - Accent3 4 2 7 3 3" xfId="23016"/>
    <cellStyle name="40% - Accent3 4 2 7 4" xfId="23017"/>
    <cellStyle name="40% - Accent3 4 2 7 4 2" xfId="23018"/>
    <cellStyle name="40% - Accent3 4 2 7 5" xfId="23019"/>
    <cellStyle name="40% - Accent3 4 2 7 6" xfId="23020"/>
    <cellStyle name="40% - Accent3 4 2 8" xfId="23021"/>
    <cellStyle name="40% - Accent3 4 2 8 2" xfId="23022"/>
    <cellStyle name="40% - Accent3 4 2 8 2 2" xfId="23023"/>
    <cellStyle name="40% - Accent3 4 2 8 2 3" xfId="23024"/>
    <cellStyle name="40% - Accent3 4 2 8 3" xfId="23025"/>
    <cellStyle name="40% - Accent3 4 2 8 3 2" xfId="23026"/>
    <cellStyle name="40% - Accent3 4 2 8 3 3" xfId="23027"/>
    <cellStyle name="40% - Accent3 4 2 8 4" xfId="23028"/>
    <cellStyle name="40% - Accent3 4 2 8 4 2" xfId="23029"/>
    <cellStyle name="40% - Accent3 4 2 8 5" xfId="23030"/>
    <cellStyle name="40% - Accent3 4 2 8 6" xfId="23031"/>
    <cellStyle name="40% - Accent3 4 2 9" xfId="23032"/>
    <cellStyle name="40% - Accent3 4 2 9 2" xfId="23033"/>
    <cellStyle name="40% - Accent3 4 2 9 2 2" xfId="23034"/>
    <cellStyle name="40% - Accent3 4 2 9 2 3" xfId="23035"/>
    <cellStyle name="40% - Accent3 4 2 9 3" xfId="23036"/>
    <cellStyle name="40% - Accent3 4 2 9 3 2" xfId="23037"/>
    <cellStyle name="40% - Accent3 4 2 9 4" xfId="23038"/>
    <cellStyle name="40% - Accent3 4 2 9 5" xfId="23039"/>
    <cellStyle name="40% - Accent3 4 3" xfId="2013"/>
    <cellStyle name="40% - Accent3 4 3 10" xfId="23040"/>
    <cellStyle name="40% - Accent3 4 3 10 2" xfId="23041"/>
    <cellStyle name="40% - Accent3 4 3 10 3" xfId="23042"/>
    <cellStyle name="40% - Accent3 4 3 11" xfId="23043"/>
    <cellStyle name="40% - Accent3 4 3 11 2" xfId="23044"/>
    <cellStyle name="40% - Accent3 4 3 12" xfId="23045"/>
    <cellStyle name="40% - Accent3 4 3 13" xfId="23046"/>
    <cellStyle name="40% - Accent3 4 3 14" xfId="23047"/>
    <cellStyle name="40% - Accent3 4 3 2" xfId="2014"/>
    <cellStyle name="40% - Accent3 4 3 2 10" xfId="23048"/>
    <cellStyle name="40% - Accent3 4 3 2 10 2" xfId="23049"/>
    <cellStyle name="40% - Accent3 4 3 2 11" xfId="23050"/>
    <cellStyle name="40% - Accent3 4 3 2 12" xfId="23051"/>
    <cellStyle name="40% - Accent3 4 3 2 2" xfId="2015"/>
    <cellStyle name="40% - Accent3 4 3 2 2 10" xfId="23052"/>
    <cellStyle name="40% - Accent3 4 3 2 2 2" xfId="2016"/>
    <cellStyle name="40% - Accent3 4 3 2 2 2 2" xfId="23053"/>
    <cellStyle name="40% - Accent3 4 3 2 2 2 2 2" xfId="23054"/>
    <cellStyle name="40% - Accent3 4 3 2 2 2 2 2 2" xfId="23055"/>
    <cellStyle name="40% - Accent3 4 3 2 2 2 2 2 3" xfId="23056"/>
    <cellStyle name="40% - Accent3 4 3 2 2 2 2 3" xfId="23057"/>
    <cellStyle name="40% - Accent3 4 3 2 2 2 2 3 2" xfId="23058"/>
    <cellStyle name="40% - Accent3 4 3 2 2 2 2 3 3" xfId="23059"/>
    <cellStyle name="40% - Accent3 4 3 2 2 2 2 4" xfId="23060"/>
    <cellStyle name="40% - Accent3 4 3 2 2 2 2 4 2" xfId="23061"/>
    <cellStyle name="40% - Accent3 4 3 2 2 2 2 5" xfId="23062"/>
    <cellStyle name="40% - Accent3 4 3 2 2 2 2 6" xfId="23063"/>
    <cellStyle name="40% - Accent3 4 3 2 2 2 3" xfId="23064"/>
    <cellStyle name="40% - Accent3 4 3 2 2 2 3 2" xfId="23065"/>
    <cellStyle name="40% - Accent3 4 3 2 2 2 3 2 2" xfId="23066"/>
    <cellStyle name="40% - Accent3 4 3 2 2 2 3 2 3" xfId="23067"/>
    <cellStyle name="40% - Accent3 4 3 2 2 2 3 3" xfId="23068"/>
    <cellStyle name="40% - Accent3 4 3 2 2 2 3 3 2" xfId="23069"/>
    <cellStyle name="40% - Accent3 4 3 2 2 2 3 3 3" xfId="23070"/>
    <cellStyle name="40% - Accent3 4 3 2 2 2 3 4" xfId="23071"/>
    <cellStyle name="40% - Accent3 4 3 2 2 2 3 4 2" xfId="23072"/>
    <cellStyle name="40% - Accent3 4 3 2 2 2 3 5" xfId="23073"/>
    <cellStyle name="40% - Accent3 4 3 2 2 2 3 6" xfId="23074"/>
    <cellStyle name="40% - Accent3 4 3 2 2 2 4" xfId="23075"/>
    <cellStyle name="40% - Accent3 4 3 2 2 2 4 2" xfId="23076"/>
    <cellStyle name="40% - Accent3 4 3 2 2 2 4 2 2" xfId="23077"/>
    <cellStyle name="40% - Accent3 4 3 2 2 2 4 2 3" xfId="23078"/>
    <cellStyle name="40% - Accent3 4 3 2 2 2 4 3" xfId="23079"/>
    <cellStyle name="40% - Accent3 4 3 2 2 2 4 3 2" xfId="23080"/>
    <cellStyle name="40% - Accent3 4 3 2 2 2 4 4" xfId="23081"/>
    <cellStyle name="40% - Accent3 4 3 2 2 2 4 5" xfId="23082"/>
    <cellStyle name="40% - Accent3 4 3 2 2 2 5" xfId="23083"/>
    <cellStyle name="40% - Accent3 4 3 2 2 2 5 2" xfId="23084"/>
    <cellStyle name="40% - Accent3 4 3 2 2 2 5 3" xfId="23085"/>
    <cellStyle name="40% - Accent3 4 3 2 2 2 6" xfId="23086"/>
    <cellStyle name="40% - Accent3 4 3 2 2 2 6 2" xfId="23087"/>
    <cellStyle name="40% - Accent3 4 3 2 2 2 6 3" xfId="23088"/>
    <cellStyle name="40% - Accent3 4 3 2 2 2 7" xfId="23089"/>
    <cellStyle name="40% - Accent3 4 3 2 2 2 7 2" xfId="23090"/>
    <cellStyle name="40% - Accent3 4 3 2 2 2 8" xfId="23091"/>
    <cellStyle name="40% - Accent3 4 3 2 2 2 9" xfId="23092"/>
    <cellStyle name="40% - Accent3 4 3 2 2 3" xfId="23093"/>
    <cellStyle name="40% - Accent3 4 3 2 2 3 2" xfId="23094"/>
    <cellStyle name="40% - Accent3 4 3 2 2 3 2 2" xfId="23095"/>
    <cellStyle name="40% - Accent3 4 3 2 2 3 2 3" xfId="23096"/>
    <cellStyle name="40% - Accent3 4 3 2 2 3 3" xfId="23097"/>
    <cellStyle name="40% - Accent3 4 3 2 2 3 3 2" xfId="23098"/>
    <cellStyle name="40% - Accent3 4 3 2 2 3 3 3" xfId="23099"/>
    <cellStyle name="40% - Accent3 4 3 2 2 3 4" xfId="23100"/>
    <cellStyle name="40% - Accent3 4 3 2 2 3 4 2" xfId="23101"/>
    <cellStyle name="40% - Accent3 4 3 2 2 3 5" xfId="23102"/>
    <cellStyle name="40% - Accent3 4 3 2 2 3 6" xfId="23103"/>
    <cellStyle name="40% - Accent3 4 3 2 2 4" xfId="23104"/>
    <cellStyle name="40% - Accent3 4 3 2 2 4 2" xfId="23105"/>
    <cellStyle name="40% - Accent3 4 3 2 2 4 2 2" xfId="23106"/>
    <cellStyle name="40% - Accent3 4 3 2 2 4 2 3" xfId="23107"/>
    <cellStyle name="40% - Accent3 4 3 2 2 4 3" xfId="23108"/>
    <cellStyle name="40% - Accent3 4 3 2 2 4 3 2" xfId="23109"/>
    <cellStyle name="40% - Accent3 4 3 2 2 4 3 3" xfId="23110"/>
    <cellStyle name="40% - Accent3 4 3 2 2 4 4" xfId="23111"/>
    <cellStyle name="40% - Accent3 4 3 2 2 4 4 2" xfId="23112"/>
    <cellStyle name="40% - Accent3 4 3 2 2 4 5" xfId="23113"/>
    <cellStyle name="40% - Accent3 4 3 2 2 4 6" xfId="23114"/>
    <cellStyle name="40% - Accent3 4 3 2 2 5" xfId="23115"/>
    <cellStyle name="40% - Accent3 4 3 2 2 5 2" xfId="23116"/>
    <cellStyle name="40% - Accent3 4 3 2 2 5 2 2" xfId="23117"/>
    <cellStyle name="40% - Accent3 4 3 2 2 5 2 3" xfId="23118"/>
    <cellStyle name="40% - Accent3 4 3 2 2 5 3" xfId="23119"/>
    <cellStyle name="40% - Accent3 4 3 2 2 5 3 2" xfId="23120"/>
    <cellStyle name="40% - Accent3 4 3 2 2 5 4" xfId="23121"/>
    <cellStyle name="40% - Accent3 4 3 2 2 5 5" xfId="23122"/>
    <cellStyle name="40% - Accent3 4 3 2 2 6" xfId="23123"/>
    <cellStyle name="40% - Accent3 4 3 2 2 6 2" xfId="23124"/>
    <cellStyle name="40% - Accent3 4 3 2 2 6 3" xfId="23125"/>
    <cellStyle name="40% - Accent3 4 3 2 2 7" xfId="23126"/>
    <cellStyle name="40% - Accent3 4 3 2 2 7 2" xfId="23127"/>
    <cellStyle name="40% - Accent3 4 3 2 2 7 3" xfId="23128"/>
    <cellStyle name="40% - Accent3 4 3 2 2 8" xfId="23129"/>
    <cellStyle name="40% - Accent3 4 3 2 2 8 2" xfId="23130"/>
    <cellStyle name="40% - Accent3 4 3 2 2 9" xfId="23131"/>
    <cellStyle name="40% - Accent3 4 3 2 3" xfId="2017"/>
    <cellStyle name="40% - Accent3 4 3 2 3 2" xfId="23132"/>
    <cellStyle name="40% - Accent3 4 3 2 3 2 2" xfId="23133"/>
    <cellStyle name="40% - Accent3 4 3 2 3 2 2 2" xfId="23134"/>
    <cellStyle name="40% - Accent3 4 3 2 3 2 2 3" xfId="23135"/>
    <cellStyle name="40% - Accent3 4 3 2 3 2 3" xfId="23136"/>
    <cellStyle name="40% - Accent3 4 3 2 3 2 3 2" xfId="23137"/>
    <cellStyle name="40% - Accent3 4 3 2 3 2 3 3" xfId="23138"/>
    <cellStyle name="40% - Accent3 4 3 2 3 2 4" xfId="23139"/>
    <cellStyle name="40% - Accent3 4 3 2 3 2 4 2" xfId="23140"/>
    <cellStyle name="40% - Accent3 4 3 2 3 2 5" xfId="23141"/>
    <cellStyle name="40% - Accent3 4 3 2 3 2 6" xfId="23142"/>
    <cellStyle name="40% - Accent3 4 3 2 3 3" xfId="23143"/>
    <cellStyle name="40% - Accent3 4 3 2 3 3 2" xfId="23144"/>
    <cellStyle name="40% - Accent3 4 3 2 3 3 2 2" xfId="23145"/>
    <cellStyle name="40% - Accent3 4 3 2 3 3 2 3" xfId="23146"/>
    <cellStyle name="40% - Accent3 4 3 2 3 3 3" xfId="23147"/>
    <cellStyle name="40% - Accent3 4 3 2 3 3 3 2" xfId="23148"/>
    <cellStyle name="40% - Accent3 4 3 2 3 3 3 3" xfId="23149"/>
    <cellStyle name="40% - Accent3 4 3 2 3 3 4" xfId="23150"/>
    <cellStyle name="40% - Accent3 4 3 2 3 3 4 2" xfId="23151"/>
    <cellStyle name="40% - Accent3 4 3 2 3 3 5" xfId="23152"/>
    <cellStyle name="40% - Accent3 4 3 2 3 3 6" xfId="23153"/>
    <cellStyle name="40% - Accent3 4 3 2 3 4" xfId="23154"/>
    <cellStyle name="40% - Accent3 4 3 2 3 4 2" xfId="23155"/>
    <cellStyle name="40% - Accent3 4 3 2 3 4 2 2" xfId="23156"/>
    <cellStyle name="40% - Accent3 4 3 2 3 4 2 3" xfId="23157"/>
    <cellStyle name="40% - Accent3 4 3 2 3 4 3" xfId="23158"/>
    <cellStyle name="40% - Accent3 4 3 2 3 4 3 2" xfId="23159"/>
    <cellStyle name="40% - Accent3 4 3 2 3 4 4" xfId="23160"/>
    <cellStyle name="40% - Accent3 4 3 2 3 4 5" xfId="23161"/>
    <cellStyle name="40% - Accent3 4 3 2 3 5" xfId="23162"/>
    <cellStyle name="40% - Accent3 4 3 2 3 5 2" xfId="23163"/>
    <cellStyle name="40% - Accent3 4 3 2 3 5 3" xfId="23164"/>
    <cellStyle name="40% - Accent3 4 3 2 3 6" xfId="23165"/>
    <cellStyle name="40% - Accent3 4 3 2 3 6 2" xfId="23166"/>
    <cellStyle name="40% - Accent3 4 3 2 3 6 3" xfId="23167"/>
    <cellStyle name="40% - Accent3 4 3 2 3 7" xfId="23168"/>
    <cellStyle name="40% - Accent3 4 3 2 3 7 2" xfId="23169"/>
    <cellStyle name="40% - Accent3 4 3 2 3 8" xfId="23170"/>
    <cellStyle name="40% - Accent3 4 3 2 3 9" xfId="23171"/>
    <cellStyle name="40% - Accent3 4 3 2 4" xfId="23172"/>
    <cellStyle name="40% - Accent3 4 3 2 4 2" xfId="23173"/>
    <cellStyle name="40% - Accent3 4 3 2 4 2 2" xfId="23174"/>
    <cellStyle name="40% - Accent3 4 3 2 4 2 2 2" xfId="23175"/>
    <cellStyle name="40% - Accent3 4 3 2 4 2 2 3" xfId="23176"/>
    <cellStyle name="40% - Accent3 4 3 2 4 2 3" xfId="23177"/>
    <cellStyle name="40% - Accent3 4 3 2 4 2 3 2" xfId="23178"/>
    <cellStyle name="40% - Accent3 4 3 2 4 2 3 3" xfId="23179"/>
    <cellStyle name="40% - Accent3 4 3 2 4 2 4" xfId="23180"/>
    <cellStyle name="40% - Accent3 4 3 2 4 2 4 2" xfId="23181"/>
    <cellStyle name="40% - Accent3 4 3 2 4 2 5" xfId="23182"/>
    <cellStyle name="40% - Accent3 4 3 2 4 2 6" xfId="23183"/>
    <cellStyle name="40% - Accent3 4 3 2 4 3" xfId="23184"/>
    <cellStyle name="40% - Accent3 4 3 2 4 3 2" xfId="23185"/>
    <cellStyle name="40% - Accent3 4 3 2 4 3 2 2" xfId="23186"/>
    <cellStyle name="40% - Accent3 4 3 2 4 3 2 3" xfId="23187"/>
    <cellStyle name="40% - Accent3 4 3 2 4 3 3" xfId="23188"/>
    <cellStyle name="40% - Accent3 4 3 2 4 3 3 2" xfId="23189"/>
    <cellStyle name="40% - Accent3 4 3 2 4 3 3 3" xfId="23190"/>
    <cellStyle name="40% - Accent3 4 3 2 4 3 4" xfId="23191"/>
    <cellStyle name="40% - Accent3 4 3 2 4 3 4 2" xfId="23192"/>
    <cellStyle name="40% - Accent3 4 3 2 4 3 5" xfId="23193"/>
    <cellStyle name="40% - Accent3 4 3 2 4 3 6" xfId="23194"/>
    <cellStyle name="40% - Accent3 4 3 2 4 4" xfId="23195"/>
    <cellStyle name="40% - Accent3 4 3 2 4 4 2" xfId="23196"/>
    <cellStyle name="40% - Accent3 4 3 2 4 4 2 2" xfId="23197"/>
    <cellStyle name="40% - Accent3 4 3 2 4 4 2 3" xfId="23198"/>
    <cellStyle name="40% - Accent3 4 3 2 4 4 3" xfId="23199"/>
    <cellStyle name="40% - Accent3 4 3 2 4 4 3 2" xfId="23200"/>
    <cellStyle name="40% - Accent3 4 3 2 4 4 4" xfId="23201"/>
    <cellStyle name="40% - Accent3 4 3 2 4 4 5" xfId="23202"/>
    <cellStyle name="40% - Accent3 4 3 2 4 5" xfId="23203"/>
    <cellStyle name="40% - Accent3 4 3 2 4 5 2" xfId="23204"/>
    <cellStyle name="40% - Accent3 4 3 2 4 5 3" xfId="23205"/>
    <cellStyle name="40% - Accent3 4 3 2 4 6" xfId="23206"/>
    <cellStyle name="40% - Accent3 4 3 2 4 6 2" xfId="23207"/>
    <cellStyle name="40% - Accent3 4 3 2 4 6 3" xfId="23208"/>
    <cellStyle name="40% - Accent3 4 3 2 4 7" xfId="23209"/>
    <cellStyle name="40% - Accent3 4 3 2 4 7 2" xfId="23210"/>
    <cellStyle name="40% - Accent3 4 3 2 4 8" xfId="23211"/>
    <cellStyle name="40% - Accent3 4 3 2 4 9" xfId="23212"/>
    <cellStyle name="40% - Accent3 4 3 2 5" xfId="23213"/>
    <cellStyle name="40% - Accent3 4 3 2 5 2" xfId="23214"/>
    <cellStyle name="40% - Accent3 4 3 2 5 2 2" xfId="23215"/>
    <cellStyle name="40% - Accent3 4 3 2 5 2 3" xfId="23216"/>
    <cellStyle name="40% - Accent3 4 3 2 5 3" xfId="23217"/>
    <cellStyle name="40% - Accent3 4 3 2 5 3 2" xfId="23218"/>
    <cellStyle name="40% - Accent3 4 3 2 5 3 3" xfId="23219"/>
    <cellStyle name="40% - Accent3 4 3 2 5 4" xfId="23220"/>
    <cellStyle name="40% - Accent3 4 3 2 5 4 2" xfId="23221"/>
    <cellStyle name="40% - Accent3 4 3 2 5 5" xfId="23222"/>
    <cellStyle name="40% - Accent3 4 3 2 5 6" xfId="23223"/>
    <cellStyle name="40% - Accent3 4 3 2 6" xfId="23224"/>
    <cellStyle name="40% - Accent3 4 3 2 6 2" xfId="23225"/>
    <cellStyle name="40% - Accent3 4 3 2 6 2 2" xfId="23226"/>
    <cellStyle name="40% - Accent3 4 3 2 6 2 3" xfId="23227"/>
    <cellStyle name="40% - Accent3 4 3 2 6 3" xfId="23228"/>
    <cellStyle name="40% - Accent3 4 3 2 6 3 2" xfId="23229"/>
    <cellStyle name="40% - Accent3 4 3 2 6 3 3" xfId="23230"/>
    <cellStyle name="40% - Accent3 4 3 2 6 4" xfId="23231"/>
    <cellStyle name="40% - Accent3 4 3 2 6 4 2" xfId="23232"/>
    <cellStyle name="40% - Accent3 4 3 2 6 5" xfId="23233"/>
    <cellStyle name="40% - Accent3 4 3 2 6 6" xfId="23234"/>
    <cellStyle name="40% - Accent3 4 3 2 7" xfId="23235"/>
    <cellStyle name="40% - Accent3 4 3 2 7 2" xfId="23236"/>
    <cellStyle name="40% - Accent3 4 3 2 7 2 2" xfId="23237"/>
    <cellStyle name="40% - Accent3 4 3 2 7 2 3" xfId="23238"/>
    <cellStyle name="40% - Accent3 4 3 2 7 3" xfId="23239"/>
    <cellStyle name="40% - Accent3 4 3 2 7 3 2" xfId="23240"/>
    <cellStyle name="40% - Accent3 4 3 2 7 4" xfId="23241"/>
    <cellStyle name="40% - Accent3 4 3 2 7 5" xfId="23242"/>
    <cellStyle name="40% - Accent3 4 3 2 8" xfId="23243"/>
    <cellStyle name="40% - Accent3 4 3 2 8 2" xfId="23244"/>
    <cellStyle name="40% - Accent3 4 3 2 8 3" xfId="23245"/>
    <cellStyle name="40% - Accent3 4 3 2 9" xfId="23246"/>
    <cellStyle name="40% - Accent3 4 3 2 9 2" xfId="23247"/>
    <cellStyle name="40% - Accent3 4 3 2 9 3" xfId="23248"/>
    <cellStyle name="40% - Accent3 4 3 3" xfId="2018"/>
    <cellStyle name="40% - Accent3 4 3 3 10" xfId="23249"/>
    <cellStyle name="40% - Accent3 4 3 3 2" xfId="2019"/>
    <cellStyle name="40% - Accent3 4 3 3 2 2" xfId="23250"/>
    <cellStyle name="40% - Accent3 4 3 3 2 2 2" xfId="23251"/>
    <cellStyle name="40% - Accent3 4 3 3 2 2 2 2" xfId="23252"/>
    <cellStyle name="40% - Accent3 4 3 3 2 2 2 3" xfId="23253"/>
    <cellStyle name="40% - Accent3 4 3 3 2 2 3" xfId="23254"/>
    <cellStyle name="40% - Accent3 4 3 3 2 2 3 2" xfId="23255"/>
    <cellStyle name="40% - Accent3 4 3 3 2 2 3 3" xfId="23256"/>
    <cellStyle name="40% - Accent3 4 3 3 2 2 4" xfId="23257"/>
    <cellStyle name="40% - Accent3 4 3 3 2 2 4 2" xfId="23258"/>
    <cellStyle name="40% - Accent3 4 3 3 2 2 5" xfId="23259"/>
    <cellStyle name="40% - Accent3 4 3 3 2 2 6" xfId="23260"/>
    <cellStyle name="40% - Accent3 4 3 3 2 3" xfId="23261"/>
    <cellStyle name="40% - Accent3 4 3 3 2 3 2" xfId="23262"/>
    <cellStyle name="40% - Accent3 4 3 3 2 3 2 2" xfId="23263"/>
    <cellStyle name="40% - Accent3 4 3 3 2 3 2 3" xfId="23264"/>
    <cellStyle name="40% - Accent3 4 3 3 2 3 3" xfId="23265"/>
    <cellStyle name="40% - Accent3 4 3 3 2 3 3 2" xfId="23266"/>
    <cellStyle name="40% - Accent3 4 3 3 2 3 3 3" xfId="23267"/>
    <cellStyle name="40% - Accent3 4 3 3 2 3 4" xfId="23268"/>
    <cellStyle name="40% - Accent3 4 3 3 2 3 4 2" xfId="23269"/>
    <cellStyle name="40% - Accent3 4 3 3 2 3 5" xfId="23270"/>
    <cellStyle name="40% - Accent3 4 3 3 2 3 6" xfId="23271"/>
    <cellStyle name="40% - Accent3 4 3 3 2 4" xfId="23272"/>
    <cellStyle name="40% - Accent3 4 3 3 2 4 2" xfId="23273"/>
    <cellStyle name="40% - Accent3 4 3 3 2 4 2 2" xfId="23274"/>
    <cellStyle name="40% - Accent3 4 3 3 2 4 2 3" xfId="23275"/>
    <cellStyle name="40% - Accent3 4 3 3 2 4 3" xfId="23276"/>
    <cellStyle name="40% - Accent3 4 3 3 2 4 3 2" xfId="23277"/>
    <cellStyle name="40% - Accent3 4 3 3 2 4 4" xfId="23278"/>
    <cellStyle name="40% - Accent3 4 3 3 2 4 5" xfId="23279"/>
    <cellStyle name="40% - Accent3 4 3 3 2 5" xfId="23280"/>
    <cellStyle name="40% - Accent3 4 3 3 2 5 2" xfId="23281"/>
    <cellStyle name="40% - Accent3 4 3 3 2 5 3" xfId="23282"/>
    <cellStyle name="40% - Accent3 4 3 3 2 6" xfId="23283"/>
    <cellStyle name="40% - Accent3 4 3 3 2 6 2" xfId="23284"/>
    <cellStyle name="40% - Accent3 4 3 3 2 6 3" xfId="23285"/>
    <cellStyle name="40% - Accent3 4 3 3 2 7" xfId="23286"/>
    <cellStyle name="40% - Accent3 4 3 3 2 7 2" xfId="23287"/>
    <cellStyle name="40% - Accent3 4 3 3 2 8" xfId="23288"/>
    <cellStyle name="40% - Accent3 4 3 3 2 9" xfId="23289"/>
    <cellStyle name="40% - Accent3 4 3 3 3" xfId="23290"/>
    <cellStyle name="40% - Accent3 4 3 3 3 2" xfId="23291"/>
    <cellStyle name="40% - Accent3 4 3 3 3 2 2" xfId="23292"/>
    <cellStyle name="40% - Accent3 4 3 3 3 2 3" xfId="23293"/>
    <cellStyle name="40% - Accent3 4 3 3 3 3" xfId="23294"/>
    <cellStyle name="40% - Accent3 4 3 3 3 3 2" xfId="23295"/>
    <cellStyle name="40% - Accent3 4 3 3 3 3 3" xfId="23296"/>
    <cellStyle name="40% - Accent3 4 3 3 3 4" xfId="23297"/>
    <cellStyle name="40% - Accent3 4 3 3 3 4 2" xfId="23298"/>
    <cellStyle name="40% - Accent3 4 3 3 3 5" xfId="23299"/>
    <cellStyle name="40% - Accent3 4 3 3 3 6" xfId="23300"/>
    <cellStyle name="40% - Accent3 4 3 3 4" xfId="23301"/>
    <cellStyle name="40% - Accent3 4 3 3 4 2" xfId="23302"/>
    <cellStyle name="40% - Accent3 4 3 3 4 2 2" xfId="23303"/>
    <cellStyle name="40% - Accent3 4 3 3 4 2 3" xfId="23304"/>
    <cellStyle name="40% - Accent3 4 3 3 4 3" xfId="23305"/>
    <cellStyle name="40% - Accent3 4 3 3 4 3 2" xfId="23306"/>
    <cellStyle name="40% - Accent3 4 3 3 4 3 3" xfId="23307"/>
    <cellStyle name="40% - Accent3 4 3 3 4 4" xfId="23308"/>
    <cellStyle name="40% - Accent3 4 3 3 4 4 2" xfId="23309"/>
    <cellStyle name="40% - Accent3 4 3 3 4 5" xfId="23310"/>
    <cellStyle name="40% - Accent3 4 3 3 4 6" xfId="23311"/>
    <cellStyle name="40% - Accent3 4 3 3 5" xfId="23312"/>
    <cellStyle name="40% - Accent3 4 3 3 5 2" xfId="23313"/>
    <cellStyle name="40% - Accent3 4 3 3 5 2 2" xfId="23314"/>
    <cellStyle name="40% - Accent3 4 3 3 5 2 3" xfId="23315"/>
    <cellStyle name="40% - Accent3 4 3 3 5 3" xfId="23316"/>
    <cellStyle name="40% - Accent3 4 3 3 5 3 2" xfId="23317"/>
    <cellStyle name="40% - Accent3 4 3 3 5 4" xfId="23318"/>
    <cellStyle name="40% - Accent3 4 3 3 5 5" xfId="23319"/>
    <cellStyle name="40% - Accent3 4 3 3 6" xfId="23320"/>
    <cellStyle name="40% - Accent3 4 3 3 6 2" xfId="23321"/>
    <cellStyle name="40% - Accent3 4 3 3 6 3" xfId="23322"/>
    <cellStyle name="40% - Accent3 4 3 3 7" xfId="23323"/>
    <cellStyle name="40% - Accent3 4 3 3 7 2" xfId="23324"/>
    <cellStyle name="40% - Accent3 4 3 3 7 3" xfId="23325"/>
    <cellStyle name="40% - Accent3 4 3 3 8" xfId="23326"/>
    <cellStyle name="40% - Accent3 4 3 3 8 2" xfId="23327"/>
    <cellStyle name="40% - Accent3 4 3 3 9" xfId="23328"/>
    <cellStyle name="40% - Accent3 4 3 4" xfId="2020"/>
    <cellStyle name="40% - Accent3 4 3 4 2" xfId="23329"/>
    <cellStyle name="40% - Accent3 4 3 4 2 2" xfId="23330"/>
    <cellStyle name="40% - Accent3 4 3 4 2 2 2" xfId="23331"/>
    <cellStyle name="40% - Accent3 4 3 4 2 2 3" xfId="23332"/>
    <cellStyle name="40% - Accent3 4 3 4 2 3" xfId="23333"/>
    <cellStyle name="40% - Accent3 4 3 4 2 3 2" xfId="23334"/>
    <cellStyle name="40% - Accent3 4 3 4 2 3 3" xfId="23335"/>
    <cellStyle name="40% - Accent3 4 3 4 2 4" xfId="23336"/>
    <cellStyle name="40% - Accent3 4 3 4 2 4 2" xfId="23337"/>
    <cellStyle name="40% - Accent3 4 3 4 2 5" xfId="23338"/>
    <cellStyle name="40% - Accent3 4 3 4 2 6" xfId="23339"/>
    <cellStyle name="40% - Accent3 4 3 4 3" xfId="23340"/>
    <cellStyle name="40% - Accent3 4 3 4 3 2" xfId="23341"/>
    <cellStyle name="40% - Accent3 4 3 4 3 2 2" xfId="23342"/>
    <cellStyle name="40% - Accent3 4 3 4 3 2 3" xfId="23343"/>
    <cellStyle name="40% - Accent3 4 3 4 3 3" xfId="23344"/>
    <cellStyle name="40% - Accent3 4 3 4 3 3 2" xfId="23345"/>
    <cellStyle name="40% - Accent3 4 3 4 3 3 3" xfId="23346"/>
    <cellStyle name="40% - Accent3 4 3 4 3 4" xfId="23347"/>
    <cellStyle name="40% - Accent3 4 3 4 3 4 2" xfId="23348"/>
    <cellStyle name="40% - Accent3 4 3 4 3 5" xfId="23349"/>
    <cellStyle name="40% - Accent3 4 3 4 3 6" xfId="23350"/>
    <cellStyle name="40% - Accent3 4 3 4 4" xfId="23351"/>
    <cellStyle name="40% - Accent3 4 3 4 4 2" xfId="23352"/>
    <cellStyle name="40% - Accent3 4 3 4 4 2 2" xfId="23353"/>
    <cellStyle name="40% - Accent3 4 3 4 4 2 3" xfId="23354"/>
    <cellStyle name="40% - Accent3 4 3 4 4 3" xfId="23355"/>
    <cellStyle name="40% - Accent3 4 3 4 4 3 2" xfId="23356"/>
    <cellStyle name="40% - Accent3 4 3 4 4 4" xfId="23357"/>
    <cellStyle name="40% - Accent3 4 3 4 4 5" xfId="23358"/>
    <cellStyle name="40% - Accent3 4 3 4 5" xfId="23359"/>
    <cellStyle name="40% - Accent3 4 3 4 5 2" xfId="23360"/>
    <cellStyle name="40% - Accent3 4 3 4 5 3" xfId="23361"/>
    <cellStyle name="40% - Accent3 4 3 4 6" xfId="23362"/>
    <cellStyle name="40% - Accent3 4 3 4 6 2" xfId="23363"/>
    <cellStyle name="40% - Accent3 4 3 4 6 3" xfId="23364"/>
    <cellStyle name="40% - Accent3 4 3 4 7" xfId="23365"/>
    <cellStyle name="40% - Accent3 4 3 4 7 2" xfId="23366"/>
    <cellStyle name="40% - Accent3 4 3 4 8" xfId="23367"/>
    <cellStyle name="40% - Accent3 4 3 4 9" xfId="23368"/>
    <cellStyle name="40% - Accent3 4 3 5" xfId="23369"/>
    <cellStyle name="40% - Accent3 4 3 5 2" xfId="23370"/>
    <cellStyle name="40% - Accent3 4 3 5 2 2" xfId="23371"/>
    <cellStyle name="40% - Accent3 4 3 5 2 2 2" xfId="23372"/>
    <cellStyle name="40% - Accent3 4 3 5 2 2 3" xfId="23373"/>
    <cellStyle name="40% - Accent3 4 3 5 2 3" xfId="23374"/>
    <cellStyle name="40% - Accent3 4 3 5 2 3 2" xfId="23375"/>
    <cellStyle name="40% - Accent3 4 3 5 2 3 3" xfId="23376"/>
    <cellStyle name="40% - Accent3 4 3 5 2 4" xfId="23377"/>
    <cellStyle name="40% - Accent3 4 3 5 2 4 2" xfId="23378"/>
    <cellStyle name="40% - Accent3 4 3 5 2 5" xfId="23379"/>
    <cellStyle name="40% - Accent3 4 3 5 2 6" xfId="23380"/>
    <cellStyle name="40% - Accent3 4 3 5 3" xfId="23381"/>
    <cellStyle name="40% - Accent3 4 3 5 3 2" xfId="23382"/>
    <cellStyle name="40% - Accent3 4 3 5 3 2 2" xfId="23383"/>
    <cellStyle name="40% - Accent3 4 3 5 3 2 3" xfId="23384"/>
    <cellStyle name="40% - Accent3 4 3 5 3 3" xfId="23385"/>
    <cellStyle name="40% - Accent3 4 3 5 3 3 2" xfId="23386"/>
    <cellStyle name="40% - Accent3 4 3 5 3 3 3" xfId="23387"/>
    <cellStyle name="40% - Accent3 4 3 5 3 4" xfId="23388"/>
    <cellStyle name="40% - Accent3 4 3 5 3 4 2" xfId="23389"/>
    <cellStyle name="40% - Accent3 4 3 5 3 5" xfId="23390"/>
    <cellStyle name="40% - Accent3 4 3 5 3 6" xfId="23391"/>
    <cellStyle name="40% - Accent3 4 3 5 4" xfId="23392"/>
    <cellStyle name="40% - Accent3 4 3 5 4 2" xfId="23393"/>
    <cellStyle name="40% - Accent3 4 3 5 4 2 2" xfId="23394"/>
    <cellStyle name="40% - Accent3 4 3 5 4 2 3" xfId="23395"/>
    <cellStyle name="40% - Accent3 4 3 5 4 3" xfId="23396"/>
    <cellStyle name="40% - Accent3 4 3 5 4 3 2" xfId="23397"/>
    <cellStyle name="40% - Accent3 4 3 5 4 4" xfId="23398"/>
    <cellStyle name="40% - Accent3 4 3 5 4 5" xfId="23399"/>
    <cellStyle name="40% - Accent3 4 3 5 5" xfId="23400"/>
    <cellStyle name="40% - Accent3 4 3 5 5 2" xfId="23401"/>
    <cellStyle name="40% - Accent3 4 3 5 5 3" xfId="23402"/>
    <cellStyle name="40% - Accent3 4 3 5 6" xfId="23403"/>
    <cellStyle name="40% - Accent3 4 3 5 6 2" xfId="23404"/>
    <cellStyle name="40% - Accent3 4 3 5 6 3" xfId="23405"/>
    <cellStyle name="40% - Accent3 4 3 5 7" xfId="23406"/>
    <cellStyle name="40% - Accent3 4 3 5 7 2" xfId="23407"/>
    <cellStyle name="40% - Accent3 4 3 5 8" xfId="23408"/>
    <cellStyle name="40% - Accent3 4 3 5 9" xfId="23409"/>
    <cellStyle name="40% - Accent3 4 3 6" xfId="23410"/>
    <cellStyle name="40% - Accent3 4 3 6 2" xfId="23411"/>
    <cellStyle name="40% - Accent3 4 3 6 2 2" xfId="23412"/>
    <cellStyle name="40% - Accent3 4 3 6 2 3" xfId="23413"/>
    <cellStyle name="40% - Accent3 4 3 6 3" xfId="23414"/>
    <cellStyle name="40% - Accent3 4 3 6 3 2" xfId="23415"/>
    <cellStyle name="40% - Accent3 4 3 6 3 3" xfId="23416"/>
    <cellStyle name="40% - Accent3 4 3 6 4" xfId="23417"/>
    <cellStyle name="40% - Accent3 4 3 6 4 2" xfId="23418"/>
    <cellStyle name="40% - Accent3 4 3 6 5" xfId="23419"/>
    <cellStyle name="40% - Accent3 4 3 6 6" xfId="23420"/>
    <cellStyle name="40% - Accent3 4 3 7" xfId="23421"/>
    <cellStyle name="40% - Accent3 4 3 7 2" xfId="23422"/>
    <cellStyle name="40% - Accent3 4 3 7 2 2" xfId="23423"/>
    <cellStyle name="40% - Accent3 4 3 7 2 3" xfId="23424"/>
    <cellStyle name="40% - Accent3 4 3 7 3" xfId="23425"/>
    <cellStyle name="40% - Accent3 4 3 7 3 2" xfId="23426"/>
    <cellStyle name="40% - Accent3 4 3 7 3 3" xfId="23427"/>
    <cellStyle name="40% - Accent3 4 3 7 4" xfId="23428"/>
    <cellStyle name="40% - Accent3 4 3 7 4 2" xfId="23429"/>
    <cellStyle name="40% - Accent3 4 3 7 5" xfId="23430"/>
    <cellStyle name="40% - Accent3 4 3 7 6" xfId="23431"/>
    <cellStyle name="40% - Accent3 4 3 8" xfId="23432"/>
    <cellStyle name="40% - Accent3 4 3 8 2" xfId="23433"/>
    <cellStyle name="40% - Accent3 4 3 8 2 2" xfId="23434"/>
    <cellStyle name="40% - Accent3 4 3 8 2 3" xfId="23435"/>
    <cellStyle name="40% - Accent3 4 3 8 3" xfId="23436"/>
    <cellStyle name="40% - Accent3 4 3 8 3 2" xfId="23437"/>
    <cellStyle name="40% - Accent3 4 3 8 4" xfId="23438"/>
    <cellStyle name="40% - Accent3 4 3 8 5" xfId="23439"/>
    <cellStyle name="40% - Accent3 4 3 9" xfId="23440"/>
    <cellStyle name="40% - Accent3 4 3 9 2" xfId="23441"/>
    <cellStyle name="40% - Accent3 4 3 9 3" xfId="23442"/>
    <cellStyle name="40% - Accent3 4 4" xfId="2021"/>
    <cellStyle name="40% - Accent3 4 4 10" xfId="23443"/>
    <cellStyle name="40% - Accent3 4 4 10 2" xfId="23444"/>
    <cellStyle name="40% - Accent3 4 4 11" xfId="23445"/>
    <cellStyle name="40% - Accent3 4 4 12" xfId="23446"/>
    <cellStyle name="40% - Accent3 4 4 2" xfId="2022"/>
    <cellStyle name="40% - Accent3 4 4 2 10" xfId="23447"/>
    <cellStyle name="40% - Accent3 4 4 2 2" xfId="2023"/>
    <cellStyle name="40% - Accent3 4 4 2 2 2" xfId="23448"/>
    <cellStyle name="40% - Accent3 4 4 2 2 2 2" xfId="23449"/>
    <cellStyle name="40% - Accent3 4 4 2 2 2 2 2" xfId="23450"/>
    <cellStyle name="40% - Accent3 4 4 2 2 2 2 3" xfId="23451"/>
    <cellStyle name="40% - Accent3 4 4 2 2 2 3" xfId="23452"/>
    <cellStyle name="40% - Accent3 4 4 2 2 2 3 2" xfId="23453"/>
    <cellStyle name="40% - Accent3 4 4 2 2 2 3 3" xfId="23454"/>
    <cellStyle name="40% - Accent3 4 4 2 2 2 4" xfId="23455"/>
    <cellStyle name="40% - Accent3 4 4 2 2 2 4 2" xfId="23456"/>
    <cellStyle name="40% - Accent3 4 4 2 2 2 5" xfId="23457"/>
    <cellStyle name="40% - Accent3 4 4 2 2 2 6" xfId="23458"/>
    <cellStyle name="40% - Accent3 4 4 2 2 3" xfId="23459"/>
    <cellStyle name="40% - Accent3 4 4 2 2 3 2" xfId="23460"/>
    <cellStyle name="40% - Accent3 4 4 2 2 3 2 2" xfId="23461"/>
    <cellStyle name="40% - Accent3 4 4 2 2 3 2 3" xfId="23462"/>
    <cellStyle name="40% - Accent3 4 4 2 2 3 3" xfId="23463"/>
    <cellStyle name="40% - Accent3 4 4 2 2 3 3 2" xfId="23464"/>
    <cellStyle name="40% - Accent3 4 4 2 2 3 3 3" xfId="23465"/>
    <cellStyle name="40% - Accent3 4 4 2 2 3 4" xfId="23466"/>
    <cellStyle name="40% - Accent3 4 4 2 2 3 4 2" xfId="23467"/>
    <cellStyle name="40% - Accent3 4 4 2 2 3 5" xfId="23468"/>
    <cellStyle name="40% - Accent3 4 4 2 2 3 6" xfId="23469"/>
    <cellStyle name="40% - Accent3 4 4 2 2 4" xfId="23470"/>
    <cellStyle name="40% - Accent3 4 4 2 2 4 2" xfId="23471"/>
    <cellStyle name="40% - Accent3 4 4 2 2 4 2 2" xfId="23472"/>
    <cellStyle name="40% - Accent3 4 4 2 2 4 2 3" xfId="23473"/>
    <cellStyle name="40% - Accent3 4 4 2 2 4 3" xfId="23474"/>
    <cellStyle name="40% - Accent3 4 4 2 2 4 3 2" xfId="23475"/>
    <cellStyle name="40% - Accent3 4 4 2 2 4 4" xfId="23476"/>
    <cellStyle name="40% - Accent3 4 4 2 2 4 5" xfId="23477"/>
    <cellStyle name="40% - Accent3 4 4 2 2 5" xfId="23478"/>
    <cellStyle name="40% - Accent3 4 4 2 2 5 2" xfId="23479"/>
    <cellStyle name="40% - Accent3 4 4 2 2 5 3" xfId="23480"/>
    <cellStyle name="40% - Accent3 4 4 2 2 6" xfId="23481"/>
    <cellStyle name="40% - Accent3 4 4 2 2 6 2" xfId="23482"/>
    <cellStyle name="40% - Accent3 4 4 2 2 6 3" xfId="23483"/>
    <cellStyle name="40% - Accent3 4 4 2 2 7" xfId="23484"/>
    <cellStyle name="40% - Accent3 4 4 2 2 7 2" xfId="23485"/>
    <cellStyle name="40% - Accent3 4 4 2 2 8" xfId="23486"/>
    <cellStyle name="40% - Accent3 4 4 2 2 9" xfId="23487"/>
    <cellStyle name="40% - Accent3 4 4 2 3" xfId="23488"/>
    <cellStyle name="40% - Accent3 4 4 2 3 2" xfId="23489"/>
    <cellStyle name="40% - Accent3 4 4 2 3 2 2" xfId="23490"/>
    <cellStyle name="40% - Accent3 4 4 2 3 2 3" xfId="23491"/>
    <cellStyle name="40% - Accent3 4 4 2 3 3" xfId="23492"/>
    <cellStyle name="40% - Accent3 4 4 2 3 3 2" xfId="23493"/>
    <cellStyle name="40% - Accent3 4 4 2 3 3 3" xfId="23494"/>
    <cellStyle name="40% - Accent3 4 4 2 3 4" xfId="23495"/>
    <cellStyle name="40% - Accent3 4 4 2 3 4 2" xfId="23496"/>
    <cellStyle name="40% - Accent3 4 4 2 3 5" xfId="23497"/>
    <cellStyle name="40% - Accent3 4 4 2 3 6" xfId="23498"/>
    <cellStyle name="40% - Accent3 4 4 2 4" xfId="23499"/>
    <cellStyle name="40% - Accent3 4 4 2 4 2" xfId="23500"/>
    <cellStyle name="40% - Accent3 4 4 2 4 2 2" xfId="23501"/>
    <cellStyle name="40% - Accent3 4 4 2 4 2 3" xfId="23502"/>
    <cellStyle name="40% - Accent3 4 4 2 4 3" xfId="23503"/>
    <cellStyle name="40% - Accent3 4 4 2 4 3 2" xfId="23504"/>
    <cellStyle name="40% - Accent3 4 4 2 4 3 3" xfId="23505"/>
    <cellStyle name="40% - Accent3 4 4 2 4 4" xfId="23506"/>
    <cellStyle name="40% - Accent3 4 4 2 4 4 2" xfId="23507"/>
    <cellStyle name="40% - Accent3 4 4 2 4 5" xfId="23508"/>
    <cellStyle name="40% - Accent3 4 4 2 4 6" xfId="23509"/>
    <cellStyle name="40% - Accent3 4 4 2 5" xfId="23510"/>
    <cellStyle name="40% - Accent3 4 4 2 5 2" xfId="23511"/>
    <cellStyle name="40% - Accent3 4 4 2 5 2 2" xfId="23512"/>
    <cellStyle name="40% - Accent3 4 4 2 5 2 3" xfId="23513"/>
    <cellStyle name="40% - Accent3 4 4 2 5 3" xfId="23514"/>
    <cellStyle name="40% - Accent3 4 4 2 5 3 2" xfId="23515"/>
    <cellStyle name="40% - Accent3 4 4 2 5 4" xfId="23516"/>
    <cellStyle name="40% - Accent3 4 4 2 5 5" xfId="23517"/>
    <cellStyle name="40% - Accent3 4 4 2 6" xfId="23518"/>
    <cellStyle name="40% - Accent3 4 4 2 6 2" xfId="23519"/>
    <cellStyle name="40% - Accent3 4 4 2 6 3" xfId="23520"/>
    <cellStyle name="40% - Accent3 4 4 2 7" xfId="23521"/>
    <cellStyle name="40% - Accent3 4 4 2 7 2" xfId="23522"/>
    <cellStyle name="40% - Accent3 4 4 2 7 3" xfId="23523"/>
    <cellStyle name="40% - Accent3 4 4 2 8" xfId="23524"/>
    <cellStyle name="40% - Accent3 4 4 2 8 2" xfId="23525"/>
    <cellStyle name="40% - Accent3 4 4 2 9" xfId="23526"/>
    <cellStyle name="40% - Accent3 4 4 3" xfId="2024"/>
    <cellStyle name="40% - Accent3 4 4 3 2" xfId="23527"/>
    <cellStyle name="40% - Accent3 4 4 3 2 2" xfId="23528"/>
    <cellStyle name="40% - Accent3 4 4 3 2 2 2" xfId="23529"/>
    <cellStyle name="40% - Accent3 4 4 3 2 2 3" xfId="23530"/>
    <cellStyle name="40% - Accent3 4 4 3 2 3" xfId="23531"/>
    <cellStyle name="40% - Accent3 4 4 3 2 3 2" xfId="23532"/>
    <cellStyle name="40% - Accent3 4 4 3 2 3 3" xfId="23533"/>
    <cellStyle name="40% - Accent3 4 4 3 2 4" xfId="23534"/>
    <cellStyle name="40% - Accent3 4 4 3 2 4 2" xfId="23535"/>
    <cellStyle name="40% - Accent3 4 4 3 2 5" xfId="23536"/>
    <cellStyle name="40% - Accent3 4 4 3 2 6" xfId="23537"/>
    <cellStyle name="40% - Accent3 4 4 3 3" xfId="23538"/>
    <cellStyle name="40% - Accent3 4 4 3 3 2" xfId="23539"/>
    <cellStyle name="40% - Accent3 4 4 3 3 2 2" xfId="23540"/>
    <cellStyle name="40% - Accent3 4 4 3 3 2 3" xfId="23541"/>
    <cellStyle name="40% - Accent3 4 4 3 3 3" xfId="23542"/>
    <cellStyle name="40% - Accent3 4 4 3 3 3 2" xfId="23543"/>
    <cellStyle name="40% - Accent3 4 4 3 3 3 3" xfId="23544"/>
    <cellStyle name="40% - Accent3 4 4 3 3 4" xfId="23545"/>
    <cellStyle name="40% - Accent3 4 4 3 3 4 2" xfId="23546"/>
    <cellStyle name="40% - Accent3 4 4 3 3 5" xfId="23547"/>
    <cellStyle name="40% - Accent3 4 4 3 3 6" xfId="23548"/>
    <cellStyle name="40% - Accent3 4 4 3 4" xfId="23549"/>
    <cellStyle name="40% - Accent3 4 4 3 4 2" xfId="23550"/>
    <cellStyle name="40% - Accent3 4 4 3 4 2 2" xfId="23551"/>
    <cellStyle name="40% - Accent3 4 4 3 4 2 3" xfId="23552"/>
    <cellStyle name="40% - Accent3 4 4 3 4 3" xfId="23553"/>
    <cellStyle name="40% - Accent3 4 4 3 4 3 2" xfId="23554"/>
    <cellStyle name="40% - Accent3 4 4 3 4 4" xfId="23555"/>
    <cellStyle name="40% - Accent3 4 4 3 4 5" xfId="23556"/>
    <cellStyle name="40% - Accent3 4 4 3 5" xfId="23557"/>
    <cellStyle name="40% - Accent3 4 4 3 5 2" xfId="23558"/>
    <cellStyle name="40% - Accent3 4 4 3 5 3" xfId="23559"/>
    <cellStyle name="40% - Accent3 4 4 3 6" xfId="23560"/>
    <cellStyle name="40% - Accent3 4 4 3 6 2" xfId="23561"/>
    <cellStyle name="40% - Accent3 4 4 3 6 3" xfId="23562"/>
    <cellStyle name="40% - Accent3 4 4 3 7" xfId="23563"/>
    <cellStyle name="40% - Accent3 4 4 3 7 2" xfId="23564"/>
    <cellStyle name="40% - Accent3 4 4 3 8" xfId="23565"/>
    <cellStyle name="40% - Accent3 4 4 3 9" xfId="23566"/>
    <cellStyle name="40% - Accent3 4 4 4" xfId="23567"/>
    <cellStyle name="40% - Accent3 4 4 4 2" xfId="23568"/>
    <cellStyle name="40% - Accent3 4 4 4 2 2" xfId="23569"/>
    <cellStyle name="40% - Accent3 4 4 4 2 2 2" xfId="23570"/>
    <cellStyle name="40% - Accent3 4 4 4 2 2 3" xfId="23571"/>
    <cellStyle name="40% - Accent3 4 4 4 2 3" xfId="23572"/>
    <cellStyle name="40% - Accent3 4 4 4 2 3 2" xfId="23573"/>
    <cellStyle name="40% - Accent3 4 4 4 2 3 3" xfId="23574"/>
    <cellStyle name="40% - Accent3 4 4 4 2 4" xfId="23575"/>
    <cellStyle name="40% - Accent3 4 4 4 2 4 2" xfId="23576"/>
    <cellStyle name="40% - Accent3 4 4 4 2 5" xfId="23577"/>
    <cellStyle name="40% - Accent3 4 4 4 2 6" xfId="23578"/>
    <cellStyle name="40% - Accent3 4 4 4 3" xfId="23579"/>
    <cellStyle name="40% - Accent3 4 4 4 3 2" xfId="23580"/>
    <cellStyle name="40% - Accent3 4 4 4 3 2 2" xfId="23581"/>
    <cellStyle name="40% - Accent3 4 4 4 3 2 3" xfId="23582"/>
    <cellStyle name="40% - Accent3 4 4 4 3 3" xfId="23583"/>
    <cellStyle name="40% - Accent3 4 4 4 3 3 2" xfId="23584"/>
    <cellStyle name="40% - Accent3 4 4 4 3 3 3" xfId="23585"/>
    <cellStyle name="40% - Accent3 4 4 4 3 4" xfId="23586"/>
    <cellStyle name="40% - Accent3 4 4 4 3 4 2" xfId="23587"/>
    <cellStyle name="40% - Accent3 4 4 4 3 5" xfId="23588"/>
    <cellStyle name="40% - Accent3 4 4 4 3 6" xfId="23589"/>
    <cellStyle name="40% - Accent3 4 4 4 4" xfId="23590"/>
    <cellStyle name="40% - Accent3 4 4 4 4 2" xfId="23591"/>
    <cellStyle name="40% - Accent3 4 4 4 4 2 2" xfId="23592"/>
    <cellStyle name="40% - Accent3 4 4 4 4 2 3" xfId="23593"/>
    <cellStyle name="40% - Accent3 4 4 4 4 3" xfId="23594"/>
    <cellStyle name="40% - Accent3 4 4 4 4 3 2" xfId="23595"/>
    <cellStyle name="40% - Accent3 4 4 4 4 4" xfId="23596"/>
    <cellStyle name="40% - Accent3 4 4 4 4 5" xfId="23597"/>
    <cellStyle name="40% - Accent3 4 4 4 5" xfId="23598"/>
    <cellStyle name="40% - Accent3 4 4 4 5 2" xfId="23599"/>
    <cellStyle name="40% - Accent3 4 4 4 5 3" xfId="23600"/>
    <cellStyle name="40% - Accent3 4 4 4 6" xfId="23601"/>
    <cellStyle name="40% - Accent3 4 4 4 6 2" xfId="23602"/>
    <cellStyle name="40% - Accent3 4 4 4 6 3" xfId="23603"/>
    <cellStyle name="40% - Accent3 4 4 4 7" xfId="23604"/>
    <cellStyle name="40% - Accent3 4 4 4 7 2" xfId="23605"/>
    <cellStyle name="40% - Accent3 4 4 4 8" xfId="23606"/>
    <cellStyle name="40% - Accent3 4 4 4 9" xfId="23607"/>
    <cellStyle name="40% - Accent3 4 4 5" xfId="23608"/>
    <cellStyle name="40% - Accent3 4 4 5 2" xfId="23609"/>
    <cellStyle name="40% - Accent3 4 4 5 2 2" xfId="23610"/>
    <cellStyle name="40% - Accent3 4 4 5 2 3" xfId="23611"/>
    <cellStyle name="40% - Accent3 4 4 5 3" xfId="23612"/>
    <cellStyle name="40% - Accent3 4 4 5 3 2" xfId="23613"/>
    <cellStyle name="40% - Accent3 4 4 5 3 3" xfId="23614"/>
    <cellStyle name="40% - Accent3 4 4 5 4" xfId="23615"/>
    <cellStyle name="40% - Accent3 4 4 5 4 2" xfId="23616"/>
    <cellStyle name="40% - Accent3 4 4 5 5" xfId="23617"/>
    <cellStyle name="40% - Accent3 4 4 5 6" xfId="23618"/>
    <cellStyle name="40% - Accent3 4 4 6" xfId="23619"/>
    <cellStyle name="40% - Accent3 4 4 6 2" xfId="23620"/>
    <cellStyle name="40% - Accent3 4 4 6 2 2" xfId="23621"/>
    <cellStyle name="40% - Accent3 4 4 6 2 3" xfId="23622"/>
    <cellStyle name="40% - Accent3 4 4 6 3" xfId="23623"/>
    <cellStyle name="40% - Accent3 4 4 6 3 2" xfId="23624"/>
    <cellStyle name="40% - Accent3 4 4 6 3 3" xfId="23625"/>
    <cellStyle name="40% - Accent3 4 4 6 4" xfId="23626"/>
    <cellStyle name="40% - Accent3 4 4 6 4 2" xfId="23627"/>
    <cellStyle name="40% - Accent3 4 4 6 5" xfId="23628"/>
    <cellStyle name="40% - Accent3 4 4 6 6" xfId="23629"/>
    <cellStyle name="40% - Accent3 4 4 7" xfId="23630"/>
    <cellStyle name="40% - Accent3 4 4 7 2" xfId="23631"/>
    <cellStyle name="40% - Accent3 4 4 7 2 2" xfId="23632"/>
    <cellStyle name="40% - Accent3 4 4 7 2 3" xfId="23633"/>
    <cellStyle name="40% - Accent3 4 4 7 3" xfId="23634"/>
    <cellStyle name="40% - Accent3 4 4 7 3 2" xfId="23635"/>
    <cellStyle name="40% - Accent3 4 4 7 4" xfId="23636"/>
    <cellStyle name="40% - Accent3 4 4 7 5" xfId="23637"/>
    <cellStyle name="40% - Accent3 4 4 8" xfId="23638"/>
    <cellStyle name="40% - Accent3 4 4 8 2" xfId="23639"/>
    <cellStyle name="40% - Accent3 4 4 8 3" xfId="23640"/>
    <cellStyle name="40% - Accent3 4 4 9" xfId="23641"/>
    <cellStyle name="40% - Accent3 4 4 9 2" xfId="23642"/>
    <cellStyle name="40% - Accent3 4 4 9 3" xfId="23643"/>
    <cellStyle name="40% - Accent3 4 5" xfId="2025"/>
    <cellStyle name="40% - Accent3 4 5 10" xfId="23644"/>
    <cellStyle name="40% - Accent3 4 5 2" xfId="2026"/>
    <cellStyle name="40% - Accent3 4 5 2 2" xfId="23645"/>
    <cellStyle name="40% - Accent3 4 5 2 2 2" xfId="23646"/>
    <cellStyle name="40% - Accent3 4 5 2 2 2 2" xfId="23647"/>
    <cellStyle name="40% - Accent3 4 5 2 2 2 3" xfId="23648"/>
    <cellStyle name="40% - Accent3 4 5 2 2 3" xfId="23649"/>
    <cellStyle name="40% - Accent3 4 5 2 2 3 2" xfId="23650"/>
    <cellStyle name="40% - Accent3 4 5 2 2 3 3" xfId="23651"/>
    <cellStyle name="40% - Accent3 4 5 2 2 4" xfId="23652"/>
    <cellStyle name="40% - Accent3 4 5 2 2 4 2" xfId="23653"/>
    <cellStyle name="40% - Accent3 4 5 2 2 5" xfId="23654"/>
    <cellStyle name="40% - Accent3 4 5 2 2 6" xfId="23655"/>
    <cellStyle name="40% - Accent3 4 5 2 3" xfId="23656"/>
    <cellStyle name="40% - Accent3 4 5 2 3 2" xfId="23657"/>
    <cellStyle name="40% - Accent3 4 5 2 3 2 2" xfId="23658"/>
    <cellStyle name="40% - Accent3 4 5 2 3 2 3" xfId="23659"/>
    <cellStyle name="40% - Accent3 4 5 2 3 3" xfId="23660"/>
    <cellStyle name="40% - Accent3 4 5 2 3 3 2" xfId="23661"/>
    <cellStyle name="40% - Accent3 4 5 2 3 3 3" xfId="23662"/>
    <cellStyle name="40% - Accent3 4 5 2 3 4" xfId="23663"/>
    <cellStyle name="40% - Accent3 4 5 2 3 4 2" xfId="23664"/>
    <cellStyle name="40% - Accent3 4 5 2 3 5" xfId="23665"/>
    <cellStyle name="40% - Accent3 4 5 2 3 6" xfId="23666"/>
    <cellStyle name="40% - Accent3 4 5 2 4" xfId="23667"/>
    <cellStyle name="40% - Accent3 4 5 2 4 2" xfId="23668"/>
    <cellStyle name="40% - Accent3 4 5 2 4 2 2" xfId="23669"/>
    <cellStyle name="40% - Accent3 4 5 2 4 2 3" xfId="23670"/>
    <cellStyle name="40% - Accent3 4 5 2 4 3" xfId="23671"/>
    <cellStyle name="40% - Accent3 4 5 2 4 3 2" xfId="23672"/>
    <cellStyle name="40% - Accent3 4 5 2 4 4" xfId="23673"/>
    <cellStyle name="40% - Accent3 4 5 2 4 5" xfId="23674"/>
    <cellStyle name="40% - Accent3 4 5 2 5" xfId="23675"/>
    <cellStyle name="40% - Accent3 4 5 2 5 2" xfId="23676"/>
    <cellStyle name="40% - Accent3 4 5 2 5 3" xfId="23677"/>
    <cellStyle name="40% - Accent3 4 5 2 6" xfId="23678"/>
    <cellStyle name="40% - Accent3 4 5 2 6 2" xfId="23679"/>
    <cellStyle name="40% - Accent3 4 5 2 6 3" xfId="23680"/>
    <cellStyle name="40% - Accent3 4 5 2 7" xfId="23681"/>
    <cellStyle name="40% - Accent3 4 5 2 7 2" xfId="23682"/>
    <cellStyle name="40% - Accent3 4 5 2 8" xfId="23683"/>
    <cellStyle name="40% - Accent3 4 5 2 9" xfId="23684"/>
    <cellStyle name="40% - Accent3 4 5 3" xfId="23685"/>
    <cellStyle name="40% - Accent3 4 5 3 2" xfId="23686"/>
    <cellStyle name="40% - Accent3 4 5 3 2 2" xfId="23687"/>
    <cellStyle name="40% - Accent3 4 5 3 2 3" xfId="23688"/>
    <cellStyle name="40% - Accent3 4 5 3 3" xfId="23689"/>
    <cellStyle name="40% - Accent3 4 5 3 3 2" xfId="23690"/>
    <cellStyle name="40% - Accent3 4 5 3 3 3" xfId="23691"/>
    <cellStyle name="40% - Accent3 4 5 3 4" xfId="23692"/>
    <cellStyle name="40% - Accent3 4 5 3 4 2" xfId="23693"/>
    <cellStyle name="40% - Accent3 4 5 3 5" xfId="23694"/>
    <cellStyle name="40% - Accent3 4 5 3 6" xfId="23695"/>
    <cellStyle name="40% - Accent3 4 5 4" xfId="23696"/>
    <cellStyle name="40% - Accent3 4 5 4 2" xfId="23697"/>
    <cellStyle name="40% - Accent3 4 5 4 2 2" xfId="23698"/>
    <cellStyle name="40% - Accent3 4 5 4 2 3" xfId="23699"/>
    <cellStyle name="40% - Accent3 4 5 4 3" xfId="23700"/>
    <cellStyle name="40% - Accent3 4 5 4 3 2" xfId="23701"/>
    <cellStyle name="40% - Accent3 4 5 4 3 3" xfId="23702"/>
    <cellStyle name="40% - Accent3 4 5 4 4" xfId="23703"/>
    <cellStyle name="40% - Accent3 4 5 4 4 2" xfId="23704"/>
    <cellStyle name="40% - Accent3 4 5 4 5" xfId="23705"/>
    <cellStyle name="40% - Accent3 4 5 4 6" xfId="23706"/>
    <cellStyle name="40% - Accent3 4 5 5" xfId="23707"/>
    <cellStyle name="40% - Accent3 4 5 5 2" xfId="23708"/>
    <cellStyle name="40% - Accent3 4 5 5 2 2" xfId="23709"/>
    <cellStyle name="40% - Accent3 4 5 5 2 3" xfId="23710"/>
    <cellStyle name="40% - Accent3 4 5 5 3" xfId="23711"/>
    <cellStyle name="40% - Accent3 4 5 5 3 2" xfId="23712"/>
    <cellStyle name="40% - Accent3 4 5 5 4" xfId="23713"/>
    <cellStyle name="40% - Accent3 4 5 5 5" xfId="23714"/>
    <cellStyle name="40% - Accent3 4 5 6" xfId="23715"/>
    <cellStyle name="40% - Accent3 4 5 6 2" xfId="23716"/>
    <cellStyle name="40% - Accent3 4 5 6 3" xfId="23717"/>
    <cellStyle name="40% - Accent3 4 5 7" xfId="23718"/>
    <cellStyle name="40% - Accent3 4 5 7 2" xfId="23719"/>
    <cellStyle name="40% - Accent3 4 5 7 3" xfId="23720"/>
    <cellStyle name="40% - Accent3 4 5 8" xfId="23721"/>
    <cellStyle name="40% - Accent3 4 5 8 2" xfId="23722"/>
    <cellStyle name="40% - Accent3 4 5 9" xfId="23723"/>
    <cellStyle name="40% - Accent3 4 6" xfId="2027"/>
    <cellStyle name="40% - Accent3 4 6 2" xfId="23724"/>
    <cellStyle name="40% - Accent3 4 6 2 2" xfId="23725"/>
    <cellStyle name="40% - Accent3 4 6 2 2 2" xfId="23726"/>
    <cellStyle name="40% - Accent3 4 6 2 2 3" xfId="23727"/>
    <cellStyle name="40% - Accent3 4 6 2 3" xfId="23728"/>
    <cellStyle name="40% - Accent3 4 6 2 3 2" xfId="23729"/>
    <cellStyle name="40% - Accent3 4 6 2 3 3" xfId="23730"/>
    <cellStyle name="40% - Accent3 4 6 2 4" xfId="23731"/>
    <cellStyle name="40% - Accent3 4 6 2 4 2" xfId="23732"/>
    <cellStyle name="40% - Accent3 4 6 2 5" xfId="23733"/>
    <cellStyle name="40% - Accent3 4 6 2 6" xfId="23734"/>
    <cellStyle name="40% - Accent3 4 6 3" xfId="23735"/>
    <cellStyle name="40% - Accent3 4 6 3 2" xfId="23736"/>
    <cellStyle name="40% - Accent3 4 6 3 2 2" xfId="23737"/>
    <cellStyle name="40% - Accent3 4 6 3 2 3" xfId="23738"/>
    <cellStyle name="40% - Accent3 4 6 3 3" xfId="23739"/>
    <cellStyle name="40% - Accent3 4 6 3 3 2" xfId="23740"/>
    <cellStyle name="40% - Accent3 4 6 3 3 3" xfId="23741"/>
    <cellStyle name="40% - Accent3 4 6 3 4" xfId="23742"/>
    <cellStyle name="40% - Accent3 4 6 3 4 2" xfId="23743"/>
    <cellStyle name="40% - Accent3 4 6 3 5" xfId="23744"/>
    <cellStyle name="40% - Accent3 4 6 3 6" xfId="23745"/>
    <cellStyle name="40% - Accent3 4 6 4" xfId="23746"/>
    <cellStyle name="40% - Accent3 4 6 4 2" xfId="23747"/>
    <cellStyle name="40% - Accent3 4 6 4 2 2" xfId="23748"/>
    <cellStyle name="40% - Accent3 4 6 4 2 3" xfId="23749"/>
    <cellStyle name="40% - Accent3 4 6 4 3" xfId="23750"/>
    <cellStyle name="40% - Accent3 4 6 4 3 2" xfId="23751"/>
    <cellStyle name="40% - Accent3 4 6 4 4" xfId="23752"/>
    <cellStyle name="40% - Accent3 4 6 4 5" xfId="23753"/>
    <cellStyle name="40% - Accent3 4 6 5" xfId="23754"/>
    <cellStyle name="40% - Accent3 4 6 5 2" xfId="23755"/>
    <cellStyle name="40% - Accent3 4 6 5 3" xfId="23756"/>
    <cellStyle name="40% - Accent3 4 6 6" xfId="23757"/>
    <cellStyle name="40% - Accent3 4 6 6 2" xfId="23758"/>
    <cellStyle name="40% - Accent3 4 6 6 3" xfId="23759"/>
    <cellStyle name="40% - Accent3 4 6 7" xfId="23760"/>
    <cellStyle name="40% - Accent3 4 6 7 2" xfId="23761"/>
    <cellStyle name="40% - Accent3 4 6 8" xfId="23762"/>
    <cellStyle name="40% - Accent3 4 6 9" xfId="23763"/>
    <cellStyle name="40% - Accent3 4 7" xfId="9011"/>
    <cellStyle name="40% - Accent3 4 7 2" xfId="23764"/>
    <cellStyle name="40% - Accent3 4 7 2 2" xfId="23765"/>
    <cellStyle name="40% - Accent3 4 7 2 2 2" xfId="23766"/>
    <cellStyle name="40% - Accent3 4 7 2 2 3" xfId="23767"/>
    <cellStyle name="40% - Accent3 4 7 2 3" xfId="23768"/>
    <cellStyle name="40% - Accent3 4 7 2 3 2" xfId="23769"/>
    <cellStyle name="40% - Accent3 4 7 2 3 3" xfId="23770"/>
    <cellStyle name="40% - Accent3 4 7 2 4" xfId="23771"/>
    <cellStyle name="40% - Accent3 4 7 2 4 2" xfId="23772"/>
    <cellStyle name="40% - Accent3 4 7 2 5" xfId="23773"/>
    <cellStyle name="40% - Accent3 4 7 2 6" xfId="23774"/>
    <cellStyle name="40% - Accent3 4 7 3" xfId="23775"/>
    <cellStyle name="40% - Accent3 4 7 3 2" xfId="23776"/>
    <cellStyle name="40% - Accent3 4 7 3 2 2" xfId="23777"/>
    <cellStyle name="40% - Accent3 4 7 3 2 3" xfId="23778"/>
    <cellStyle name="40% - Accent3 4 7 3 3" xfId="23779"/>
    <cellStyle name="40% - Accent3 4 7 3 3 2" xfId="23780"/>
    <cellStyle name="40% - Accent3 4 7 3 3 3" xfId="23781"/>
    <cellStyle name="40% - Accent3 4 7 3 4" xfId="23782"/>
    <cellStyle name="40% - Accent3 4 7 3 4 2" xfId="23783"/>
    <cellStyle name="40% - Accent3 4 7 3 5" xfId="23784"/>
    <cellStyle name="40% - Accent3 4 7 3 6" xfId="23785"/>
    <cellStyle name="40% - Accent3 4 7 4" xfId="23786"/>
    <cellStyle name="40% - Accent3 4 7 4 2" xfId="23787"/>
    <cellStyle name="40% - Accent3 4 7 4 2 2" xfId="23788"/>
    <cellStyle name="40% - Accent3 4 7 4 2 3" xfId="23789"/>
    <cellStyle name="40% - Accent3 4 7 4 3" xfId="23790"/>
    <cellStyle name="40% - Accent3 4 7 4 3 2" xfId="23791"/>
    <cellStyle name="40% - Accent3 4 7 4 4" xfId="23792"/>
    <cellStyle name="40% - Accent3 4 7 4 5" xfId="23793"/>
    <cellStyle name="40% - Accent3 4 7 5" xfId="23794"/>
    <cellStyle name="40% - Accent3 4 7 5 2" xfId="23795"/>
    <cellStyle name="40% - Accent3 4 7 5 3" xfId="23796"/>
    <cellStyle name="40% - Accent3 4 7 6" xfId="23797"/>
    <cellStyle name="40% - Accent3 4 7 6 2" xfId="23798"/>
    <cellStyle name="40% - Accent3 4 7 6 3" xfId="23799"/>
    <cellStyle name="40% - Accent3 4 7 7" xfId="23800"/>
    <cellStyle name="40% - Accent3 4 7 7 2" xfId="23801"/>
    <cellStyle name="40% - Accent3 4 7 8" xfId="23802"/>
    <cellStyle name="40% - Accent3 4 7 9" xfId="23803"/>
    <cellStyle name="40% - Accent3 4 8" xfId="23804"/>
    <cellStyle name="40% - Accent3 4 8 2" xfId="23805"/>
    <cellStyle name="40% - Accent3 4 8 2 2" xfId="23806"/>
    <cellStyle name="40% - Accent3 4 8 2 3" xfId="23807"/>
    <cellStyle name="40% - Accent3 4 8 3" xfId="23808"/>
    <cellStyle name="40% - Accent3 4 8 3 2" xfId="23809"/>
    <cellStyle name="40% - Accent3 4 8 3 3" xfId="23810"/>
    <cellStyle name="40% - Accent3 4 8 4" xfId="23811"/>
    <cellStyle name="40% - Accent3 4 8 4 2" xfId="23812"/>
    <cellStyle name="40% - Accent3 4 8 5" xfId="23813"/>
    <cellStyle name="40% - Accent3 4 8 6" xfId="23814"/>
    <cellStyle name="40% - Accent3 4 9" xfId="23815"/>
    <cellStyle name="40% - Accent3 4 9 2" xfId="23816"/>
    <cellStyle name="40% - Accent3 4 9 2 2" xfId="23817"/>
    <cellStyle name="40% - Accent3 4 9 2 3" xfId="23818"/>
    <cellStyle name="40% - Accent3 4 9 3" xfId="23819"/>
    <cellStyle name="40% - Accent3 4 9 3 2" xfId="23820"/>
    <cellStyle name="40% - Accent3 4 9 3 3" xfId="23821"/>
    <cellStyle name="40% - Accent3 4 9 4" xfId="23822"/>
    <cellStyle name="40% - Accent3 4 9 4 2" xfId="23823"/>
    <cellStyle name="40% - Accent3 4 9 5" xfId="23824"/>
    <cellStyle name="40% - Accent3 4 9 6" xfId="23825"/>
    <cellStyle name="40% - Accent3 5" xfId="2028"/>
    <cellStyle name="40% - Accent3 5 2" xfId="2029"/>
    <cellStyle name="40% - Accent3 5 2 2" xfId="2030"/>
    <cellStyle name="40% - Accent3 5 2 2 2" xfId="2031"/>
    <cellStyle name="40% - Accent3 5 2 2 2 2" xfId="2032"/>
    <cellStyle name="40% - Accent3 5 2 2 3" xfId="2033"/>
    <cellStyle name="40% - Accent3 5 2 3" xfId="2034"/>
    <cellStyle name="40% - Accent3 5 2 3 2" xfId="2035"/>
    <cellStyle name="40% - Accent3 5 2 4" xfId="2036"/>
    <cellStyle name="40% - Accent3 5 2 5" xfId="58228"/>
    <cellStyle name="40% - Accent3 5 3" xfId="2037"/>
    <cellStyle name="40% - Accent3 5 3 2" xfId="2038"/>
    <cellStyle name="40% - Accent3 5 3 2 2" xfId="2039"/>
    <cellStyle name="40% - Accent3 5 3 3" xfId="2040"/>
    <cellStyle name="40% - Accent3 5 4" xfId="2041"/>
    <cellStyle name="40% - Accent3 5 4 2" xfId="2042"/>
    <cellStyle name="40% - Accent3 5 5" xfId="2043"/>
    <cellStyle name="40% - Accent3 5 6" xfId="9012"/>
    <cellStyle name="40% - Accent3 6" xfId="2044"/>
    <cellStyle name="40% - Accent3 6 2" xfId="2045"/>
    <cellStyle name="40% - Accent3 6 2 2" xfId="2046"/>
    <cellStyle name="40% - Accent3 6 2 2 2" xfId="2047"/>
    <cellStyle name="40% - Accent3 6 2 3" xfId="2048"/>
    <cellStyle name="40% - Accent3 6 2 4" xfId="58229"/>
    <cellStyle name="40% - Accent3 6 2 5" xfId="58230"/>
    <cellStyle name="40% - Accent3 6 3" xfId="2049"/>
    <cellStyle name="40% - Accent3 6 3 2" xfId="2050"/>
    <cellStyle name="40% - Accent3 6 4" xfId="2051"/>
    <cellStyle name="40% - Accent3 6 5" xfId="58231"/>
    <cellStyle name="40% - Accent3 7" xfId="2052"/>
    <cellStyle name="40% - Accent3 7 2" xfId="2053"/>
    <cellStyle name="40% - Accent3 7 2 2" xfId="2054"/>
    <cellStyle name="40% - Accent3 7 2 2 2" xfId="2055"/>
    <cellStyle name="40% - Accent3 7 2 3" xfId="2056"/>
    <cellStyle name="40% - Accent3 7 3" xfId="2057"/>
    <cellStyle name="40% - Accent3 7 3 2" xfId="2058"/>
    <cellStyle name="40% - Accent3 7 4" xfId="2059"/>
    <cellStyle name="40% - Accent3 7 5" xfId="58232"/>
    <cellStyle name="40% - Accent3 8" xfId="2060"/>
    <cellStyle name="40% - Accent3 8 2" xfId="2061"/>
    <cellStyle name="40% - Accent3 8 2 2" xfId="2062"/>
    <cellStyle name="40% - Accent3 8 2 2 2" xfId="2063"/>
    <cellStyle name="40% - Accent3 8 2 3" xfId="2064"/>
    <cellStyle name="40% - Accent3 8 3" xfId="2065"/>
    <cellStyle name="40% - Accent3 8 3 2" xfId="2066"/>
    <cellStyle name="40% - Accent3 8 4" xfId="2067"/>
    <cellStyle name="40% - Accent3 8 5" xfId="58233"/>
    <cellStyle name="40% - Accent3 9" xfId="2068"/>
    <cellStyle name="40% - Accent3 9 2" xfId="2069"/>
    <cellStyle name="40% - Accent3 9 2 2" xfId="2070"/>
    <cellStyle name="40% - Accent3 9 3" xfId="2071"/>
    <cellStyle name="40% - Accent3 9 4" xfId="58234"/>
    <cellStyle name="40% - Accent4 10" xfId="2072"/>
    <cellStyle name="40% - Accent4 10 2" xfId="2073"/>
    <cellStyle name="40% - Accent4 10 2 2" xfId="2074"/>
    <cellStyle name="40% - Accent4 10 3" xfId="2075"/>
    <cellStyle name="40% - Accent4 10 4" xfId="58235"/>
    <cellStyle name="40% - Accent4 11" xfId="2076"/>
    <cellStyle name="40% - Accent4 11 2" xfId="2077"/>
    <cellStyle name="40% - Accent4 11 2 2" xfId="2078"/>
    <cellStyle name="40% - Accent4 11 3" xfId="2079"/>
    <cellStyle name="40% - Accent4 11 4" xfId="58236"/>
    <cellStyle name="40% - Accent4 12" xfId="2080"/>
    <cellStyle name="40% - Accent4 12 2" xfId="2081"/>
    <cellStyle name="40% - Accent4 12 3" xfId="58237"/>
    <cellStyle name="40% - Accent4 13" xfId="2082"/>
    <cellStyle name="40% - Accent4 13 2" xfId="58238"/>
    <cellStyle name="40% - Accent4 14" xfId="9013"/>
    <cellStyle name="40% - Accent4 15" xfId="23826"/>
    <cellStyle name="40% - Accent4 16" xfId="23827"/>
    <cellStyle name="40% - Accent4 17" xfId="23828"/>
    <cellStyle name="40% - Accent4 17 2" xfId="58239"/>
    <cellStyle name="40% - Accent4 18" xfId="58240"/>
    <cellStyle name="40% - Accent4 19" xfId="58241"/>
    <cellStyle name="40% - Accent4 2" xfId="2083"/>
    <cellStyle name="40% - Accent4 2 2" xfId="2084"/>
    <cellStyle name="40% - Accent4 2 2 2" xfId="2085"/>
    <cellStyle name="40% - Accent4 2 2 2 2" xfId="2086"/>
    <cellStyle name="40% - Accent4 2 2 2 2 2" xfId="2087"/>
    <cellStyle name="40% - Accent4 2 2 2 2 2 2" xfId="2088"/>
    <cellStyle name="40% - Accent4 2 2 2 2 2 2 2" xfId="2089"/>
    <cellStyle name="40% - Accent4 2 2 2 2 2 3" xfId="2090"/>
    <cellStyle name="40% - Accent4 2 2 2 2 3" xfId="2091"/>
    <cellStyle name="40% - Accent4 2 2 2 2 3 2" xfId="2092"/>
    <cellStyle name="40% - Accent4 2 2 2 2 4" xfId="2093"/>
    <cellStyle name="40% - Accent4 2 2 2 2 5" xfId="58242"/>
    <cellStyle name="40% - Accent4 2 2 2 3" xfId="2094"/>
    <cellStyle name="40% - Accent4 2 2 2 3 2" xfId="2095"/>
    <cellStyle name="40% - Accent4 2 2 2 3 2 2" xfId="2096"/>
    <cellStyle name="40% - Accent4 2 2 2 3 3" xfId="2097"/>
    <cellStyle name="40% - Accent4 2 2 2 4" xfId="2098"/>
    <cellStyle name="40% - Accent4 2 2 2 4 2" xfId="2099"/>
    <cellStyle name="40% - Accent4 2 2 2 5" xfId="2100"/>
    <cellStyle name="40% - Accent4 2 2 2 6" xfId="58243"/>
    <cellStyle name="40% - Accent4 2 2 3" xfId="2101"/>
    <cellStyle name="40% - Accent4 2 2 3 2" xfId="2102"/>
    <cellStyle name="40% - Accent4 2 2 3 2 2" xfId="2103"/>
    <cellStyle name="40% - Accent4 2 2 3 2 2 2" xfId="2104"/>
    <cellStyle name="40% - Accent4 2 2 3 2 3" xfId="2105"/>
    <cellStyle name="40% - Accent4 2 2 3 3" xfId="2106"/>
    <cellStyle name="40% - Accent4 2 2 3 3 2" xfId="2107"/>
    <cellStyle name="40% - Accent4 2 2 3 4" xfId="2108"/>
    <cellStyle name="40% - Accent4 2 2 3 5" xfId="58244"/>
    <cellStyle name="40% - Accent4 2 2 4" xfId="2109"/>
    <cellStyle name="40% - Accent4 2 2 4 2" xfId="2110"/>
    <cellStyle name="40% - Accent4 2 2 4 2 2" xfId="2111"/>
    <cellStyle name="40% - Accent4 2 2 4 3" xfId="2112"/>
    <cellStyle name="40% - Accent4 2 2 5" xfId="2113"/>
    <cellStyle name="40% - Accent4 2 2 5 2" xfId="2114"/>
    <cellStyle name="40% - Accent4 2 2 6" xfId="2115"/>
    <cellStyle name="40% - Accent4 2 2 7" xfId="58245"/>
    <cellStyle name="40% - Accent4 2 3" xfId="2116"/>
    <cellStyle name="40% - Accent4 2 3 2" xfId="2117"/>
    <cellStyle name="40% - Accent4 2 3 2 2" xfId="2118"/>
    <cellStyle name="40% - Accent4 2 3 2 2 2" xfId="2119"/>
    <cellStyle name="40% - Accent4 2 3 2 2 2 2" xfId="2120"/>
    <cellStyle name="40% - Accent4 2 3 2 2 3" xfId="2121"/>
    <cellStyle name="40% - Accent4 2 3 2 3" xfId="2122"/>
    <cellStyle name="40% - Accent4 2 3 2 3 2" xfId="2123"/>
    <cellStyle name="40% - Accent4 2 3 2 4" xfId="2124"/>
    <cellStyle name="40% - Accent4 2 3 3" xfId="2125"/>
    <cellStyle name="40% - Accent4 2 3 3 2" xfId="2126"/>
    <cellStyle name="40% - Accent4 2 3 3 2 2" xfId="2127"/>
    <cellStyle name="40% - Accent4 2 3 3 3" xfId="2128"/>
    <cellStyle name="40% - Accent4 2 3 4" xfId="2129"/>
    <cellStyle name="40% - Accent4 2 3 4 2" xfId="2130"/>
    <cellStyle name="40% - Accent4 2 3 5" xfId="2131"/>
    <cellStyle name="40% - Accent4 2 3 6" xfId="58246"/>
    <cellStyle name="40% - Accent4 2 4" xfId="2132"/>
    <cellStyle name="40% - Accent4 2 4 2" xfId="2133"/>
    <cellStyle name="40% - Accent4 2 4 2 2" xfId="2134"/>
    <cellStyle name="40% - Accent4 2 4 2 2 2" xfId="2135"/>
    <cellStyle name="40% - Accent4 2 4 2 3" xfId="2136"/>
    <cellStyle name="40% - Accent4 2 4 3" xfId="2137"/>
    <cellStyle name="40% - Accent4 2 4 3 2" xfId="2138"/>
    <cellStyle name="40% - Accent4 2 4 4" xfId="2139"/>
    <cellStyle name="40% - Accent4 2 4 5" xfId="58247"/>
    <cellStyle name="40% - Accent4 2 5" xfId="2140"/>
    <cellStyle name="40% - Accent4 2 5 2" xfId="2141"/>
    <cellStyle name="40% - Accent4 2 5 2 2" xfId="2142"/>
    <cellStyle name="40% - Accent4 2 5 3" xfId="2143"/>
    <cellStyle name="40% - Accent4 2 5 4" xfId="58248"/>
    <cellStyle name="40% - Accent4 2 6" xfId="2144"/>
    <cellStyle name="40% - Accent4 2 6 2" xfId="2145"/>
    <cellStyle name="40% - Accent4 2 6 3" xfId="58249"/>
    <cellStyle name="40% - Accent4 2 7" xfId="2146"/>
    <cellStyle name="40% - Accent4 2 8" xfId="2147"/>
    <cellStyle name="40% - Accent4 2 9" xfId="58250"/>
    <cellStyle name="40% - Accent4 20" xfId="58251"/>
    <cellStyle name="40% - Accent4 21" xfId="58252"/>
    <cellStyle name="40% - Accent4 3" xfId="2148"/>
    <cellStyle name="40% - Accent4 3 2" xfId="2149"/>
    <cellStyle name="40% - Accent4 3 2 2" xfId="2150"/>
    <cellStyle name="40% - Accent4 3 2 2 2" xfId="2151"/>
    <cellStyle name="40% - Accent4 3 2 2 2 2" xfId="2152"/>
    <cellStyle name="40% - Accent4 3 2 2 2 2 2" xfId="2153"/>
    <cellStyle name="40% - Accent4 3 2 2 2 2 2 2" xfId="2154"/>
    <cellStyle name="40% - Accent4 3 2 2 2 2 3" xfId="2155"/>
    <cellStyle name="40% - Accent4 3 2 2 2 3" xfId="2156"/>
    <cellStyle name="40% - Accent4 3 2 2 2 3 2" xfId="2157"/>
    <cellStyle name="40% - Accent4 3 2 2 2 4" xfId="2158"/>
    <cellStyle name="40% - Accent4 3 2 2 2 5" xfId="9014"/>
    <cellStyle name="40% - Accent4 3 2 2 3" xfId="2159"/>
    <cellStyle name="40% - Accent4 3 2 2 3 2" xfId="2160"/>
    <cellStyle name="40% - Accent4 3 2 2 3 2 2" xfId="2161"/>
    <cellStyle name="40% - Accent4 3 2 2 3 3" xfId="2162"/>
    <cellStyle name="40% - Accent4 3 2 2 4" xfId="2163"/>
    <cellStyle name="40% - Accent4 3 2 2 4 2" xfId="2164"/>
    <cellStyle name="40% - Accent4 3 2 2 5" xfId="2165"/>
    <cellStyle name="40% - Accent4 3 2 2 6" xfId="9015"/>
    <cellStyle name="40% - Accent4 3 2 3" xfId="2166"/>
    <cellStyle name="40% - Accent4 3 2 3 2" xfId="2167"/>
    <cellStyle name="40% - Accent4 3 2 3 2 2" xfId="2168"/>
    <cellStyle name="40% - Accent4 3 2 3 2 2 2" xfId="2169"/>
    <cellStyle name="40% - Accent4 3 2 3 2 3" xfId="2170"/>
    <cellStyle name="40% - Accent4 3 2 3 3" xfId="2171"/>
    <cellStyle name="40% - Accent4 3 2 3 3 2" xfId="2172"/>
    <cellStyle name="40% - Accent4 3 2 3 4" xfId="2173"/>
    <cellStyle name="40% - Accent4 3 2 3 5" xfId="9016"/>
    <cellStyle name="40% - Accent4 3 2 4" xfId="2174"/>
    <cellStyle name="40% - Accent4 3 2 4 2" xfId="2175"/>
    <cellStyle name="40% - Accent4 3 2 4 2 2" xfId="2176"/>
    <cellStyle name="40% - Accent4 3 2 4 3" xfId="2177"/>
    <cellStyle name="40% - Accent4 3 2 5" xfId="2178"/>
    <cellStyle name="40% - Accent4 3 2 5 2" xfId="2179"/>
    <cellStyle name="40% - Accent4 3 2 6" xfId="2180"/>
    <cellStyle name="40% - Accent4 3 2 7" xfId="9017"/>
    <cellStyle name="40% - Accent4 3 3" xfId="2181"/>
    <cellStyle name="40% - Accent4 3 3 2" xfId="2182"/>
    <cellStyle name="40% - Accent4 3 3 2 2" xfId="2183"/>
    <cellStyle name="40% - Accent4 3 3 2 2 2" xfId="2184"/>
    <cellStyle name="40% - Accent4 3 3 2 2 2 2" xfId="2185"/>
    <cellStyle name="40% - Accent4 3 3 2 2 3" xfId="2186"/>
    <cellStyle name="40% - Accent4 3 3 2 3" xfId="2187"/>
    <cellStyle name="40% - Accent4 3 3 2 3 2" xfId="2188"/>
    <cellStyle name="40% - Accent4 3 3 2 4" xfId="2189"/>
    <cellStyle name="40% - Accent4 3 3 2 5" xfId="9018"/>
    <cellStyle name="40% - Accent4 3 3 3" xfId="2190"/>
    <cellStyle name="40% - Accent4 3 3 3 2" xfId="2191"/>
    <cellStyle name="40% - Accent4 3 3 3 2 2" xfId="2192"/>
    <cellStyle name="40% - Accent4 3 3 3 3" xfId="2193"/>
    <cellStyle name="40% - Accent4 3 3 4" xfId="2194"/>
    <cellStyle name="40% - Accent4 3 3 4 2" xfId="2195"/>
    <cellStyle name="40% - Accent4 3 3 5" xfId="2196"/>
    <cellStyle name="40% - Accent4 3 3 6" xfId="9019"/>
    <cellStyle name="40% - Accent4 3 4" xfId="2197"/>
    <cellStyle name="40% - Accent4 3 4 2" xfId="2198"/>
    <cellStyle name="40% - Accent4 3 4 2 2" xfId="2199"/>
    <cellStyle name="40% - Accent4 3 4 2 2 2" xfId="2200"/>
    <cellStyle name="40% - Accent4 3 4 2 3" xfId="2201"/>
    <cellStyle name="40% - Accent4 3 4 3" xfId="2202"/>
    <cellStyle name="40% - Accent4 3 4 3 2" xfId="2203"/>
    <cellStyle name="40% - Accent4 3 4 4" xfId="2204"/>
    <cellStyle name="40% - Accent4 3 4 5" xfId="9020"/>
    <cellStyle name="40% - Accent4 3 5" xfId="2205"/>
    <cellStyle name="40% - Accent4 3 5 2" xfId="2206"/>
    <cellStyle name="40% - Accent4 3 5 2 2" xfId="2207"/>
    <cellStyle name="40% - Accent4 3 5 3" xfId="2208"/>
    <cellStyle name="40% - Accent4 3 6" xfId="2209"/>
    <cellStyle name="40% - Accent4 3 6 2" xfId="2210"/>
    <cellStyle name="40% - Accent4 3 7" xfId="2211"/>
    <cellStyle name="40% - Accent4 3 8" xfId="2212"/>
    <cellStyle name="40% - Accent4 3 9" xfId="9021"/>
    <cellStyle name="40% - Accent4 4" xfId="2213"/>
    <cellStyle name="40% - Accent4 4 10" xfId="23829"/>
    <cellStyle name="40% - Accent4 4 10 2" xfId="23830"/>
    <cellStyle name="40% - Accent4 4 10 2 2" xfId="23831"/>
    <cellStyle name="40% - Accent4 4 10 2 3" xfId="23832"/>
    <cellStyle name="40% - Accent4 4 10 3" xfId="23833"/>
    <cellStyle name="40% - Accent4 4 10 3 2" xfId="23834"/>
    <cellStyle name="40% - Accent4 4 10 4" xfId="23835"/>
    <cellStyle name="40% - Accent4 4 10 5" xfId="23836"/>
    <cellStyle name="40% - Accent4 4 11" xfId="23837"/>
    <cellStyle name="40% - Accent4 4 11 2" xfId="23838"/>
    <cellStyle name="40% - Accent4 4 11 3" xfId="23839"/>
    <cellStyle name="40% - Accent4 4 12" xfId="23840"/>
    <cellStyle name="40% - Accent4 4 12 2" xfId="23841"/>
    <cellStyle name="40% - Accent4 4 12 3" xfId="23842"/>
    <cellStyle name="40% - Accent4 4 13" xfId="23843"/>
    <cellStyle name="40% - Accent4 4 13 2" xfId="23844"/>
    <cellStyle name="40% - Accent4 4 14" xfId="23845"/>
    <cellStyle name="40% - Accent4 4 15" xfId="23846"/>
    <cellStyle name="40% - Accent4 4 16" xfId="23847"/>
    <cellStyle name="40% - Accent4 4 2" xfId="2214"/>
    <cellStyle name="40% - Accent4 4 2 10" xfId="23848"/>
    <cellStyle name="40% - Accent4 4 2 10 2" xfId="23849"/>
    <cellStyle name="40% - Accent4 4 2 10 3" xfId="23850"/>
    <cellStyle name="40% - Accent4 4 2 11" xfId="23851"/>
    <cellStyle name="40% - Accent4 4 2 11 2" xfId="23852"/>
    <cellStyle name="40% - Accent4 4 2 11 3" xfId="23853"/>
    <cellStyle name="40% - Accent4 4 2 12" xfId="23854"/>
    <cellStyle name="40% - Accent4 4 2 12 2" xfId="23855"/>
    <cellStyle name="40% - Accent4 4 2 13" xfId="23856"/>
    <cellStyle name="40% - Accent4 4 2 14" xfId="23857"/>
    <cellStyle name="40% - Accent4 4 2 15" xfId="23858"/>
    <cellStyle name="40% - Accent4 4 2 2" xfId="2215"/>
    <cellStyle name="40% - Accent4 4 2 2 10" xfId="23859"/>
    <cellStyle name="40% - Accent4 4 2 2 10 2" xfId="23860"/>
    <cellStyle name="40% - Accent4 4 2 2 10 3" xfId="23861"/>
    <cellStyle name="40% - Accent4 4 2 2 11" xfId="23862"/>
    <cellStyle name="40% - Accent4 4 2 2 11 2" xfId="23863"/>
    <cellStyle name="40% - Accent4 4 2 2 12" xfId="23864"/>
    <cellStyle name="40% - Accent4 4 2 2 13" xfId="23865"/>
    <cellStyle name="40% - Accent4 4 2 2 2" xfId="2216"/>
    <cellStyle name="40% - Accent4 4 2 2 2 10" xfId="23866"/>
    <cellStyle name="40% - Accent4 4 2 2 2 10 2" xfId="23867"/>
    <cellStyle name="40% - Accent4 4 2 2 2 11" xfId="23868"/>
    <cellStyle name="40% - Accent4 4 2 2 2 12" xfId="23869"/>
    <cellStyle name="40% - Accent4 4 2 2 2 2" xfId="2217"/>
    <cellStyle name="40% - Accent4 4 2 2 2 2 10" xfId="23870"/>
    <cellStyle name="40% - Accent4 4 2 2 2 2 2" xfId="2218"/>
    <cellStyle name="40% - Accent4 4 2 2 2 2 2 2" xfId="23871"/>
    <cellStyle name="40% - Accent4 4 2 2 2 2 2 2 2" xfId="23872"/>
    <cellStyle name="40% - Accent4 4 2 2 2 2 2 2 2 2" xfId="23873"/>
    <cellStyle name="40% - Accent4 4 2 2 2 2 2 2 2 3" xfId="23874"/>
    <cellStyle name="40% - Accent4 4 2 2 2 2 2 2 3" xfId="23875"/>
    <cellStyle name="40% - Accent4 4 2 2 2 2 2 2 3 2" xfId="23876"/>
    <cellStyle name="40% - Accent4 4 2 2 2 2 2 2 3 3" xfId="23877"/>
    <cellStyle name="40% - Accent4 4 2 2 2 2 2 2 4" xfId="23878"/>
    <cellStyle name="40% - Accent4 4 2 2 2 2 2 2 4 2" xfId="23879"/>
    <cellStyle name="40% - Accent4 4 2 2 2 2 2 2 5" xfId="23880"/>
    <cellStyle name="40% - Accent4 4 2 2 2 2 2 2 6" xfId="23881"/>
    <cellStyle name="40% - Accent4 4 2 2 2 2 2 3" xfId="23882"/>
    <cellStyle name="40% - Accent4 4 2 2 2 2 2 3 2" xfId="23883"/>
    <cellStyle name="40% - Accent4 4 2 2 2 2 2 3 2 2" xfId="23884"/>
    <cellStyle name="40% - Accent4 4 2 2 2 2 2 3 2 3" xfId="23885"/>
    <cellStyle name="40% - Accent4 4 2 2 2 2 2 3 3" xfId="23886"/>
    <cellStyle name="40% - Accent4 4 2 2 2 2 2 3 3 2" xfId="23887"/>
    <cellStyle name="40% - Accent4 4 2 2 2 2 2 3 3 3" xfId="23888"/>
    <cellStyle name="40% - Accent4 4 2 2 2 2 2 3 4" xfId="23889"/>
    <cellStyle name="40% - Accent4 4 2 2 2 2 2 3 4 2" xfId="23890"/>
    <cellStyle name="40% - Accent4 4 2 2 2 2 2 3 5" xfId="23891"/>
    <cellStyle name="40% - Accent4 4 2 2 2 2 2 3 6" xfId="23892"/>
    <cellStyle name="40% - Accent4 4 2 2 2 2 2 4" xfId="23893"/>
    <cellStyle name="40% - Accent4 4 2 2 2 2 2 4 2" xfId="23894"/>
    <cellStyle name="40% - Accent4 4 2 2 2 2 2 4 2 2" xfId="23895"/>
    <cellStyle name="40% - Accent4 4 2 2 2 2 2 4 2 3" xfId="23896"/>
    <cellStyle name="40% - Accent4 4 2 2 2 2 2 4 3" xfId="23897"/>
    <cellStyle name="40% - Accent4 4 2 2 2 2 2 4 3 2" xfId="23898"/>
    <cellStyle name="40% - Accent4 4 2 2 2 2 2 4 4" xfId="23899"/>
    <cellStyle name="40% - Accent4 4 2 2 2 2 2 4 5" xfId="23900"/>
    <cellStyle name="40% - Accent4 4 2 2 2 2 2 5" xfId="23901"/>
    <cellStyle name="40% - Accent4 4 2 2 2 2 2 5 2" xfId="23902"/>
    <cellStyle name="40% - Accent4 4 2 2 2 2 2 5 3" xfId="23903"/>
    <cellStyle name="40% - Accent4 4 2 2 2 2 2 6" xfId="23904"/>
    <cellStyle name="40% - Accent4 4 2 2 2 2 2 6 2" xfId="23905"/>
    <cellStyle name="40% - Accent4 4 2 2 2 2 2 6 3" xfId="23906"/>
    <cellStyle name="40% - Accent4 4 2 2 2 2 2 7" xfId="23907"/>
    <cellStyle name="40% - Accent4 4 2 2 2 2 2 7 2" xfId="23908"/>
    <cellStyle name="40% - Accent4 4 2 2 2 2 2 8" xfId="23909"/>
    <cellStyle name="40% - Accent4 4 2 2 2 2 2 9" xfId="23910"/>
    <cellStyle name="40% - Accent4 4 2 2 2 2 3" xfId="23911"/>
    <cellStyle name="40% - Accent4 4 2 2 2 2 3 2" xfId="23912"/>
    <cellStyle name="40% - Accent4 4 2 2 2 2 3 2 2" xfId="23913"/>
    <cellStyle name="40% - Accent4 4 2 2 2 2 3 2 3" xfId="23914"/>
    <cellStyle name="40% - Accent4 4 2 2 2 2 3 3" xfId="23915"/>
    <cellStyle name="40% - Accent4 4 2 2 2 2 3 3 2" xfId="23916"/>
    <cellStyle name="40% - Accent4 4 2 2 2 2 3 3 3" xfId="23917"/>
    <cellStyle name="40% - Accent4 4 2 2 2 2 3 4" xfId="23918"/>
    <cellStyle name="40% - Accent4 4 2 2 2 2 3 4 2" xfId="23919"/>
    <cellStyle name="40% - Accent4 4 2 2 2 2 3 5" xfId="23920"/>
    <cellStyle name="40% - Accent4 4 2 2 2 2 3 6" xfId="23921"/>
    <cellStyle name="40% - Accent4 4 2 2 2 2 4" xfId="23922"/>
    <cellStyle name="40% - Accent4 4 2 2 2 2 4 2" xfId="23923"/>
    <cellStyle name="40% - Accent4 4 2 2 2 2 4 2 2" xfId="23924"/>
    <cellStyle name="40% - Accent4 4 2 2 2 2 4 2 3" xfId="23925"/>
    <cellStyle name="40% - Accent4 4 2 2 2 2 4 3" xfId="23926"/>
    <cellStyle name="40% - Accent4 4 2 2 2 2 4 3 2" xfId="23927"/>
    <cellStyle name="40% - Accent4 4 2 2 2 2 4 3 3" xfId="23928"/>
    <cellStyle name="40% - Accent4 4 2 2 2 2 4 4" xfId="23929"/>
    <cellStyle name="40% - Accent4 4 2 2 2 2 4 4 2" xfId="23930"/>
    <cellStyle name="40% - Accent4 4 2 2 2 2 4 5" xfId="23931"/>
    <cellStyle name="40% - Accent4 4 2 2 2 2 4 6" xfId="23932"/>
    <cellStyle name="40% - Accent4 4 2 2 2 2 5" xfId="23933"/>
    <cellStyle name="40% - Accent4 4 2 2 2 2 5 2" xfId="23934"/>
    <cellStyle name="40% - Accent4 4 2 2 2 2 5 2 2" xfId="23935"/>
    <cellStyle name="40% - Accent4 4 2 2 2 2 5 2 3" xfId="23936"/>
    <cellStyle name="40% - Accent4 4 2 2 2 2 5 3" xfId="23937"/>
    <cellStyle name="40% - Accent4 4 2 2 2 2 5 3 2" xfId="23938"/>
    <cellStyle name="40% - Accent4 4 2 2 2 2 5 4" xfId="23939"/>
    <cellStyle name="40% - Accent4 4 2 2 2 2 5 5" xfId="23940"/>
    <cellStyle name="40% - Accent4 4 2 2 2 2 6" xfId="23941"/>
    <cellStyle name="40% - Accent4 4 2 2 2 2 6 2" xfId="23942"/>
    <cellStyle name="40% - Accent4 4 2 2 2 2 6 3" xfId="23943"/>
    <cellStyle name="40% - Accent4 4 2 2 2 2 7" xfId="23944"/>
    <cellStyle name="40% - Accent4 4 2 2 2 2 7 2" xfId="23945"/>
    <cellStyle name="40% - Accent4 4 2 2 2 2 7 3" xfId="23946"/>
    <cellStyle name="40% - Accent4 4 2 2 2 2 8" xfId="23947"/>
    <cellStyle name="40% - Accent4 4 2 2 2 2 8 2" xfId="23948"/>
    <cellStyle name="40% - Accent4 4 2 2 2 2 9" xfId="23949"/>
    <cellStyle name="40% - Accent4 4 2 2 2 3" xfId="2219"/>
    <cellStyle name="40% - Accent4 4 2 2 2 3 2" xfId="23950"/>
    <cellStyle name="40% - Accent4 4 2 2 2 3 2 2" xfId="23951"/>
    <cellStyle name="40% - Accent4 4 2 2 2 3 2 2 2" xfId="23952"/>
    <cellStyle name="40% - Accent4 4 2 2 2 3 2 2 3" xfId="23953"/>
    <cellStyle name="40% - Accent4 4 2 2 2 3 2 3" xfId="23954"/>
    <cellStyle name="40% - Accent4 4 2 2 2 3 2 3 2" xfId="23955"/>
    <cellStyle name="40% - Accent4 4 2 2 2 3 2 3 3" xfId="23956"/>
    <cellStyle name="40% - Accent4 4 2 2 2 3 2 4" xfId="23957"/>
    <cellStyle name="40% - Accent4 4 2 2 2 3 2 4 2" xfId="23958"/>
    <cellStyle name="40% - Accent4 4 2 2 2 3 2 5" xfId="23959"/>
    <cellStyle name="40% - Accent4 4 2 2 2 3 2 6" xfId="23960"/>
    <cellStyle name="40% - Accent4 4 2 2 2 3 3" xfId="23961"/>
    <cellStyle name="40% - Accent4 4 2 2 2 3 3 2" xfId="23962"/>
    <cellStyle name="40% - Accent4 4 2 2 2 3 3 2 2" xfId="23963"/>
    <cellStyle name="40% - Accent4 4 2 2 2 3 3 2 3" xfId="23964"/>
    <cellStyle name="40% - Accent4 4 2 2 2 3 3 3" xfId="23965"/>
    <cellStyle name="40% - Accent4 4 2 2 2 3 3 3 2" xfId="23966"/>
    <cellStyle name="40% - Accent4 4 2 2 2 3 3 3 3" xfId="23967"/>
    <cellStyle name="40% - Accent4 4 2 2 2 3 3 4" xfId="23968"/>
    <cellStyle name="40% - Accent4 4 2 2 2 3 3 4 2" xfId="23969"/>
    <cellStyle name="40% - Accent4 4 2 2 2 3 3 5" xfId="23970"/>
    <cellStyle name="40% - Accent4 4 2 2 2 3 3 6" xfId="23971"/>
    <cellStyle name="40% - Accent4 4 2 2 2 3 4" xfId="23972"/>
    <cellStyle name="40% - Accent4 4 2 2 2 3 4 2" xfId="23973"/>
    <cellStyle name="40% - Accent4 4 2 2 2 3 4 2 2" xfId="23974"/>
    <cellStyle name="40% - Accent4 4 2 2 2 3 4 2 3" xfId="23975"/>
    <cellStyle name="40% - Accent4 4 2 2 2 3 4 3" xfId="23976"/>
    <cellStyle name="40% - Accent4 4 2 2 2 3 4 3 2" xfId="23977"/>
    <cellStyle name="40% - Accent4 4 2 2 2 3 4 4" xfId="23978"/>
    <cellStyle name="40% - Accent4 4 2 2 2 3 4 5" xfId="23979"/>
    <cellStyle name="40% - Accent4 4 2 2 2 3 5" xfId="23980"/>
    <cellStyle name="40% - Accent4 4 2 2 2 3 5 2" xfId="23981"/>
    <cellStyle name="40% - Accent4 4 2 2 2 3 5 3" xfId="23982"/>
    <cellStyle name="40% - Accent4 4 2 2 2 3 6" xfId="23983"/>
    <cellStyle name="40% - Accent4 4 2 2 2 3 6 2" xfId="23984"/>
    <cellStyle name="40% - Accent4 4 2 2 2 3 6 3" xfId="23985"/>
    <cellStyle name="40% - Accent4 4 2 2 2 3 7" xfId="23986"/>
    <cellStyle name="40% - Accent4 4 2 2 2 3 7 2" xfId="23987"/>
    <cellStyle name="40% - Accent4 4 2 2 2 3 8" xfId="23988"/>
    <cellStyle name="40% - Accent4 4 2 2 2 3 9" xfId="23989"/>
    <cellStyle name="40% - Accent4 4 2 2 2 4" xfId="23990"/>
    <cellStyle name="40% - Accent4 4 2 2 2 4 2" xfId="23991"/>
    <cellStyle name="40% - Accent4 4 2 2 2 4 2 2" xfId="23992"/>
    <cellStyle name="40% - Accent4 4 2 2 2 4 2 2 2" xfId="23993"/>
    <cellStyle name="40% - Accent4 4 2 2 2 4 2 2 3" xfId="23994"/>
    <cellStyle name="40% - Accent4 4 2 2 2 4 2 3" xfId="23995"/>
    <cellStyle name="40% - Accent4 4 2 2 2 4 2 3 2" xfId="23996"/>
    <cellStyle name="40% - Accent4 4 2 2 2 4 2 3 3" xfId="23997"/>
    <cellStyle name="40% - Accent4 4 2 2 2 4 2 4" xfId="23998"/>
    <cellStyle name="40% - Accent4 4 2 2 2 4 2 4 2" xfId="23999"/>
    <cellStyle name="40% - Accent4 4 2 2 2 4 2 5" xfId="24000"/>
    <cellStyle name="40% - Accent4 4 2 2 2 4 2 6" xfId="24001"/>
    <cellStyle name="40% - Accent4 4 2 2 2 4 3" xfId="24002"/>
    <cellStyle name="40% - Accent4 4 2 2 2 4 3 2" xfId="24003"/>
    <cellStyle name="40% - Accent4 4 2 2 2 4 3 2 2" xfId="24004"/>
    <cellStyle name="40% - Accent4 4 2 2 2 4 3 2 3" xfId="24005"/>
    <cellStyle name="40% - Accent4 4 2 2 2 4 3 3" xfId="24006"/>
    <cellStyle name="40% - Accent4 4 2 2 2 4 3 3 2" xfId="24007"/>
    <cellStyle name="40% - Accent4 4 2 2 2 4 3 3 3" xfId="24008"/>
    <cellStyle name="40% - Accent4 4 2 2 2 4 3 4" xfId="24009"/>
    <cellStyle name="40% - Accent4 4 2 2 2 4 3 4 2" xfId="24010"/>
    <cellStyle name="40% - Accent4 4 2 2 2 4 3 5" xfId="24011"/>
    <cellStyle name="40% - Accent4 4 2 2 2 4 3 6" xfId="24012"/>
    <cellStyle name="40% - Accent4 4 2 2 2 4 4" xfId="24013"/>
    <cellStyle name="40% - Accent4 4 2 2 2 4 4 2" xfId="24014"/>
    <cellStyle name="40% - Accent4 4 2 2 2 4 4 2 2" xfId="24015"/>
    <cellStyle name="40% - Accent4 4 2 2 2 4 4 2 3" xfId="24016"/>
    <cellStyle name="40% - Accent4 4 2 2 2 4 4 3" xfId="24017"/>
    <cellStyle name="40% - Accent4 4 2 2 2 4 4 3 2" xfId="24018"/>
    <cellStyle name="40% - Accent4 4 2 2 2 4 4 4" xfId="24019"/>
    <cellStyle name="40% - Accent4 4 2 2 2 4 4 5" xfId="24020"/>
    <cellStyle name="40% - Accent4 4 2 2 2 4 5" xfId="24021"/>
    <cellStyle name="40% - Accent4 4 2 2 2 4 5 2" xfId="24022"/>
    <cellStyle name="40% - Accent4 4 2 2 2 4 5 3" xfId="24023"/>
    <cellStyle name="40% - Accent4 4 2 2 2 4 6" xfId="24024"/>
    <cellStyle name="40% - Accent4 4 2 2 2 4 6 2" xfId="24025"/>
    <cellStyle name="40% - Accent4 4 2 2 2 4 6 3" xfId="24026"/>
    <cellStyle name="40% - Accent4 4 2 2 2 4 7" xfId="24027"/>
    <cellStyle name="40% - Accent4 4 2 2 2 4 7 2" xfId="24028"/>
    <cellStyle name="40% - Accent4 4 2 2 2 4 8" xfId="24029"/>
    <cellStyle name="40% - Accent4 4 2 2 2 4 9" xfId="24030"/>
    <cellStyle name="40% - Accent4 4 2 2 2 5" xfId="24031"/>
    <cellStyle name="40% - Accent4 4 2 2 2 5 2" xfId="24032"/>
    <cellStyle name="40% - Accent4 4 2 2 2 5 2 2" xfId="24033"/>
    <cellStyle name="40% - Accent4 4 2 2 2 5 2 3" xfId="24034"/>
    <cellStyle name="40% - Accent4 4 2 2 2 5 3" xfId="24035"/>
    <cellStyle name="40% - Accent4 4 2 2 2 5 3 2" xfId="24036"/>
    <cellStyle name="40% - Accent4 4 2 2 2 5 3 3" xfId="24037"/>
    <cellStyle name="40% - Accent4 4 2 2 2 5 4" xfId="24038"/>
    <cellStyle name="40% - Accent4 4 2 2 2 5 4 2" xfId="24039"/>
    <cellStyle name="40% - Accent4 4 2 2 2 5 5" xfId="24040"/>
    <cellStyle name="40% - Accent4 4 2 2 2 5 6" xfId="24041"/>
    <cellStyle name="40% - Accent4 4 2 2 2 6" xfId="24042"/>
    <cellStyle name="40% - Accent4 4 2 2 2 6 2" xfId="24043"/>
    <cellStyle name="40% - Accent4 4 2 2 2 6 2 2" xfId="24044"/>
    <cellStyle name="40% - Accent4 4 2 2 2 6 2 3" xfId="24045"/>
    <cellStyle name="40% - Accent4 4 2 2 2 6 3" xfId="24046"/>
    <cellStyle name="40% - Accent4 4 2 2 2 6 3 2" xfId="24047"/>
    <cellStyle name="40% - Accent4 4 2 2 2 6 3 3" xfId="24048"/>
    <cellStyle name="40% - Accent4 4 2 2 2 6 4" xfId="24049"/>
    <cellStyle name="40% - Accent4 4 2 2 2 6 4 2" xfId="24050"/>
    <cellStyle name="40% - Accent4 4 2 2 2 6 5" xfId="24051"/>
    <cellStyle name="40% - Accent4 4 2 2 2 6 6" xfId="24052"/>
    <cellStyle name="40% - Accent4 4 2 2 2 7" xfId="24053"/>
    <cellStyle name="40% - Accent4 4 2 2 2 7 2" xfId="24054"/>
    <cellStyle name="40% - Accent4 4 2 2 2 7 2 2" xfId="24055"/>
    <cellStyle name="40% - Accent4 4 2 2 2 7 2 3" xfId="24056"/>
    <cellStyle name="40% - Accent4 4 2 2 2 7 3" xfId="24057"/>
    <cellStyle name="40% - Accent4 4 2 2 2 7 3 2" xfId="24058"/>
    <cellStyle name="40% - Accent4 4 2 2 2 7 4" xfId="24059"/>
    <cellStyle name="40% - Accent4 4 2 2 2 7 5" xfId="24060"/>
    <cellStyle name="40% - Accent4 4 2 2 2 8" xfId="24061"/>
    <cellStyle name="40% - Accent4 4 2 2 2 8 2" xfId="24062"/>
    <cellStyle name="40% - Accent4 4 2 2 2 8 3" xfId="24063"/>
    <cellStyle name="40% - Accent4 4 2 2 2 9" xfId="24064"/>
    <cellStyle name="40% - Accent4 4 2 2 2 9 2" xfId="24065"/>
    <cellStyle name="40% - Accent4 4 2 2 2 9 3" xfId="24066"/>
    <cellStyle name="40% - Accent4 4 2 2 3" xfId="2220"/>
    <cellStyle name="40% - Accent4 4 2 2 3 10" xfId="24067"/>
    <cellStyle name="40% - Accent4 4 2 2 3 2" xfId="2221"/>
    <cellStyle name="40% - Accent4 4 2 2 3 2 2" xfId="24068"/>
    <cellStyle name="40% - Accent4 4 2 2 3 2 2 2" xfId="24069"/>
    <cellStyle name="40% - Accent4 4 2 2 3 2 2 2 2" xfId="24070"/>
    <cellStyle name="40% - Accent4 4 2 2 3 2 2 2 3" xfId="24071"/>
    <cellStyle name="40% - Accent4 4 2 2 3 2 2 3" xfId="24072"/>
    <cellStyle name="40% - Accent4 4 2 2 3 2 2 3 2" xfId="24073"/>
    <cellStyle name="40% - Accent4 4 2 2 3 2 2 3 3" xfId="24074"/>
    <cellStyle name="40% - Accent4 4 2 2 3 2 2 4" xfId="24075"/>
    <cellStyle name="40% - Accent4 4 2 2 3 2 2 4 2" xfId="24076"/>
    <cellStyle name="40% - Accent4 4 2 2 3 2 2 5" xfId="24077"/>
    <cellStyle name="40% - Accent4 4 2 2 3 2 2 6" xfId="24078"/>
    <cellStyle name="40% - Accent4 4 2 2 3 2 3" xfId="24079"/>
    <cellStyle name="40% - Accent4 4 2 2 3 2 3 2" xfId="24080"/>
    <cellStyle name="40% - Accent4 4 2 2 3 2 3 2 2" xfId="24081"/>
    <cellStyle name="40% - Accent4 4 2 2 3 2 3 2 3" xfId="24082"/>
    <cellStyle name="40% - Accent4 4 2 2 3 2 3 3" xfId="24083"/>
    <cellStyle name="40% - Accent4 4 2 2 3 2 3 3 2" xfId="24084"/>
    <cellStyle name="40% - Accent4 4 2 2 3 2 3 3 3" xfId="24085"/>
    <cellStyle name="40% - Accent4 4 2 2 3 2 3 4" xfId="24086"/>
    <cellStyle name="40% - Accent4 4 2 2 3 2 3 4 2" xfId="24087"/>
    <cellStyle name="40% - Accent4 4 2 2 3 2 3 5" xfId="24088"/>
    <cellStyle name="40% - Accent4 4 2 2 3 2 3 6" xfId="24089"/>
    <cellStyle name="40% - Accent4 4 2 2 3 2 4" xfId="24090"/>
    <cellStyle name="40% - Accent4 4 2 2 3 2 4 2" xfId="24091"/>
    <cellStyle name="40% - Accent4 4 2 2 3 2 4 2 2" xfId="24092"/>
    <cellStyle name="40% - Accent4 4 2 2 3 2 4 2 3" xfId="24093"/>
    <cellStyle name="40% - Accent4 4 2 2 3 2 4 3" xfId="24094"/>
    <cellStyle name="40% - Accent4 4 2 2 3 2 4 3 2" xfId="24095"/>
    <cellStyle name="40% - Accent4 4 2 2 3 2 4 4" xfId="24096"/>
    <cellStyle name="40% - Accent4 4 2 2 3 2 4 5" xfId="24097"/>
    <cellStyle name="40% - Accent4 4 2 2 3 2 5" xfId="24098"/>
    <cellStyle name="40% - Accent4 4 2 2 3 2 5 2" xfId="24099"/>
    <cellStyle name="40% - Accent4 4 2 2 3 2 5 3" xfId="24100"/>
    <cellStyle name="40% - Accent4 4 2 2 3 2 6" xfId="24101"/>
    <cellStyle name="40% - Accent4 4 2 2 3 2 6 2" xfId="24102"/>
    <cellStyle name="40% - Accent4 4 2 2 3 2 6 3" xfId="24103"/>
    <cellStyle name="40% - Accent4 4 2 2 3 2 7" xfId="24104"/>
    <cellStyle name="40% - Accent4 4 2 2 3 2 7 2" xfId="24105"/>
    <cellStyle name="40% - Accent4 4 2 2 3 2 8" xfId="24106"/>
    <cellStyle name="40% - Accent4 4 2 2 3 2 9" xfId="24107"/>
    <cellStyle name="40% - Accent4 4 2 2 3 3" xfId="24108"/>
    <cellStyle name="40% - Accent4 4 2 2 3 3 2" xfId="24109"/>
    <cellStyle name="40% - Accent4 4 2 2 3 3 2 2" xfId="24110"/>
    <cellStyle name="40% - Accent4 4 2 2 3 3 2 3" xfId="24111"/>
    <cellStyle name="40% - Accent4 4 2 2 3 3 3" xfId="24112"/>
    <cellStyle name="40% - Accent4 4 2 2 3 3 3 2" xfId="24113"/>
    <cellStyle name="40% - Accent4 4 2 2 3 3 3 3" xfId="24114"/>
    <cellStyle name="40% - Accent4 4 2 2 3 3 4" xfId="24115"/>
    <cellStyle name="40% - Accent4 4 2 2 3 3 4 2" xfId="24116"/>
    <cellStyle name="40% - Accent4 4 2 2 3 3 5" xfId="24117"/>
    <cellStyle name="40% - Accent4 4 2 2 3 3 6" xfId="24118"/>
    <cellStyle name="40% - Accent4 4 2 2 3 4" xfId="24119"/>
    <cellStyle name="40% - Accent4 4 2 2 3 4 2" xfId="24120"/>
    <cellStyle name="40% - Accent4 4 2 2 3 4 2 2" xfId="24121"/>
    <cellStyle name="40% - Accent4 4 2 2 3 4 2 3" xfId="24122"/>
    <cellStyle name="40% - Accent4 4 2 2 3 4 3" xfId="24123"/>
    <cellStyle name="40% - Accent4 4 2 2 3 4 3 2" xfId="24124"/>
    <cellStyle name="40% - Accent4 4 2 2 3 4 3 3" xfId="24125"/>
    <cellStyle name="40% - Accent4 4 2 2 3 4 4" xfId="24126"/>
    <cellStyle name="40% - Accent4 4 2 2 3 4 4 2" xfId="24127"/>
    <cellStyle name="40% - Accent4 4 2 2 3 4 5" xfId="24128"/>
    <cellStyle name="40% - Accent4 4 2 2 3 4 6" xfId="24129"/>
    <cellStyle name="40% - Accent4 4 2 2 3 5" xfId="24130"/>
    <cellStyle name="40% - Accent4 4 2 2 3 5 2" xfId="24131"/>
    <cellStyle name="40% - Accent4 4 2 2 3 5 2 2" xfId="24132"/>
    <cellStyle name="40% - Accent4 4 2 2 3 5 2 3" xfId="24133"/>
    <cellStyle name="40% - Accent4 4 2 2 3 5 3" xfId="24134"/>
    <cellStyle name="40% - Accent4 4 2 2 3 5 3 2" xfId="24135"/>
    <cellStyle name="40% - Accent4 4 2 2 3 5 4" xfId="24136"/>
    <cellStyle name="40% - Accent4 4 2 2 3 5 5" xfId="24137"/>
    <cellStyle name="40% - Accent4 4 2 2 3 6" xfId="24138"/>
    <cellStyle name="40% - Accent4 4 2 2 3 6 2" xfId="24139"/>
    <cellStyle name="40% - Accent4 4 2 2 3 6 3" xfId="24140"/>
    <cellStyle name="40% - Accent4 4 2 2 3 7" xfId="24141"/>
    <cellStyle name="40% - Accent4 4 2 2 3 7 2" xfId="24142"/>
    <cellStyle name="40% - Accent4 4 2 2 3 7 3" xfId="24143"/>
    <cellStyle name="40% - Accent4 4 2 2 3 8" xfId="24144"/>
    <cellStyle name="40% - Accent4 4 2 2 3 8 2" xfId="24145"/>
    <cellStyle name="40% - Accent4 4 2 2 3 9" xfId="24146"/>
    <cellStyle name="40% - Accent4 4 2 2 4" xfId="2222"/>
    <cellStyle name="40% - Accent4 4 2 2 4 2" xfId="24147"/>
    <cellStyle name="40% - Accent4 4 2 2 4 2 2" xfId="24148"/>
    <cellStyle name="40% - Accent4 4 2 2 4 2 2 2" xfId="24149"/>
    <cellStyle name="40% - Accent4 4 2 2 4 2 2 3" xfId="24150"/>
    <cellStyle name="40% - Accent4 4 2 2 4 2 3" xfId="24151"/>
    <cellStyle name="40% - Accent4 4 2 2 4 2 3 2" xfId="24152"/>
    <cellStyle name="40% - Accent4 4 2 2 4 2 3 3" xfId="24153"/>
    <cellStyle name="40% - Accent4 4 2 2 4 2 4" xfId="24154"/>
    <cellStyle name="40% - Accent4 4 2 2 4 2 4 2" xfId="24155"/>
    <cellStyle name="40% - Accent4 4 2 2 4 2 5" xfId="24156"/>
    <cellStyle name="40% - Accent4 4 2 2 4 2 6" xfId="24157"/>
    <cellStyle name="40% - Accent4 4 2 2 4 3" xfId="24158"/>
    <cellStyle name="40% - Accent4 4 2 2 4 3 2" xfId="24159"/>
    <cellStyle name="40% - Accent4 4 2 2 4 3 2 2" xfId="24160"/>
    <cellStyle name="40% - Accent4 4 2 2 4 3 2 3" xfId="24161"/>
    <cellStyle name="40% - Accent4 4 2 2 4 3 3" xfId="24162"/>
    <cellStyle name="40% - Accent4 4 2 2 4 3 3 2" xfId="24163"/>
    <cellStyle name="40% - Accent4 4 2 2 4 3 3 3" xfId="24164"/>
    <cellStyle name="40% - Accent4 4 2 2 4 3 4" xfId="24165"/>
    <cellStyle name="40% - Accent4 4 2 2 4 3 4 2" xfId="24166"/>
    <cellStyle name="40% - Accent4 4 2 2 4 3 5" xfId="24167"/>
    <cellStyle name="40% - Accent4 4 2 2 4 3 6" xfId="24168"/>
    <cellStyle name="40% - Accent4 4 2 2 4 4" xfId="24169"/>
    <cellStyle name="40% - Accent4 4 2 2 4 4 2" xfId="24170"/>
    <cellStyle name="40% - Accent4 4 2 2 4 4 2 2" xfId="24171"/>
    <cellStyle name="40% - Accent4 4 2 2 4 4 2 3" xfId="24172"/>
    <cellStyle name="40% - Accent4 4 2 2 4 4 3" xfId="24173"/>
    <cellStyle name="40% - Accent4 4 2 2 4 4 3 2" xfId="24174"/>
    <cellStyle name="40% - Accent4 4 2 2 4 4 4" xfId="24175"/>
    <cellStyle name="40% - Accent4 4 2 2 4 4 5" xfId="24176"/>
    <cellStyle name="40% - Accent4 4 2 2 4 5" xfId="24177"/>
    <cellStyle name="40% - Accent4 4 2 2 4 5 2" xfId="24178"/>
    <cellStyle name="40% - Accent4 4 2 2 4 5 3" xfId="24179"/>
    <cellStyle name="40% - Accent4 4 2 2 4 6" xfId="24180"/>
    <cellStyle name="40% - Accent4 4 2 2 4 6 2" xfId="24181"/>
    <cellStyle name="40% - Accent4 4 2 2 4 6 3" xfId="24182"/>
    <cellStyle name="40% - Accent4 4 2 2 4 7" xfId="24183"/>
    <cellStyle name="40% - Accent4 4 2 2 4 7 2" xfId="24184"/>
    <cellStyle name="40% - Accent4 4 2 2 4 8" xfId="24185"/>
    <cellStyle name="40% - Accent4 4 2 2 4 9" xfId="24186"/>
    <cellStyle name="40% - Accent4 4 2 2 5" xfId="24187"/>
    <cellStyle name="40% - Accent4 4 2 2 5 2" xfId="24188"/>
    <cellStyle name="40% - Accent4 4 2 2 5 2 2" xfId="24189"/>
    <cellStyle name="40% - Accent4 4 2 2 5 2 2 2" xfId="24190"/>
    <cellStyle name="40% - Accent4 4 2 2 5 2 2 3" xfId="24191"/>
    <cellStyle name="40% - Accent4 4 2 2 5 2 3" xfId="24192"/>
    <cellStyle name="40% - Accent4 4 2 2 5 2 3 2" xfId="24193"/>
    <cellStyle name="40% - Accent4 4 2 2 5 2 3 3" xfId="24194"/>
    <cellStyle name="40% - Accent4 4 2 2 5 2 4" xfId="24195"/>
    <cellStyle name="40% - Accent4 4 2 2 5 2 4 2" xfId="24196"/>
    <cellStyle name="40% - Accent4 4 2 2 5 2 5" xfId="24197"/>
    <cellStyle name="40% - Accent4 4 2 2 5 2 6" xfId="24198"/>
    <cellStyle name="40% - Accent4 4 2 2 5 3" xfId="24199"/>
    <cellStyle name="40% - Accent4 4 2 2 5 3 2" xfId="24200"/>
    <cellStyle name="40% - Accent4 4 2 2 5 3 2 2" xfId="24201"/>
    <cellStyle name="40% - Accent4 4 2 2 5 3 2 3" xfId="24202"/>
    <cellStyle name="40% - Accent4 4 2 2 5 3 3" xfId="24203"/>
    <cellStyle name="40% - Accent4 4 2 2 5 3 3 2" xfId="24204"/>
    <cellStyle name="40% - Accent4 4 2 2 5 3 3 3" xfId="24205"/>
    <cellStyle name="40% - Accent4 4 2 2 5 3 4" xfId="24206"/>
    <cellStyle name="40% - Accent4 4 2 2 5 3 4 2" xfId="24207"/>
    <cellStyle name="40% - Accent4 4 2 2 5 3 5" xfId="24208"/>
    <cellStyle name="40% - Accent4 4 2 2 5 3 6" xfId="24209"/>
    <cellStyle name="40% - Accent4 4 2 2 5 4" xfId="24210"/>
    <cellStyle name="40% - Accent4 4 2 2 5 4 2" xfId="24211"/>
    <cellStyle name="40% - Accent4 4 2 2 5 4 2 2" xfId="24212"/>
    <cellStyle name="40% - Accent4 4 2 2 5 4 2 3" xfId="24213"/>
    <cellStyle name="40% - Accent4 4 2 2 5 4 3" xfId="24214"/>
    <cellStyle name="40% - Accent4 4 2 2 5 4 3 2" xfId="24215"/>
    <cellStyle name="40% - Accent4 4 2 2 5 4 4" xfId="24216"/>
    <cellStyle name="40% - Accent4 4 2 2 5 4 5" xfId="24217"/>
    <cellStyle name="40% - Accent4 4 2 2 5 5" xfId="24218"/>
    <cellStyle name="40% - Accent4 4 2 2 5 5 2" xfId="24219"/>
    <cellStyle name="40% - Accent4 4 2 2 5 5 3" xfId="24220"/>
    <cellStyle name="40% - Accent4 4 2 2 5 6" xfId="24221"/>
    <cellStyle name="40% - Accent4 4 2 2 5 6 2" xfId="24222"/>
    <cellStyle name="40% - Accent4 4 2 2 5 6 3" xfId="24223"/>
    <cellStyle name="40% - Accent4 4 2 2 5 7" xfId="24224"/>
    <cellStyle name="40% - Accent4 4 2 2 5 7 2" xfId="24225"/>
    <cellStyle name="40% - Accent4 4 2 2 5 8" xfId="24226"/>
    <cellStyle name="40% - Accent4 4 2 2 5 9" xfId="24227"/>
    <cellStyle name="40% - Accent4 4 2 2 6" xfId="24228"/>
    <cellStyle name="40% - Accent4 4 2 2 6 2" xfId="24229"/>
    <cellStyle name="40% - Accent4 4 2 2 6 2 2" xfId="24230"/>
    <cellStyle name="40% - Accent4 4 2 2 6 2 3" xfId="24231"/>
    <cellStyle name="40% - Accent4 4 2 2 6 3" xfId="24232"/>
    <cellStyle name="40% - Accent4 4 2 2 6 3 2" xfId="24233"/>
    <cellStyle name="40% - Accent4 4 2 2 6 3 3" xfId="24234"/>
    <cellStyle name="40% - Accent4 4 2 2 6 4" xfId="24235"/>
    <cellStyle name="40% - Accent4 4 2 2 6 4 2" xfId="24236"/>
    <cellStyle name="40% - Accent4 4 2 2 6 5" xfId="24237"/>
    <cellStyle name="40% - Accent4 4 2 2 6 6" xfId="24238"/>
    <cellStyle name="40% - Accent4 4 2 2 7" xfId="24239"/>
    <cellStyle name="40% - Accent4 4 2 2 7 2" xfId="24240"/>
    <cellStyle name="40% - Accent4 4 2 2 7 2 2" xfId="24241"/>
    <cellStyle name="40% - Accent4 4 2 2 7 2 3" xfId="24242"/>
    <cellStyle name="40% - Accent4 4 2 2 7 3" xfId="24243"/>
    <cellStyle name="40% - Accent4 4 2 2 7 3 2" xfId="24244"/>
    <cellStyle name="40% - Accent4 4 2 2 7 3 3" xfId="24245"/>
    <cellStyle name="40% - Accent4 4 2 2 7 4" xfId="24246"/>
    <cellStyle name="40% - Accent4 4 2 2 7 4 2" xfId="24247"/>
    <cellStyle name="40% - Accent4 4 2 2 7 5" xfId="24248"/>
    <cellStyle name="40% - Accent4 4 2 2 7 6" xfId="24249"/>
    <cellStyle name="40% - Accent4 4 2 2 8" xfId="24250"/>
    <cellStyle name="40% - Accent4 4 2 2 8 2" xfId="24251"/>
    <cellStyle name="40% - Accent4 4 2 2 8 2 2" xfId="24252"/>
    <cellStyle name="40% - Accent4 4 2 2 8 2 3" xfId="24253"/>
    <cellStyle name="40% - Accent4 4 2 2 8 3" xfId="24254"/>
    <cellStyle name="40% - Accent4 4 2 2 8 3 2" xfId="24255"/>
    <cellStyle name="40% - Accent4 4 2 2 8 4" xfId="24256"/>
    <cellStyle name="40% - Accent4 4 2 2 8 5" xfId="24257"/>
    <cellStyle name="40% - Accent4 4 2 2 9" xfId="24258"/>
    <cellStyle name="40% - Accent4 4 2 2 9 2" xfId="24259"/>
    <cellStyle name="40% - Accent4 4 2 2 9 3" xfId="24260"/>
    <cellStyle name="40% - Accent4 4 2 3" xfId="2223"/>
    <cellStyle name="40% - Accent4 4 2 3 10" xfId="24261"/>
    <cellStyle name="40% - Accent4 4 2 3 10 2" xfId="24262"/>
    <cellStyle name="40% - Accent4 4 2 3 11" xfId="24263"/>
    <cellStyle name="40% - Accent4 4 2 3 12" xfId="24264"/>
    <cellStyle name="40% - Accent4 4 2 3 2" xfId="2224"/>
    <cellStyle name="40% - Accent4 4 2 3 2 10" xfId="24265"/>
    <cellStyle name="40% - Accent4 4 2 3 2 2" xfId="2225"/>
    <cellStyle name="40% - Accent4 4 2 3 2 2 2" xfId="24266"/>
    <cellStyle name="40% - Accent4 4 2 3 2 2 2 2" xfId="24267"/>
    <cellStyle name="40% - Accent4 4 2 3 2 2 2 2 2" xfId="24268"/>
    <cellStyle name="40% - Accent4 4 2 3 2 2 2 2 3" xfId="24269"/>
    <cellStyle name="40% - Accent4 4 2 3 2 2 2 3" xfId="24270"/>
    <cellStyle name="40% - Accent4 4 2 3 2 2 2 3 2" xfId="24271"/>
    <cellStyle name="40% - Accent4 4 2 3 2 2 2 3 3" xfId="24272"/>
    <cellStyle name="40% - Accent4 4 2 3 2 2 2 4" xfId="24273"/>
    <cellStyle name="40% - Accent4 4 2 3 2 2 2 4 2" xfId="24274"/>
    <cellStyle name="40% - Accent4 4 2 3 2 2 2 5" xfId="24275"/>
    <cellStyle name="40% - Accent4 4 2 3 2 2 2 6" xfId="24276"/>
    <cellStyle name="40% - Accent4 4 2 3 2 2 3" xfId="24277"/>
    <cellStyle name="40% - Accent4 4 2 3 2 2 3 2" xfId="24278"/>
    <cellStyle name="40% - Accent4 4 2 3 2 2 3 2 2" xfId="24279"/>
    <cellStyle name="40% - Accent4 4 2 3 2 2 3 2 3" xfId="24280"/>
    <cellStyle name="40% - Accent4 4 2 3 2 2 3 3" xfId="24281"/>
    <cellStyle name="40% - Accent4 4 2 3 2 2 3 3 2" xfId="24282"/>
    <cellStyle name="40% - Accent4 4 2 3 2 2 3 3 3" xfId="24283"/>
    <cellStyle name="40% - Accent4 4 2 3 2 2 3 4" xfId="24284"/>
    <cellStyle name="40% - Accent4 4 2 3 2 2 3 4 2" xfId="24285"/>
    <cellStyle name="40% - Accent4 4 2 3 2 2 3 5" xfId="24286"/>
    <cellStyle name="40% - Accent4 4 2 3 2 2 3 6" xfId="24287"/>
    <cellStyle name="40% - Accent4 4 2 3 2 2 4" xfId="24288"/>
    <cellStyle name="40% - Accent4 4 2 3 2 2 4 2" xfId="24289"/>
    <cellStyle name="40% - Accent4 4 2 3 2 2 4 2 2" xfId="24290"/>
    <cellStyle name="40% - Accent4 4 2 3 2 2 4 2 3" xfId="24291"/>
    <cellStyle name="40% - Accent4 4 2 3 2 2 4 3" xfId="24292"/>
    <cellStyle name="40% - Accent4 4 2 3 2 2 4 3 2" xfId="24293"/>
    <cellStyle name="40% - Accent4 4 2 3 2 2 4 4" xfId="24294"/>
    <cellStyle name="40% - Accent4 4 2 3 2 2 4 5" xfId="24295"/>
    <cellStyle name="40% - Accent4 4 2 3 2 2 5" xfId="24296"/>
    <cellStyle name="40% - Accent4 4 2 3 2 2 5 2" xfId="24297"/>
    <cellStyle name="40% - Accent4 4 2 3 2 2 5 3" xfId="24298"/>
    <cellStyle name="40% - Accent4 4 2 3 2 2 6" xfId="24299"/>
    <cellStyle name="40% - Accent4 4 2 3 2 2 6 2" xfId="24300"/>
    <cellStyle name="40% - Accent4 4 2 3 2 2 6 3" xfId="24301"/>
    <cellStyle name="40% - Accent4 4 2 3 2 2 7" xfId="24302"/>
    <cellStyle name="40% - Accent4 4 2 3 2 2 7 2" xfId="24303"/>
    <cellStyle name="40% - Accent4 4 2 3 2 2 8" xfId="24304"/>
    <cellStyle name="40% - Accent4 4 2 3 2 2 9" xfId="24305"/>
    <cellStyle name="40% - Accent4 4 2 3 2 3" xfId="24306"/>
    <cellStyle name="40% - Accent4 4 2 3 2 3 2" xfId="24307"/>
    <cellStyle name="40% - Accent4 4 2 3 2 3 2 2" xfId="24308"/>
    <cellStyle name="40% - Accent4 4 2 3 2 3 2 3" xfId="24309"/>
    <cellStyle name="40% - Accent4 4 2 3 2 3 3" xfId="24310"/>
    <cellStyle name="40% - Accent4 4 2 3 2 3 3 2" xfId="24311"/>
    <cellStyle name="40% - Accent4 4 2 3 2 3 3 3" xfId="24312"/>
    <cellStyle name="40% - Accent4 4 2 3 2 3 4" xfId="24313"/>
    <cellStyle name="40% - Accent4 4 2 3 2 3 4 2" xfId="24314"/>
    <cellStyle name="40% - Accent4 4 2 3 2 3 5" xfId="24315"/>
    <cellStyle name="40% - Accent4 4 2 3 2 3 6" xfId="24316"/>
    <cellStyle name="40% - Accent4 4 2 3 2 4" xfId="24317"/>
    <cellStyle name="40% - Accent4 4 2 3 2 4 2" xfId="24318"/>
    <cellStyle name="40% - Accent4 4 2 3 2 4 2 2" xfId="24319"/>
    <cellStyle name="40% - Accent4 4 2 3 2 4 2 3" xfId="24320"/>
    <cellStyle name="40% - Accent4 4 2 3 2 4 3" xfId="24321"/>
    <cellStyle name="40% - Accent4 4 2 3 2 4 3 2" xfId="24322"/>
    <cellStyle name="40% - Accent4 4 2 3 2 4 3 3" xfId="24323"/>
    <cellStyle name="40% - Accent4 4 2 3 2 4 4" xfId="24324"/>
    <cellStyle name="40% - Accent4 4 2 3 2 4 4 2" xfId="24325"/>
    <cellStyle name="40% - Accent4 4 2 3 2 4 5" xfId="24326"/>
    <cellStyle name="40% - Accent4 4 2 3 2 4 6" xfId="24327"/>
    <cellStyle name="40% - Accent4 4 2 3 2 5" xfId="24328"/>
    <cellStyle name="40% - Accent4 4 2 3 2 5 2" xfId="24329"/>
    <cellStyle name="40% - Accent4 4 2 3 2 5 2 2" xfId="24330"/>
    <cellStyle name="40% - Accent4 4 2 3 2 5 2 3" xfId="24331"/>
    <cellStyle name="40% - Accent4 4 2 3 2 5 3" xfId="24332"/>
    <cellStyle name="40% - Accent4 4 2 3 2 5 3 2" xfId="24333"/>
    <cellStyle name="40% - Accent4 4 2 3 2 5 4" xfId="24334"/>
    <cellStyle name="40% - Accent4 4 2 3 2 5 5" xfId="24335"/>
    <cellStyle name="40% - Accent4 4 2 3 2 6" xfId="24336"/>
    <cellStyle name="40% - Accent4 4 2 3 2 6 2" xfId="24337"/>
    <cellStyle name="40% - Accent4 4 2 3 2 6 3" xfId="24338"/>
    <cellStyle name="40% - Accent4 4 2 3 2 7" xfId="24339"/>
    <cellStyle name="40% - Accent4 4 2 3 2 7 2" xfId="24340"/>
    <cellStyle name="40% - Accent4 4 2 3 2 7 3" xfId="24341"/>
    <cellStyle name="40% - Accent4 4 2 3 2 8" xfId="24342"/>
    <cellStyle name="40% - Accent4 4 2 3 2 8 2" xfId="24343"/>
    <cellStyle name="40% - Accent4 4 2 3 2 9" xfId="24344"/>
    <cellStyle name="40% - Accent4 4 2 3 3" xfId="2226"/>
    <cellStyle name="40% - Accent4 4 2 3 3 2" xfId="24345"/>
    <cellStyle name="40% - Accent4 4 2 3 3 2 2" xfId="24346"/>
    <cellStyle name="40% - Accent4 4 2 3 3 2 2 2" xfId="24347"/>
    <cellStyle name="40% - Accent4 4 2 3 3 2 2 3" xfId="24348"/>
    <cellStyle name="40% - Accent4 4 2 3 3 2 3" xfId="24349"/>
    <cellStyle name="40% - Accent4 4 2 3 3 2 3 2" xfId="24350"/>
    <cellStyle name="40% - Accent4 4 2 3 3 2 3 3" xfId="24351"/>
    <cellStyle name="40% - Accent4 4 2 3 3 2 4" xfId="24352"/>
    <cellStyle name="40% - Accent4 4 2 3 3 2 4 2" xfId="24353"/>
    <cellStyle name="40% - Accent4 4 2 3 3 2 5" xfId="24354"/>
    <cellStyle name="40% - Accent4 4 2 3 3 2 6" xfId="24355"/>
    <cellStyle name="40% - Accent4 4 2 3 3 3" xfId="24356"/>
    <cellStyle name="40% - Accent4 4 2 3 3 3 2" xfId="24357"/>
    <cellStyle name="40% - Accent4 4 2 3 3 3 2 2" xfId="24358"/>
    <cellStyle name="40% - Accent4 4 2 3 3 3 2 3" xfId="24359"/>
    <cellStyle name="40% - Accent4 4 2 3 3 3 3" xfId="24360"/>
    <cellStyle name="40% - Accent4 4 2 3 3 3 3 2" xfId="24361"/>
    <cellStyle name="40% - Accent4 4 2 3 3 3 3 3" xfId="24362"/>
    <cellStyle name="40% - Accent4 4 2 3 3 3 4" xfId="24363"/>
    <cellStyle name="40% - Accent4 4 2 3 3 3 4 2" xfId="24364"/>
    <cellStyle name="40% - Accent4 4 2 3 3 3 5" xfId="24365"/>
    <cellStyle name="40% - Accent4 4 2 3 3 3 6" xfId="24366"/>
    <cellStyle name="40% - Accent4 4 2 3 3 4" xfId="24367"/>
    <cellStyle name="40% - Accent4 4 2 3 3 4 2" xfId="24368"/>
    <cellStyle name="40% - Accent4 4 2 3 3 4 2 2" xfId="24369"/>
    <cellStyle name="40% - Accent4 4 2 3 3 4 2 3" xfId="24370"/>
    <cellStyle name="40% - Accent4 4 2 3 3 4 3" xfId="24371"/>
    <cellStyle name="40% - Accent4 4 2 3 3 4 3 2" xfId="24372"/>
    <cellStyle name="40% - Accent4 4 2 3 3 4 4" xfId="24373"/>
    <cellStyle name="40% - Accent4 4 2 3 3 4 5" xfId="24374"/>
    <cellStyle name="40% - Accent4 4 2 3 3 5" xfId="24375"/>
    <cellStyle name="40% - Accent4 4 2 3 3 5 2" xfId="24376"/>
    <cellStyle name="40% - Accent4 4 2 3 3 5 3" xfId="24377"/>
    <cellStyle name="40% - Accent4 4 2 3 3 6" xfId="24378"/>
    <cellStyle name="40% - Accent4 4 2 3 3 6 2" xfId="24379"/>
    <cellStyle name="40% - Accent4 4 2 3 3 6 3" xfId="24380"/>
    <cellStyle name="40% - Accent4 4 2 3 3 7" xfId="24381"/>
    <cellStyle name="40% - Accent4 4 2 3 3 7 2" xfId="24382"/>
    <cellStyle name="40% - Accent4 4 2 3 3 8" xfId="24383"/>
    <cellStyle name="40% - Accent4 4 2 3 3 9" xfId="24384"/>
    <cellStyle name="40% - Accent4 4 2 3 4" xfId="24385"/>
    <cellStyle name="40% - Accent4 4 2 3 4 2" xfId="24386"/>
    <cellStyle name="40% - Accent4 4 2 3 4 2 2" xfId="24387"/>
    <cellStyle name="40% - Accent4 4 2 3 4 2 2 2" xfId="24388"/>
    <cellStyle name="40% - Accent4 4 2 3 4 2 2 3" xfId="24389"/>
    <cellStyle name="40% - Accent4 4 2 3 4 2 3" xfId="24390"/>
    <cellStyle name="40% - Accent4 4 2 3 4 2 3 2" xfId="24391"/>
    <cellStyle name="40% - Accent4 4 2 3 4 2 3 3" xfId="24392"/>
    <cellStyle name="40% - Accent4 4 2 3 4 2 4" xfId="24393"/>
    <cellStyle name="40% - Accent4 4 2 3 4 2 4 2" xfId="24394"/>
    <cellStyle name="40% - Accent4 4 2 3 4 2 5" xfId="24395"/>
    <cellStyle name="40% - Accent4 4 2 3 4 2 6" xfId="24396"/>
    <cellStyle name="40% - Accent4 4 2 3 4 3" xfId="24397"/>
    <cellStyle name="40% - Accent4 4 2 3 4 3 2" xfId="24398"/>
    <cellStyle name="40% - Accent4 4 2 3 4 3 2 2" xfId="24399"/>
    <cellStyle name="40% - Accent4 4 2 3 4 3 2 3" xfId="24400"/>
    <cellStyle name="40% - Accent4 4 2 3 4 3 3" xfId="24401"/>
    <cellStyle name="40% - Accent4 4 2 3 4 3 3 2" xfId="24402"/>
    <cellStyle name="40% - Accent4 4 2 3 4 3 3 3" xfId="24403"/>
    <cellStyle name="40% - Accent4 4 2 3 4 3 4" xfId="24404"/>
    <cellStyle name="40% - Accent4 4 2 3 4 3 4 2" xfId="24405"/>
    <cellStyle name="40% - Accent4 4 2 3 4 3 5" xfId="24406"/>
    <cellStyle name="40% - Accent4 4 2 3 4 3 6" xfId="24407"/>
    <cellStyle name="40% - Accent4 4 2 3 4 4" xfId="24408"/>
    <cellStyle name="40% - Accent4 4 2 3 4 4 2" xfId="24409"/>
    <cellStyle name="40% - Accent4 4 2 3 4 4 2 2" xfId="24410"/>
    <cellStyle name="40% - Accent4 4 2 3 4 4 2 3" xfId="24411"/>
    <cellStyle name="40% - Accent4 4 2 3 4 4 3" xfId="24412"/>
    <cellStyle name="40% - Accent4 4 2 3 4 4 3 2" xfId="24413"/>
    <cellStyle name="40% - Accent4 4 2 3 4 4 4" xfId="24414"/>
    <cellStyle name="40% - Accent4 4 2 3 4 4 5" xfId="24415"/>
    <cellStyle name="40% - Accent4 4 2 3 4 5" xfId="24416"/>
    <cellStyle name="40% - Accent4 4 2 3 4 5 2" xfId="24417"/>
    <cellStyle name="40% - Accent4 4 2 3 4 5 3" xfId="24418"/>
    <cellStyle name="40% - Accent4 4 2 3 4 6" xfId="24419"/>
    <cellStyle name="40% - Accent4 4 2 3 4 6 2" xfId="24420"/>
    <cellStyle name="40% - Accent4 4 2 3 4 6 3" xfId="24421"/>
    <cellStyle name="40% - Accent4 4 2 3 4 7" xfId="24422"/>
    <cellStyle name="40% - Accent4 4 2 3 4 7 2" xfId="24423"/>
    <cellStyle name="40% - Accent4 4 2 3 4 8" xfId="24424"/>
    <cellStyle name="40% - Accent4 4 2 3 4 9" xfId="24425"/>
    <cellStyle name="40% - Accent4 4 2 3 5" xfId="24426"/>
    <cellStyle name="40% - Accent4 4 2 3 5 2" xfId="24427"/>
    <cellStyle name="40% - Accent4 4 2 3 5 2 2" xfId="24428"/>
    <cellStyle name="40% - Accent4 4 2 3 5 2 3" xfId="24429"/>
    <cellStyle name="40% - Accent4 4 2 3 5 3" xfId="24430"/>
    <cellStyle name="40% - Accent4 4 2 3 5 3 2" xfId="24431"/>
    <cellStyle name="40% - Accent4 4 2 3 5 3 3" xfId="24432"/>
    <cellStyle name="40% - Accent4 4 2 3 5 4" xfId="24433"/>
    <cellStyle name="40% - Accent4 4 2 3 5 4 2" xfId="24434"/>
    <cellStyle name="40% - Accent4 4 2 3 5 5" xfId="24435"/>
    <cellStyle name="40% - Accent4 4 2 3 5 6" xfId="24436"/>
    <cellStyle name="40% - Accent4 4 2 3 6" xfId="24437"/>
    <cellStyle name="40% - Accent4 4 2 3 6 2" xfId="24438"/>
    <cellStyle name="40% - Accent4 4 2 3 6 2 2" xfId="24439"/>
    <cellStyle name="40% - Accent4 4 2 3 6 2 3" xfId="24440"/>
    <cellStyle name="40% - Accent4 4 2 3 6 3" xfId="24441"/>
    <cellStyle name="40% - Accent4 4 2 3 6 3 2" xfId="24442"/>
    <cellStyle name="40% - Accent4 4 2 3 6 3 3" xfId="24443"/>
    <cellStyle name="40% - Accent4 4 2 3 6 4" xfId="24444"/>
    <cellStyle name="40% - Accent4 4 2 3 6 4 2" xfId="24445"/>
    <cellStyle name="40% - Accent4 4 2 3 6 5" xfId="24446"/>
    <cellStyle name="40% - Accent4 4 2 3 6 6" xfId="24447"/>
    <cellStyle name="40% - Accent4 4 2 3 7" xfId="24448"/>
    <cellStyle name="40% - Accent4 4 2 3 7 2" xfId="24449"/>
    <cellStyle name="40% - Accent4 4 2 3 7 2 2" xfId="24450"/>
    <cellStyle name="40% - Accent4 4 2 3 7 2 3" xfId="24451"/>
    <cellStyle name="40% - Accent4 4 2 3 7 3" xfId="24452"/>
    <cellStyle name="40% - Accent4 4 2 3 7 3 2" xfId="24453"/>
    <cellStyle name="40% - Accent4 4 2 3 7 4" xfId="24454"/>
    <cellStyle name="40% - Accent4 4 2 3 7 5" xfId="24455"/>
    <cellStyle name="40% - Accent4 4 2 3 8" xfId="24456"/>
    <cellStyle name="40% - Accent4 4 2 3 8 2" xfId="24457"/>
    <cellStyle name="40% - Accent4 4 2 3 8 3" xfId="24458"/>
    <cellStyle name="40% - Accent4 4 2 3 9" xfId="24459"/>
    <cellStyle name="40% - Accent4 4 2 3 9 2" xfId="24460"/>
    <cellStyle name="40% - Accent4 4 2 3 9 3" xfId="24461"/>
    <cellStyle name="40% - Accent4 4 2 4" xfId="2227"/>
    <cellStyle name="40% - Accent4 4 2 4 10" xfId="24462"/>
    <cellStyle name="40% - Accent4 4 2 4 2" xfId="2228"/>
    <cellStyle name="40% - Accent4 4 2 4 2 2" xfId="24463"/>
    <cellStyle name="40% - Accent4 4 2 4 2 2 2" xfId="24464"/>
    <cellStyle name="40% - Accent4 4 2 4 2 2 2 2" xfId="24465"/>
    <cellStyle name="40% - Accent4 4 2 4 2 2 2 3" xfId="24466"/>
    <cellStyle name="40% - Accent4 4 2 4 2 2 3" xfId="24467"/>
    <cellStyle name="40% - Accent4 4 2 4 2 2 3 2" xfId="24468"/>
    <cellStyle name="40% - Accent4 4 2 4 2 2 3 3" xfId="24469"/>
    <cellStyle name="40% - Accent4 4 2 4 2 2 4" xfId="24470"/>
    <cellStyle name="40% - Accent4 4 2 4 2 2 4 2" xfId="24471"/>
    <cellStyle name="40% - Accent4 4 2 4 2 2 5" xfId="24472"/>
    <cellStyle name="40% - Accent4 4 2 4 2 2 6" xfId="24473"/>
    <cellStyle name="40% - Accent4 4 2 4 2 3" xfId="24474"/>
    <cellStyle name="40% - Accent4 4 2 4 2 3 2" xfId="24475"/>
    <cellStyle name="40% - Accent4 4 2 4 2 3 2 2" xfId="24476"/>
    <cellStyle name="40% - Accent4 4 2 4 2 3 2 3" xfId="24477"/>
    <cellStyle name="40% - Accent4 4 2 4 2 3 3" xfId="24478"/>
    <cellStyle name="40% - Accent4 4 2 4 2 3 3 2" xfId="24479"/>
    <cellStyle name="40% - Accent4 4 2 4 2 3 3 3" xfId="24480"/>
    <cellStyle name="40% - Accent4 4 2 4 2 3 4" xfId="24481"/>
    <cellStyle name="40% - Accent4 4 2 4 2 3 4 2" xfId="24482"/>
    <cellStyle name="40% - Accent4 4 2 4 2 3 5" xfId="24483"/>
    <cellStyle name="40% - Accent4 4 2 4 2 3 6" xfId="24484"/>
    <cellStyle name="40% - Accent4 4 2 4 2 4" xfId="24485"/>
    <cellStyle name="40% - Accent4 4 2 4 2 4 2" xfId="24486"/>
    <cellStyle name="40% - Accent4 4 2 4 2 4 2 2" xfId="24487"/>
    <cellStyle name="40% - Accent4 4 2 4 2 4 2 3" xfId="24488"/>
    <cellStyle name="40% - Accent4 4 2 4 2 4 3" xfId="24489"/>
    <cellStyle name="40% - Accent4 4 2 4 2 4 3 2" xfId="24490"/>
    <cellStyle name="40% - Accent4 4 2 4 2 4 4" xfId="24491"/>
    <cellStyle name="40% - Accent4 4 2 4 2 4 5" xfId="24492"/>
    <cellStyle name="40% - Accent4 4 2 4 2 5" xfId="24493"/>
    <cellStyle name="40% - Accent4 4 2 4 2 5 2" xfId="24494"/>
    <cellStyle name="40% - Accent4 4 2 4 2 5 3" xfId="24495"/>
    <cellStyle name="40% - Accent4 4 2 4 2 6" xfId="24496"/>
    <cellStyle name="40% - Accent4 4 2 4 2 6 2" xfId="24497"/>
    <cellStyle name="40% - Accent4 4 2 4 2 6 3" xfId="24498"/>
    <cellStyle name="40% - Accent4 4 2 4 2 7" xfId="24499"/>
    <cellStyle name="40% - Accent4 4 2 4 2 7 2" xfId="24500"/>
    <cellStyle name="40% - Accent4 4 2 4 2 8" xfId="24501"/>
    <cellStyle name="40% - Accent4 4 2 4 2 9" xfId="24502"/>
    <cellStyle name="40% - Accent4 4 2 4 3" xfId="24503"/>
    <cellStyle name="40% - Accent4 4 2 4 3 2" xfId="24504"/>
    <cellStyle name="40% - Accent4 4 2 4 3 2 2" xfId="24505"/>
    <cellStyle name="40% - Accent4 4 2 4 3 2 3" xfId="24506"/>
    <cellStyle name="40% - Accent4 4 2 4 3 3" xfId="24507"/>
    <cellStyle name="40% - Accent4 4 2 4 3 3 2" xfId="24508"/>
    <cellStyle name="40% - Accent4 4 2 4 3 3 3" xfId="24509"/>
    <cellStyle name="40% - Accent4 4 2 4 3 4" xfId="24510"/>
    <cellStyle name="40% - Accent4 4 2 4 3 4 2" xfId="24511"/>
    <cellStyle name="40% - Accent4 4 2 4 3 5" xfId="24512"/>
    <cellStyle name="40% - Accent4 4 2 4 3 6" xfId="24513"/>
    <cellStyle name="40% - Accent4 4 2 4 4" xfId="24514"/>
    <cellStyle name="40% - Accent4 4 2 4 4 2" xfId="24515"/>
    <cellStyle name="40% - Accent4 4 2 4 4 2 2" xfId="24516"/>
    <cellStyle name="40% - Accent4 4 2 4 4 2 3" xfId="24517"/>
    <cellStyle name="40% - Accent4 4 2 4 4 3" xfId="24518"/>
    <cellStyle name="40% - Accent4 4 2 4 4 3 2" xfId="24519"/>
    <cellStyle name="40% - Accent4 4 2 4 4 3 3" xfId="24520"/>
    <cellStyle name="40% - Accent4 4 2 4 4 4" xfId="24521"/>
    <cellStyle name="40% - Accent4 4 2 4 4 4 2" xfId="24522"/>
    <cellStyle name="40% - Accent4 4 2 4 4 5" xfId="24523"/>
    <cellStyle name="40% - Accent4 4 2 4 4 6" xfId="24524"/>
    <cellStyle name="40% - Accent4 4 2 4 5" xfId="24525"/>
    <cellStyle name="40% - Accent4 4 2 4 5 2" xfId="24526"/>
    <cellStyle name="40% - Accent4 4 2 4 5 2 2" xfId="24527"/>
    <cellStyle name="40% - Accent4 4 2 4 5 2 3" xfId="24528"/>
    <cellStyle name="40% - Accent4 4 2 4 5 3" xfId="24529"/>
    <cellStyle name="40% - Accent4 4 2 4 5 3 2" xfId="24530"/>
    <cellStyle name="40% - Accent4 4 2 4 5 4" xfId="24531"/>
    <cellStyle name="40% - Accent4 4 2 4 5 5" xfId="24532"/>
    <cellStyle name="40% - Accent4 4 2 4 6" xfId="24533"/>
    <cellStyle name="40% - Accent4 4 2 4 6 2" xfId="24534"/>
    <cellStyle name="40% - Accent4 4 2 4 6 3" xfId="24535"/>
    <cellStyle name="40% - Accent4 4 2 4 7" xfId="24536"/>
    <cellStyle name="40% - Accent4 4 2 4 7 2" xfId="24537"/>
    <cellStyle name="40% - Accent4 4 2 4 7 3" xfId="24538"/>
    <cellStyle name="40% - Accent4 4 2 4 8" xfId="24539"/>
    <cellStyle name="40% - Accent4 4 2 4 8 2" xfId="24540"/>
    <cellStyle name="40% - Accent4 4 2 4 9" xfId="24541"/>
    <cellStyle name="40% - Accent4 4 2 5" xfId="2229"/>
    <cellStyle name="40% - Accent4 4 2 5 2" xfId="24542"/>
    <cellStyle name="40% - Accent4 4 2 5 2 2" xfId="24543"/>
    <cellStyle name="40% - Accent4 4 2 5 2 2 2" xfId="24544"/>
    <cellStyle name="40% - Accent4 4 2 5 2 2 3" xfId="24545"/>
    <cellStyle name="40% - Accent4 4 2 5 2 3" xfId="24546"/>
    <cellStyle name="40% - Accent4 4 2 5 2 3 2" xfId="24547"/>
    <cellStyle name="40% - Accent4 4 2 5 2 3 3" xfId="24548"/>
    <cellStyle name="40% - Accent4 4 2 5 2 4" xfId="24549"/>
    <cellStyle name="40% - Accent4 4 2 5 2 4 2" xfId="24550"/>
    <cellStyle name="40% - Accent4 4 2 5 2 5" xfId="24551"/>
    <cellStyle name="40% - Accent4 4 2 5 2 6" xfId="24552"/>
    <cellStyle name="40% - Accent4 4 2 5 3" xfId="24553"/>
    <cellStyle name="40% - Accent4 4 2 5 3 2" xfId="24554"/>
    <cellStyle name="40% - Accent4 4 2 5 3 2 2" xfId="24555"/>
    <cellStyle name="40% - Accent4 4 2 5 3 2 3" xfId="24556"/>
    <cellStyle name="40% - Accent4 4 2 5 3 3" xfId="24557"/>
    <cellStyle name="40% - Accent4 4 2 5 3 3 2" xfId="24558"/>
    <cellStyle name="40% - Accent4 4 2 5 3 3 3" xfId="24559"/>
    <cellStyle name="40% - Accent4 4 2 5 3 4" xfId="24560"/>
    <cellStyle name="40% - Accent4 4 2 5 3 4 2" xfId="24561"/>
    <cellStyle name="40% - Accent4 4 2 5 3 5" xfId="24562"/>
    <cellStyle name="40% - Accent4 4 2 5 3 6" xfId="24563"/>
    <cellStyle name="40% - Accent4 4 2 5 4" xfId="24564"/>
    <cellStyle name="40% - Accent4 4 2 5 4 2" xfId="24565"/>
    <cellStyle name="40% - Accent4 4 2 5 4 2 2" xfId="24566"/>
    <cellStyle name="40% - Accent4 4 2 5 4 2 3" xfId="24567"/>
    <cellStyle name="40% - Accent4 4 2 5 4 3" xfId="24568"/>
    <cellStyle name="40% - Accent4 4 2 5 4 3 2" xfId="24569"/>
    <cellStyle name="40% - Accent4 4 2 5 4 4" xfId="24570"/>
    <cellStyle name="40% - Accent4 4 2 5 4 5" xfId="24571"/>
    <cellStyle name="40% - Accent4 4 2 5 5" xfId="24572"/>
    <cellStyle name="40% - Accent4 4 2 5 5 2" xfId="24573"/>
    <cellStyle name="40% - Accent4 4 2 5 5 3" xfId="24574"/>
    <cellStyle name="40% - Accent4 4 2 5 6" xfId="24575"/>
    <cellStyle name="40% - Accent4 4 2 5 6 2" xfId="24576"/>
    <cellStyle name="40% - Accent4 4 2 5 6 3" xfId="24577"/>
    <cellStyle name="40% - Accent4 4 2 5 7" xfId="24578"/>
    <cellStyle name="40% - Accent4 4 2 5 7 2" xfId="24579"/>
    <cellStyle name="40% - Accent4 4 2 5 8" xfId="24580"/>
    <cellStyle name="40% - Accent4 4 2 5 9" xfId="24581"/>
    <cellStyle name="40% - Accent4 4 2 6" xfId="24582"/>
    <cellStyle name="40% - Accent4 4 2 6 2" xfId="24583"/>
    <cellStyle name="40% - Accent4 4 2 6 2 2" xfId="24584"/>
    <cellStyle name="40% - Accent4 4 2 6 2 2 2" xfId="24585"/>
    <cellStyle name="40% - Accent4 4 2 6 2 2 3" xfId="24586"/>
    <cellStyle name="40% - Accent4 4 2 6 2 3" xfId="24587"/>
    <cellStyle name="40% - Accent4 4 2 6 2 3 2" xfId="24588"/>
    <cellStyle name="40% - Accent4 4 2 6 2 3 3" xfId="24589"/>
    <cellStyle name="40% - Accent4 4 2 6 2 4" xfId="24590"/>
    <cellStyle name="40% - Accent4 4 2 6 2 4 2" xfId="24591"/>
    <cellStyle name="40% - Accent4 4 2 6 2 5" xfId="24592"/>
    <cellStyle name="40% - Accent4 4 2 6 2 6" xfId="24593"/>
    <cellStyle name="40% - Accent4 4 2 6 3" xfId="24594"/>
    <cellStyle name="40% - Accent4 4 2 6 3 2" xfId="24595"/>
    <cellStyle name="40% - Accent4 4 2 6 3 2 2" xfId="24596"/>
    <cellStyle name="40% - Accent4 4 2 6 3 2 3" xfId="24597"/>
    <cellStyle name="40% - Accent4 4 2 6 3 3" xfId="24598"/>
    <cellStyle name="40% - Accent4 4 2 6 3 3 2" xfId="24599"/>
    <cellStyle name="40% - Accent4 4 2 6 3 3 3" xfId="24600"/>
    <cellStyle name="40% - Accent4 4 2 6 3 4" xfId="24601"/>
    <cellStyle name="40% - Accent4 4 2 6 3 4 2" xfId="24602"/>
    <cellStyle name="40% - Accent4 4 2 6 3 5" xfId="24603"/>
    <cellStyle name="40% - Accent4 4 2 6 3 6" xfId="24604"/>
    <cellStyle name="40% - Accent4 4 2 6 4" xfId="24605"/>
    <cellStyle name="40% - Accent4 4 2 6 4 2" xfId="24606"/>
    <cellStyle name="40% - Accent4 4 2 6 4 2 2" xfId="24607"/>
    <cellStyle name="40% - Accent4 4 2 6 4 2 3" xfId="24608"/>
    <cellStyle name="40% - Accent4 4 2 6 4 3" xfId="24609"/>
    <cellStyle name="40% - Accent4 4 2 6 4 3 2" xfId="24610"/>
    <cellStyle name="40% - Accent4 4 2 6 4 4" xfId="24611"/>
    <cellStyle name="40% - Accent4 4 2 6 4 5" xfId="24612"/>
    <cellStyle name="40% - Accent4 4 2 6 5" xfId="24613"/>
    <cellStyle name="40% - Accent4 4 2 6 5 2" xfId="24614"/>
    <cellStyle name="40% - Accent4 4 2 6 5 3" xfId="24615"/>
    <cellStyle name="40% - Accent4 4 2 6 6" xfId="24616"/>
    <cellStyle name="40% - Accent4 4 2 6 6 2" xfId="24617"/>
    <cellStyle name="40% - Accent4 4 2 6 6 3" xfId="24618"/>
    <cellStyle name="40% - Accent4 4 2 6 7" xfId="24619"/>
    <cellStyle name="40% - Accent4 4 2 6 7 2" xfId="24620"/>
    <cellStyle name="40% - Accent4 4 2 6 8" xfId="24621"/>
    <cellStyle name="40% - Accent4 4 2 6 9" xfId="24622"/>
    <cellStyle name="40% - Accent4 4 2 7" xfId="24623"/>
    <cellStyle name="40% - Accent4 4 2 7 2" xfId="24624"/>
    <cellStyle name="40% - Accent4 4 2 7 2 2" xfId="24625"/>
    <cellStyle name="40% - Accent4 4 2 7 2 3" xfId="24626"/>
    <cellStyle name="40% - Accent4 4 2 7 3" xfId="24627"/>
    <cellStyle name="40% - Accent4 4 2 7 3 2" xfId="24628"/>
    <cellStyle name="40% - Accent4 4 2 7 3 3" xfId="24629"/>
    <cellStyle name="40% - Accent4 4 2 7 4" xfId="24630"/>
    <cellStyle name="40% - Accent4 4 2 7 4 2" xfId="24631"/>
    <cellStyle name="40% - Accent4 4 2 7 5" xfId="24632"/>
    <cellStyle name="40% - Accent4 4 2 7 6" xfId="24633"/>
    <cellStyle name="40% - Accent4 4 2 8" xfId="24634"/>
    <cellStyle name="40% - Accent4 4 2 8 2" xfId="24635"/>
    <cellStyle name="40% - Accent4 4 2 8 2 2" xfId="24636"/>
    <cellStyle name="40% - Accent4 4 2 8 2 3" xfId="24637"/>
    <cellStyle name="40% - Accent4 4 2 8 3" xfId="24638"/>
    <cellStyle name="40% - Accent4 4 2 8 3 2" xfId="24639"/>
    <cellStyle name="40% - Accent4 4 2 8 3 3" xfId="24640"/>
    <cellStyle name="40% - Accent4 4 2 8 4" xfId="24641"/>
    <cellStyle name="40% - Accent4 4 2 8 4 2" xfId="24642"/>
    <cellStyle name="40% - Accent4 4 2 8 5" xfId="24643"/>
    <cellStyle name="40% - Accent4 4 2 8 6" xfId="24644"/>
    <cellStyle name="40% - Accent4 4 2 9" xfId="24645"/>
    <cellStyle name="40% - Accent4 4 2 9 2" xfId="24646"/>
    <cellStyle name="40% - Accent4 4 2 9 2 2" xfId="24647"/>
    <cellStyle name="40% - Accent4 4 2 9 2 3" xfId="24648"/>
    <cellStyle name="40% - Accent4 4 2 9 3" xfId="24649"/>
    <cellStyle name="40% - Accent4 4 2 9 3 2" xfId="24650"/>
    <cellStyle name="40% - Accent4 4 2 9 4" xfId="24651"/>
    <cellStyle name="40% - Accent4 4 2 9 5" xfId="24652"/>
    <cellStyle name="40% - Accent4 4 3" xfId="2230"/>
    <cellStyle name="40% - Accent4 4 3 10" xfId="24653"/>
    <cellStyle name="40% - Accent4 4 3 10 2" xfId="24654"/>
    <cellStyle name="40% - Accent4 4 3 10 3" xfId="24655"/>
    <cellStyle name="40% - Accent4 4 3 11" xfId="24656"/>
    <cellStyle name="40% - Accent4 4 3 11 2" xfId="24657"/>
    <cellStyle name="40% - Accent4 4 3 12" xfId="24658"/>
    <cellStyle name="40% - Accent4 4 3 13" xfId="24659"/>
    <cellStyle name="40% - Accent4 4 3 14" xfId="24660"/>
    <cellStyle name="40% - Accent4 4 3 2" xfId="2231"/>
    <cellStyle name="40% - Accent4 4 3 2 10" xfId="24661"/>
    <cellStyle name="40% - Accent4 4 3 2 10 2" xfId="24662"/>
    <cellStyle name="40% - Accent4 4 3 2 11" xfId="24663"/>
    <cellStyle name="40% - Accent4 4 3 2 12" xfId="24664"/>
    <cellStyle name="40% - Accent4 4 3 2 2" xfId="2232"/>
    <cellStyle name="40% - Accent4 4 3 2 2 10" xfId="24665"/>
    <cellStyle name="40% - Accent4 4 3 2 2 2" xfId="2233"/>
    <cellStyle name="40% - Accent4 4 3 2 2 2 2" xfId="24666"/>
    <cellStyle name="40% - Accent4 4 3 2 2 2 2 2" xfId="24667"/>
    <cellStyle name="40% - Accent4 4 3 2 2 2 2 2 2" xfId="24668"/>
    <cellStyle name="40% - Accent4 4 3 2 2 2 2 2 3" xfId="24669"/>
    <cellStyle name="40% - Accent4 4 3 2 2 2 2 3" xfId="24670"/>
    <cellStyle name="40% - Accent4 4 3 2 2 2 2 3 2" xfId="24671"/>
    <cellStyle name="40% - Accent4 4 3 2 2 2 2 3 3" xfId="24672"/>
    <cellStyle name="40% - Accent4 4 3 2 2 2 2 4" xfId="24673"/>
    <cellStyle name="40% - Accent4 4 3 2 2 2 2 4 2" xfId="24674"/>
    <cellStyle name="40% - Accent4 4 3 2 2 2 2 5" xfId="24675"/>
    <cellStyle name="40% - Accent4 4 3 2 2 2 2 6" xfId="24676"/>
    <cellStyle name="40% - Accent4 4 3 2 2 2 3" xfId="24677"/>
    <cellStyle name="40% - Accent4 4 3 2 2 2 3 2" xfId="24678"/>
    <cellStyle name="40% - Accent4 4 3 2 2 2 3 2 2" xfId="24679"/>
    <cellStyle name="40% - Accent4 4 3 2 2 2 3 2 3" xfId="24680"/>
    <cellStyle name="40% - Accent4 4 3 2 2 2 3 3" xfId="24681"/>
    <cellStyle name="40% - Accent4 4 3 2 2 2 3 3 2" xfId="24682"/>
    <cellStyle name="40% - Accent4 4 3 2 2 2 3 3 3" xfId="24683"/>
    <cellStyle name="40% - Accent4 4 3 2 2 2 3 4" xfId="24684"/>
    <cellStyle name="40% - Accent4 4 3 2 2 2 3 4 2" xfId="24685"/>
    <cellStyle name="40% - Accent4 4 3 2 2 2 3 5" xfId="24686"/>
    <cellStyle name="40% - Accent4 4 3 2 2 2 3 6" xfId="24687"/>
    <cellStyle name="40% - Accent4 4 3 2 2 2 4" xfId="24688"/>
    <cellStyle name="40% - Accent4 4 3 2 2 2 4 2" xfId="24689"/>
    <cellStyle name="40% - Accent4 4 3 2 2 2 4 2 2" xfId="24690"/>
    <cellStyle name="40% - Accent4 4 3 2 2 2 4 2 3" xfId="24691"/>
    <cellStyle name="40% - Accent4 4 3 2 2 2 4 3" xfId="24692"/>
    <cellStyle name="40% - Accent4 4 3 2 2 2 4 3 2" xfId="24693"/>
    <cellStyle name="40% - Accent4 4 3 2 2 2 4 4" xfId="24694"/>
    <cellStyle name="40% - Accent4 4 3 2 2 2 4 5" xfId="24695"/>
    <cellStyle name="40% - Accent4 4 3 2 2 2 5" xfId="24696"/>
    <cellStyle name="40% - Accent4 4 3 2 2 2 5 2" xfId="24697"/>
    <cellStyle name="40% - Accent4 4 3 2 2 2 5 3" xfId="24698"/>
    <cellStyle name="40% - Accent4 4 3 2 2 2 6" xfId="24699"/>
    <cellStyle name="40% - Accent4 4 3 2 2 2 6 2" xfId="24700"/>
    <cellStyle name="40% - Accent4 4 3 2 2 2 6 3" xfId="24701"/>
    <cellStyle name="40% - Accent4 4 3 2 2 2 7" xfId="24702"/>
    <cellStyle name="40% - Accent4 4 3 2 2 2 7 2" xfId="24703"/>
    <cellStyle name="40% - Accent4 4 3 2 2 2 8" xfId="24704"/>
    <cellStyle name="40% - Accent4 4 3 2 2 2 9" xfId="24705"/>
    <cellStyle name="40% - Accent4 4 3 2 2 3" xfId="24706"/>
    <cellStyle name="40% - Accent4 4 3 2 2 3 2" xfId="24707"/>
    <cellStyle name="40% - Accent4 4 3 2 2 3 2 2" xfId="24708"/>
    <cellStyle name="40% - Accent4 4 3 2 2 3 2 3" xfId="24709"/>
    <cellStyle name="40% - Accent4 4 3 2 2 3 3" xfId="24710"/>
    <cellStyle name="40% - Accent4 4 3 2 2 3 3 2" xfId="24711"/>
    <cellStyle name="40% - Accent4 4 3 2 2 3 3 3" xfId="24712"/>
    <cellStyle name="40% - Accent4 4 3 2 2 3 4" xfId="24713"/>
    <cellStyle name="40% - Accent4 4 3 2 2 3 4 2" xfId="24714"/>
    <cellStyle name="40% - Accent4 4 3 2 2 3 5" xfId="24715"/>
    <cellStyle name="40% - Accent4 4 3 2 2 3 6" xfId="24716"/>
    <cellStyle name="40% - Accent4 4 3 2 2 4" xfId="24717"/>
    <cellStyle name="40% - Accent4 4 3 2 2 4 2" xfId="24718"/>
    <cellStyle name="40% - Accent4 4 3 2 2 4 2 2" xfId="24719"/>
    <cellStyle name="40% - Accent4 4 3 2 2 4 2 3" xfId="24720"/>
    <cellStyle name="40% - Accent4 4 3 2 2 4 3" xfId="24721"/>
    <cellStyle name="40% - Accent4 4 3 2 2 4 3 2" xfId="24722"/>
    <cellStyle name="40% - Accent4 4 3 2 2 4 3 3" xfId="24723"/>
    <cellStyle name="40% - Accent4 4 3 2 2 4 4" xfId="24724"/>
    <cellStyle name="40% - Accent4 4 3 2 2 4 4 2" xfId="24725"/>
    <cellStyle name="40% - Accent4 4 3 2 2 4 5" xfId="24726"/>
    <cellStyle name="40% - Accent4 4 3 2 2 4 6" xfId="24727"/>
    <cellStyle name="40% - Accent4 4 3 2 2 5" xfId="24728"/>
    <cellStyle name="40% - Accent4 4 3 2 2 5 2" xfId="24729"/>
    <cellStyle name="40% - Accent4 4 3 2 2 5 2 2" xfId="24730"/>
    <cellStyle name="40% - Accent4 4 3 2 2 5 2 3" xfId="24731"/>
    <cellStyle name="40% - Accent4 4 3 2 2 5 3" xfId="24732"/>
    <cellStyle name="40% - Accent4 4 3 2 2 5 3 2" xfId="24733"/>
    <cellStyle name="40% - Accent4 4 3 2 2 5 4" xfId="24734"/>
    <cellStyle name="40% - Accent4 4 3 2 2 5 5" xfId="24735"/>
    <cellStyle name="40% - Accent4 4 3 2 2 6" xfId="24736"/>
    <cellStyle name="40% - Accent4 4 3 2 2 6 2" xfId="24737"/>
    <cellStyle name="40% - Accent4 4 3 2 2 6 3" xfId="24738"/>
    <cellStyle name="40% - Accent4 4 3 2 2 7" xfId="24739"/>
    <cellStyle name="40% - Accent4 4 3 2 2 7 2" xfId="24740"/>
    <cellStyle name="40% - Accent4 4 3 2 2 7 3" xfId="24741"/>
    <cellStyle name="40% - Accent4 4 3 2 2 8" xfId="24742"/>
    <cellStyle name="40% - Accent4 4 3 2 2 8 2" xfId="24743"/>
    <cellStyle name="40% - Accent4 4 3 2 2 9" xfId="24744"/>
    <cellStyle name="40% - Accent4 4 3 2 3" xfId="2234"/>
    <cellStyle name="40% - Accent4 4 3 2 3 2" xfId="24745"/>
    <cellStyle name="40% - Accent4 4 3 2 3 2 2" xfId="24746"/>
    <cellStyle name="40% - Accent4 4 3 2 3 2 2 2" xfId="24747"/>
    <cellStyle name="40% - Accent4 4 3 2 3 2 2 3" xfId="24748"/>
    <cellStyle name="40% - Accent4 4 3 2 3 2 3" xfId="24749"/>
    <cellStyle name="40% - Accent4 4 3 2 3 2 3 2" xfId="24750"/>
    <cellStyle name="40% - Accent4 4 3 2 3 2 3 3" xfId="24751"/>
    <cellStyle name="40% - Accent4 4 3 2 3 2 4" xfId="24752"/>
    <cellStyle name="40% - Accent4 4 3 2 3 2 4 2" xfId="24753"/>
    <cellStyle name="40% - Accent4 4 3 2 3 2 5" xfId="24754"/>
    <cellStyle name="40% - Accent4 4 3 2 3 2 6" xfId="24755"/>
    <cellStyle name="40% - Accent4 4 3 2 3 3" xfId="24756"/>
    <cellStyle name="40% - Accent4 4 3 2 3 3 2" xfId="24757"/>
    <cellStyle name="40% - Accent4 4 3 2 3 3 2 2" xfId="24758"/>
    <cellStyle name="40% - Accent4 4 3 2 3 3 2 3" xfId="24759"/>
    <cellStyle name="40% - Accent4 4 3 2 3 3 3" xfId="24760"/>
    <cellStyle name="40% - Accent4 4 3 2 3 3 3 2" xfId="24761"/>
    <cellStyle name="40% - Accent4 4 3 2 3 3 3 3" xfId="24762"/>
    <cellStyle name="40% - Accent4 4 3 2 3 3 4" xfId="24763"/>
    <cellStyle name="40% - Accent4 4 3 2 3 3 4 2" xfId="24764"/>
    <cellStyle name="40% - Accent4 4 3 2 3 3 5" xfId="24765"/>
    <cellStyle name="40% - Accent4 4 3 2 3 3 6" xfId="24766"/>
    <cellStyle name="40% - Accent4 4 3 2 3 4" xfId="24767"/>
    <cellStyle name="40% - Accent4 4 3 2 3 4 2" xfId="24768"/>
    <cellStyle name="40% - Accent4 4 3 2 3 4 2 2" xfId="24769"/>
    <cellStyle name="40% - Accent4 4 3 2 3 4 2 3" xfId="24770"/>
    <cellStyle name="40% - Accent4 4 3 2 3 4 3" xfId="24771"/>
    <cellStyle name="40% - Accent4 4 3 2 3 4 3 2" xfId="24772"/>
    <cellStyle name="40% - Accent4 4 3 2 3 4 4" xfId="24773"/>
    <cellStyle name="40% - Accent4 4 3 2 3 4 5" xfId="24774"/>
    <cellStyle name="40% - Accent4 4 3 2 3 5" xfId="24775"/>
    <cellStyle name="40% - Accent4 4 3 2 3 5 2" xfId="24776"/>
    <cellStyle name="40% - Accent4 4 3 2 3 5 3" xfId="24777"/>
    <cellStyle name="40% - Accent4 4 3 2 3 6" xfId="24778"/>
    <cellStyle name="40% - Accent4 4 3 2 3 6 2" xfId="24779"/>
    <cellStyle name="40% - Accent4 4 3 2 3 6 3" xfId="24780"/>
    <cellStyle name="40% - Accent4 4 3 2 3 7" xfId="24781"/>
    <cellStyle name="40% - Accent4 4 3 2 3 7 2" xfId="24782"/>
    <cellStyle name="40% - Accent4 4 3 2 3 8" xfId="24783"/>
    <cellStyle name="40% - Accent4 4 3 2 3 9" xfId="24784"/>
    <cellStyle name="40% - Accent4 4 3 2 4" xfId="24785"/>
    <cellStyle name="40% - Accent4 4 3 2 4 2" xfId="24786"/>
    <cellStyle name="40% - Accent4 4 3 2 4 2 2" xfId="24787"/>
    <cellStyle name="40% - Accent4 4 3 2 4 2 2 2" xfId="24788"/>
    <cellStyle name="40% - Accent4 4 3 2 4 2 2 3" xfId="24789"/>
    <cellStyle name="40% - Accent4 4 3 2 4 2 3" xfId="24790"/>
    <cellStyle name="40% - Accent4 4 3 2 4 2 3 2" xfId="24791"/>
    <cellStyle name="40% - Accent4 4 3 2 4 2 3 3" xfId="24792"/>
    <cellStyle name="40% - Accent4 4 3 2 4 2 4" xfId="24793"/>
    <cellStyle name="40% - Accent4 4 3 2 4 2 4 2" xfId="24794"/>
    <cellStyle name="40% - Accent4 4 3 2 4 2 5" xfId="24795"/>
    <cellStyle name="40% - Accent4 4 3 2 4 2 6" xfId="24796"/>
    <cellStyle name="40% - Accent4 4 3 2 4 3" xfId="24797"/>
    <cellStyle name="40% - Accent4 4 3 2 4 3 2" xfId="24798"/>
    <cellStyle name="40% - Accent4 4 3 2 4 3 2 2" xfId="24799"/>
    <cellStyle name="40% - Accent4 4 3 2 4 3 2 3" xfId="24800"/>
    <cellStyle name="40% - Accent4 4 3 2 4 3 3" xfId="24801"/>
    <cellStyle name="40% - Accent4 4 3 2 4 3 3 2" xfId="24802"/>
    <cellStyle name="40% - Accent4 4 3 2 4 3 3 3" xfId="24803"/>
    <cellStyle name="40% - Accent4 4 3 2 4 3 4" xfId="24804"/>
    <cellStyle name="40% - Accent4 4 3 2 4 3 4 2" xfId="24805"/>
    <cellStyle name="40% - Accent4 4 3 2 4 3 5" xfId="24806"/>
    <cellStyle name="40% - Accent4 4 3 2 4 3 6" xfId="24807"/>
    <cellStyle name="40% - Accent4 4 3 2 4 4" xfId="24808"/>
    <cellStyle name="40% - Accent4 4 3 2 4 4 2" xfId="24809"/>
    <cellStyle name="40% - Accent4 4 3 2 4 4 2 2" xfId="24810"/>
    <cellStyle name="40% - Accent4 4 3 2 4 4 2 3" xfId="24811"/>
    <cellStyle name="40% - Accent4 4 3 2 4 4 3" xfId="24812"/>
    <cellStyle name="40% - Accent4 4 3 2 4 4 3 2" xfId="24813"/>
    <cellStyle name="40% - Accent4 4 3 2 4 4 4" xfId="24814"/>
    <cellStyle name="40% - Accent4 4 3 2 4 4 5" xfId="24815"/>
    <cellStyle name="40% - Accent4 4 3 2 4 5" xfId="24816"/>
    <cellStyle name="40% - Accent4 4 3 2 4 5 2" xfId="24817"/>
    <cellStyle name="40% - Accent4 4 3 2 4 5 3" xfId="24818"/>
    <cellStyle name="40% - Accent4 4 3 2 4 6" xfId="24819"/>
    <cellStyle name="40% - Accent4 4 3 2 4 6 2" xfId="24820"/>
    <cellStyle name="40% - Accent4 4 3 2 4 6 3" xfId="24821"/>
    <cellStyle name="40% - Accent4 4 3 2 4 7" xfId="24822"/>
    <cellStyle name="40% - Accent4 4 3 2 4 7 2" xfId="24823"/>
    <cellStyle name="40% - Accent4 4 3 2 4 8" xfId="24824"/>
    <cellStyle name="40% - Accent4 4 3 2 4 9" xfId="24825"/>
    <cellStyle name="40% - Accent4 4 3 2 5" xfId="24826"/>
    <cellStyle name="40% - Accent4 4 3 2 5 2" xfId="24827"/>
    <cellStyle name="40% - Accent4 4 3 2 5 2 2" xfId="24828"/>
    <cellStyle name="40% - Accent4 4 3 2 5 2 3" xfId="24829"/>
    <cellStyle name="40% - Accent4 4 3 2 5 3" xfId="24830"/>
    <cellStyle name="40% - Accent4 4 3 2 5 3 2" xfId="24831"/>
    <cellStyle name="40% - Accent4 4 3 2 5 3 3" xfId="24832"/>
    <cellStyle name="40% - Accent4 4 3 2 5 4" xfId="24833"/>
    <cellStyle name="40% - Accent4 4 3 2 5 4 2" xfId="24834"/>
    <cellStyle name="40% - Accent4 4 3 2 5 5" xfId="24835"/>
    <cellStyle name="40% - Accent4 4 3 2 5 6" xfId="24836"/>
    <cellStyle name="40% - Accent4 4 3 2 6" xfId="24837"/>
    <cellStyle name="40% - Accent4 4 3 2 6 2" xfId="24838"/>
    <cellStyle name="40% - Accent4 4 3 2 6 2 2" xfId="24839"/>
    <cellStyle name="40% - Accent4 4 3 2 6 2 3" xfId="24840"/>
    <cellStyle name="40% - Accent4 4 3 2 6 3" xfId="24841"/>
    <cellStyle name="40% - Accent4 4 3 2 6 3 2" xfId="24842"/>
    <cellStyle name="40% - Accent4 4 3 2 6 3 3" xfId="24843"/>
    <cellStyle name="40% - Accent4 4 3 2 6 4" xfId="24844"/>
    <cellStyle name="40% - Accent4 4 3 2 6 4 2" xfId="24845"/>
    <cellStyle name="40% - Accent4 4 3 2 6 5" xfId="24846"/>
    <cellStyle name="40% - Accent4 4 3 2 6 6" xfId="24847"/>
    <cellStyle name="40% - Accent4 4 3 2 7" xfId="24848"/>
    <cellStyle name="40% - Accent4 4 3 2 7 2" xfId="24849"/>
    <cellStyle name="40% - Accent4 4 3 2 7 2 2" xfId="24850"/>
    <cellStyle name="40% - Accent4 4 3 2 7 2 3" xfId="24851"/>
    <cellStyle name="40% - Accent4 4 3 2 7 3" xfId="24852"/>
    <cellStyle name="40% - Accent4 4 3 2 7 3 2" xfId="24853"/>
    <cellStyle name="40% - Accent4 4 3 2 7 4" xfId="24854"/>
    <cellStyle name="40% - Accent4 4 3 2 7 5" xfId="24855"/>
    <cellStyle name="40% - Accent4 4 3 2 8" xfId="24856"/>
    <cellStyle name="40% - Accent4 4 3 2 8 2" xfId="24857"/>
    <cellStyle name="40% - Accent4 4 3 2 8 3" xfId="24858"/>
    <cellStyle name="40% - Accent4 4 3 2 9" xfId="24859"/>
    <cellStyle name="40% - Accent4 4 3 2 9 2" xfId="24860"/>
    <cellStyle name="40% - Accent4 4 3 2 9 3" xfId="24861"/>
    <cellStyle name="40% - Accent4 4 3 3" xfId="2235"/>
    <cellStyle name="40% - Accent4 4 3 3 10" xfId="24862"/>
    <cellStyle name="40% - Accent4 4 3 3 2" xfId="2236"/>
    <cellStyle name="40% - Accent4 4 3 3 2 2" xfId="24863"/>
    <cellStyle name="40% - Accent4 4 3 3 2 2 2" xfId="24864"/>
    <cellStyle name="40% - Accent4 4 3 3 2 2 2 2" xfId="24865"/>
    <cellStyle name="40% - Accent4 4 3 3 2 2 2 3" xfId="24866"/>
    <cellStyle name="40% - Accent4 4 3 3 2 2 3" xfId="24867"/>
    <cellStyle name="40% - Accent4 4 3 3 2 2 3 2" xfId="24868"/>
    <cellStyle name="40% - Accent4 4 3 3 2 2 3 3" xfId="24869"/>
    <cellStyle name="40% - Accent4 4 3 3 2 2 4" xfId="24870"/>
    <cellStyle name="40% - Accent4 4 3 3 2 2 4 2" xfId="24871"/>
    <cellStyle name="40% - Accent4 4 3 3 2 2 5" xfId="24872"/>
    <cellStyle name="40% - Accent4 4 3 3 2 2 6" xfId="24873"/>
    <cellStyle name="40% - Accent4 4 3 3 2 3" xfId="24874"/>
    <cellStyle name="40% - Accent4 4 3 3 2 3 2" xfId="24875"/>
    <cellStyle name="40% - Accent4 4 3 3 2 3 2 2" xfId="24876"/>
    <cellStyle name="40% - Accent4 4 3 3 2 3 2 3" xfId="24877"/>
    <cellStyle name="40% - Accent4 4 3 3 2 3 3" xfId="24878"/>
    <cellStyle name="40% - Accent4 4 3 3 2 3 3 2" xfId="24879"/>
    <cellStyle name="40% - Accent4 4 3 3 2 3 3 3" xfId="24880"/>
    <cellStyle name="40% - Accent4 4 3 3 2 3 4" xfId="24881"/>
    <cellStyle name="40% - Accent4 4 3 3 2 3 4 2" xfId="24882"/>
    <cellStyle name="40% - Accent4 4 3 3 2 3 5" xfId="24883"/>
    <cellStyle name="40% - Accent4 4 3 3 2 3 6" xfId="24884"/>
    <cellStyle name="40% - Accent4 4 3 3 2 4" xfId="24885"/>
    <cellStyle name="40% - Accent4 4 3 3 2 4 2" xfId="24886"/>
    <cellStyle name="40% - Accent4 4 3 3 2 4 2 2" xfId="24887"/>
    <cellStyle name="40% - Accent4 4 3 3 2 4 2 3" xfId="24888"/>
    <cellStyle name="40% - Accent4 4 3 3 2 4 3" xfId="24889"/>
    <cellStyle name="40% - Accent4 4 3 3 2 4 3 2" xfId="24890"/>
    <cellStyle name="40% - Accent4 4 3 3 2 4 4" xfId="24891"/>
    <cellStyle name="40% - Accent4 4 3 3 2 4 5" xfId="24892"/>
    <cellStyle name="40% - Accent4 4 3 3 2 5" xfId="24893"/>
    <cellStyle name="40% - Accent4 4 3 3 2 5 2" xfId="24894"/>
    <cellStyle name="40% - Accent4 4 3 3 2 5 3" xfId="24895"/>
    <cellStyle name="40% - Accent4 4 3 3 2 6" xfId="24896"/>
    <cellStyle name="40% - Accent4 4 3 3 2 6 2" xfId="24897"/>
    <cellStyle name="40% - Accent4 4 3 3 2 6 3" xfId="24898"/>
    <cellStyle name="40% - Accent4 4 3 3 2 7" xfId="24899"/>
    <cellStyle name="40% - Accent4 4 3 3 2 7 2" xfId="24900"/>
    <cellStyle name="40% - Accent4 4 3 3 2 8" xfId="24901"/>
    <cellStyle name="40% - Accent4 4 3 3 2 9" xfId="24902"/>
    <cellStyle name="40% - Accent4 4 3 3 3" xfId="24903"/>
    <cellStyle name="40% - Accent4 4 3 3 3 2" xfId="24904"/>
    <cellStyle name="40% - Accent4 4 3 3 3 2 2" xfId="24905"/>
    <cellStyle name="40% - Accent4 4 3 3 3 2 3" xfId="24906"/>
    <cellStyle name="40% - Accent4 4 3 3 3 3" xfId="24907"/>
    <cellStyle name="40% - Accent4 4 3 3 3 3 2" xfId="24908"/>
    <cellStyle name="40% - Accent4 4 3 3 3 3 3" xfId="24909"/>
    <cellStyle name="40% - Accent4 4 3 3 3 4" xfId="24910"/>
    <cellStyle name="40% - Accent4 4 3 3 3 4 2" xfId="24911"/>
    <cellStyle name="40% - Accent4 4 3 3 3 5" xfId="24912"/>
    <cellStyle name="40% - Accent4 4 3 3 3 6" xfId="24913"/>
    <cellStyle name="40% - Accent4 4 3 3 4" xfId="24914"/>
    <cellStyle name="40% - Accent4 4 3 3 4 2" xfId="24915"/>
    <cellStyle name="40% - Accent4 4 3 3 4 2 2" xfId="24916"/>
    <cellStyle name="40% - Accent4 4 3 3 4 2 3" xfId="24917"/>
    <cellStyle name="40% - Accent4 4 3 3 4 3" xfId="24918"/>
    <cellStyle name="40% - Accent4 4 3 3 4 3 2" xfId="24919"/>
    <cellStyle name="40% - Accent4 4 3 3 4 3 3" xfId="24920"/>
    <cellStyle name="40% - Accent4 4 3 3 4 4" xfId="24921"/>
    <cellStyle name="40% - Accent4 4 3 3 4 4 2" xfId="24922"/>
    <cellStyle name="40% - Accent4 4 3 3 4 5" xfId="24923"/>
    <cellStyle name="40% - Accent4 4 3 3 4 6" xfId="24924"/>
    <cellStyle name="40% - Accent4 4 3 3 5" xfId="24925"/>
    <cellStyle name="40% - Accent4 4 3 3 5 2" xfId="24926"/>
    <cellStyle name="40% - Accent4 4 3 3 5 2 2" xfId="24927"/>
    <cellStyle name="40% - Accent4 4 3 3 5 2 3" xfId="24928"/>
    <cellStyle name="40% - Accent4 4 3 3 5 3" xfId="24929"/>
    <cellStyle name="40% - Accent4 4 3 3 5 3 2" xfId="24930"/>
    <cellStyle name="40% - Accent4 4 3 3 5 4" xfId="24931"/>
    <cellStyle name="40% - Accent4 4 3 3 5 5" xfId="24932"/>
    <cellStyle name="40% - Accent4 4 3 3 6" xfId="24933"/>
    <cellStyle name="40% - Accent4 4 3 3 6 2" xfId="24934"/>
    <cellStyle name="40% - Accent4 4 3 3 6 3" xfId="24935"/>
    <cellStyle name="40% - Accent4 4 3 3 7" xfId="24936"/>
    <cellStyle name="40% - Accent4 4 3 3 7 2" xfId="24937"/>
    <cellStyle name="40% - Accent4 4 3 3 7 3" xfId="24938"/>
    <cellStyle name="40% - Accent4 4 3 3 8" xfId="24939"/>
    <cellStyle name="40% - Accent4 4 3 3 8 2" xfId="24940"/>
    <cellStyle name="40% - Accent4 4 3 3 9" xfId="24941"/>
    <cellStyle name="40% - Accent4 4 3 4" xfId="2237"/>
    <cellStyle name="40% - Accent4 4 3 4 2" xfId="24942"/>
    <cellStyle name="40% - Accent4 4 3 4 2 2" xfId="24943"/>
    <cellStyle name="40% - Accent4 4 3 4 2 2 2" xfId="24944"/>
    <cellStyle name="40% - Accent4 4 3 4 2 2 3" xfId="24945"/>
    <cellStyle name="40% - Accent4 4 3 4 2 3" xfId="24946"/>
    <cellStyle name="40% - Accent4 4 3 4 2 3 2" xfId="24947"/>
    <cellStyle name="40% - Accent4 4 3 4 2 3 3" xfId="24948"/>
    <cellStyle name="40% - Accent4 4 3 4 2 4" xfId="24949"/>
    <cellStyle name="40% - Accent4 4 3 4 2 4 2" xfId="24950"/>
    <cellStyle name="40% - Accent4 4 3 4 2 5" xfId="24951"/>
    <cellStyle name="40% - Accent4 4 3 4 2 6" xfId="24952"/>
    <cellStyle name="40% - Accent4 4 3 4 3" xfId="24953"/>
    <cellStyle name="40% - Accent4 4 3 4 3 2" xfId="24954"/>
    <cellStyle name="40% - Accent4 4 3 4 3 2 2" xfId="24955"/>
    <cellStyle name="40% - Accent4 4 3 4 3 2 3" xfId="24956"/>
    <cellStyle name="40% - Accent4 4 3 4 3 3" xfId="24957"/>
    <cellStyle name="40% - Accent4 4 3 4 3 3 2" xfId="24958"/>
    <cellStyle name="40% - Accent4 4 3 4 3 3 3" xfId="24959"/>
    <cellStyle name="40% - Accent4 4 3 4 3 4" xfId="24960"/>
    <cellStyle name="40% - Accent4 4 3 4 3 4 2" xfId="24961"/>
    <cellStyle name="40% - Accent4 4 3 4 3 5" xfId="24962"/>
    <cellStyle name="40% - Accent4 4 3 4 3 6" xfId="24963"/>
    <cellStyle name="40% - Accent4 4 3 4 4" xfId="24964"/>
    <cellStyle name="40% - Accent4 4 3 4 4 2" xfId="24965"/>
    <cellStyle name="40% - Accent4 4 3 4 4 2 2" xfId="24966"/>
    <cellStyle name="40% - Accent4 4 3 4 4 2 3" xfId="24967"/>
    <cellStyle name="40% - Accent4 4 3 4 4 3" xfId="24968"/>
    <cellStyle name="40% - Accent4 4 3 4 4 3 2" xfId="24969"/>
    <cellStyle name="40% - Accent4 4 3 4 4 4" xfId="24970"/>
    <cellStyle name="40% - Accent4 4 3 4 4 5" xfId="24971"/>
    <cellStyle name="40% - Accent4 4 3 4 5" xfId="24972"/>
    <cellStyle name="40% - Accent4 4 3 4 5 2" xfId="24973"/>
    <cellStyle name="40% - Accent4 4 3 4 5 3" xfId="24974"/>
    <cellStyle name="40% - Accent4 4 3 4 6" xfId="24975"/>
    <cellStyle name="40% - Accent4 4 3 4 6 2" xfId="24976"/>
    <cellStyle name="40% - Accent4 4 3 4 6 3" xfId="24977"/>
    <cellStyle name="40% - Accent4 4 3 4 7" xfId="24978"/>
    <cellStyle name="40% - Accent4 4 3 4 7 2" xfId="24979"/>
    <cellStyle name="40% - Accent4 4 3 4 8" xfId="24980"/>
    <cellStyle name="40% - Accent4 4 3 4 9" xfId="24981"/>
    <cellStyle name="40% - Accent4 4 3 5" xfId="24982"/>
    <cellStyle name="40% - Accent4 4 3 5 2" xfId="24983"/>
    <cellStyle name="40% - Accent4 4 3 5 2 2" xfId="24984"/>
    <cellStyle name="40% - Accent4 4 3 5 2 2 2" xfId="24985"/>
    <cellStyle name="40% - Accent4 4 3 5 2 2 3" xfId="24986"/>
    <cellStyle name="40% - Accent4 4 3 5 2 3" xfId="24987"/>
    <cellStyle name="40% - Accent4 4 3 5 2 3 2" xfId="24988"/>
    <cellStyle name="40% - Accent4 4 3 5 2 3 3" xfId="24989"/>
    <cellStyle name="40% - Accent4 4 3 5 2 4" xfId="24990"/>
    <cellStyle name="40% - Accent4 4 3 5 2 4 2" xfId="24991"/>
    <cellStyle name="40% - Accent4 4 3 5 2 5" xfId="24992"/>
    <cellStyle name="40% - Accent4 4 3 5 2 6" xfId="24993"/>
    <cellStyle name="40% - Accent4 4 3 5 3" xfId="24994"/>
    <cellStyle name="40% - Accent4 4 3 5 3 2" xfId="24995"/>
    <cellStyle name="40% - Accent4 4 3 5 3 2 2" xfId="24996"/>
    <cellStyle name="40% - Accent4 4 3 5 3 2 3" xfId="24997"/>
    <cellStyle name="40% - Accent4 4 3 5 3 3" xfId="24998"/>
    <cellStyle name="40% - Accent4 4 3 5 3 3 2" xfId="24999"/>
    <cellStyle name="40% - Accent4 4 3 5 3 3 3" xfId="25000"/>
    <cellStyle name="40% - Accent4 4 3 5 3 4" xfId="25001"/>
    <cellStyle name="40% - Accent4 4 3 5 3 4 2" xfId="25002"/>
    <cellStyle name="40% - Accent4 4 3 5 3 5" xfId="25003"/>
    <cellStyle name="40% - Accent4 4 3 5 3 6" xfId="25004"/>
    <cellStyle name="40% - Accent4 4 3 5 4" xfId="25005"/>
    <cellStyle name="40% - Accent4 4 3 5 4 2" xfId="25006"/>
    <cellStyle name="40% - Accent4 4 3 5 4 2 2" xfId="25007"/>
    <cellStyle name="40% - Accent4 4 3 5 4 2 3" xfId="25008"/>
    <cellStyle name="40% - Accent4 4 3 5 4 3" xfId="25009"/>
    <cellStyle name="40% - Accent4 4 3 5 4 3 2" xfId="25010"/>
    <cellStyle name="40% - Accent4 4 3 5 4 4" xfId="25011"/>
    <cellStyle name="40% - Accent4 4 3 5 4 5" xfId="25012"/>
    <cellStyle name="40% - Accent4 4 3 5 5" xfId="25013"/>
    <cellStyle name="40% - Accent4 4 3 5 5 2" xfId="25014"/>
    <cellStyle name="40% - Accent4 4 3 5 5 3" xfId="25015"/>
    <cellStyle name="40% - Accent4 4 3 5 6" xfId="25016"/>
    <cellStyle name="40% - Accent4 4 3 5 6 2" xfId="25017"/>
    <cellStyle name="40% - Accent4 4 3 5 6 3" xfId="25018"/>
    <cellStyle name="40% - Accent4 4 3 5 7" xfId="25019"/>
    <cellStyle name="40% - Accent4 4 3 5 7 2" xfId="25020"/>
    <cellStyle name="40% - Accent4 4 3 5 8" xfId="25021"/>
    <cellStyle name="40% - Accent4 4 3 5 9" xfId="25022"/>
    <cellStyle name="40% - Accent4 4 3 6" xfId="25023"/>
    <cellStyle name="40% - Accent4 4 3 6 2" xfId="25024"/>
    <cellStyle name="40% - Accent4 4 3 6 2 2" xfId="25025"/>
    <cellStyle name="40% - Accent4 4 3 6 2 3" xfId="25026"/>
    <cellStyle name="40% - Accent4 4 3 6 3" xfId="25027"/>
    <cellStyle name="40% - Accent4 4 3 6 3 2" xfId="25028"/>
    <cellStyle name="40% - Accent4 4 3 6 3 3" xfId="25029"/>
    <cellStyle name="40% - Accent4 4 3 6 4" xfId="25030"/>
    <cellStyle name="40% - Accent4 4 3 6 4 2" xfId="25031"/>
    <cellStyle name="40% - Accent4 4 3 6 5" xfId="25032"/>
    <cellStyle name="40% - Accent4 4 3 6 6" xfId="25033"/>
    <cellStyle name="40% - Accent4 4 3 7" xfId="25034"/>
    <cellStyle name="40% - Accent4 4 3 7 2" xfId="25035"/>
    <cellStyle name="40% - Accent4 4 3 7 2 2" xfId="25036"/>
    <cellStyle name="40% - Accent4 4 3 7 2 3" xfId="25037"/>
    <cellStyle name="40% - Accent4 4 3 7 3" xfId="25038"/>
    <cellStyle name="40% - Accent4 4 3 7 3 2" xfId="25039"/>
    <cellStyle name="40% - Accent4 4 3 7 3 3" xfId="25040"/>
    <cellStyle name="40% - Accent4 4 3 7 4" xfId="25041"/>
    <cellStyle name="40% - Accent4 4 3 7 4 2" xfId="25042"/>
    <cellStyle name="40% - Accent4 4 3 7 5" xfId="25043"/>
    <cellStyle name="40% - Accent4 4 3 7 6" xfId="25044"/>
    <cellStyle name="40% - Accent4 4 3 8" xfId="25045"/>
    <cellStyle name="40% - Accent4 4 3 8 2" xfId="25046"/>
    <cellStyle name="40% - Accent4 4 3 8 2 2" xfId="25047"/>
    <cellStyle name="40% - Accent4 4 3 8 2 3" xfId="25048"/>
    <cellStyle name="40% - Accent4 4 3 8 3" xfId="25049"/>
    <cellStyle name="40% - Accent4 4 3 8 3 2" xfId="25050"/>
    <cellStyle name="40% - Accent4 4 3 8 4" xfId="25051"/>
    <cellStyle name="40% - Accent4 4 3 8 5" xfId="25052"/>
    <cellStyle name="40% - Accent4 4 3 9" xfId="25053"/>
    <cellStyle name="40% - Accent4 4 3 9 2" xfId="25054"/>
    <cellStyle name="40% - Accent4 4 3 9 3" xfId="25055"/>
    <cellStyle name="40% - Accent4 4 4" xfId="2238"/>
    <cellStyle name="40% - Accent4 4 4 10" xfId="25056"/>
    <cellStyle name="40% - Accent4 4 4 10 2" xfId="25057"/>
    <cellStyle name="40% - Accent4 4 4 11" xfId="25058"/>
    <cellStyle name="40% - Accent4 4 4 12" xfId="25059"/>
    <cellStyle name="40% - Accent4 4 4 2" xfId="2239"/>
    <cellStyle name="40% - Accent4 4 4 2 10" xfId="25060"/>
    <cellStyle name="40% - Accent4 4 4 2 2" xfId="2240"/>
    <cellStyle name="40% - Accent4 4 4 2 2 2" xfId="25061"/>
    <cellStyle name="40% - Accent4 4 4 2 2 2 2" xfId="25062"/>
    <cellStyle name="40% - Accent4 4 4 2 2 2 2 2" xfId="25063"/>
    <cellStyle name="40% - Accent4 4 4 2 2 2 2 3" xfId="25064"/>
    <cellStyle name="40% - Accent4 4 4 2 2 2 3" xfId="25065"/>
    <cellStyle name="40% - Accent4 4 4 2 2 2 3 2" xfId="25066"/>
    <cellStyle name="40% - Accent4 4 4 2 2 2 3 3" xfId="25067"/>
    <cellStyle name="40% - Accent4 4 4 2 2 2 4" xfId="25068"/>
    <cellStyle name="40% - Accent4 4 4 2 2 2 4 2" xfId="25069"/>
    <cellStyle name="40% - Accent4 4 4 2 2 2 5" xfId="25070"/>
    <cellStyle name="40% - Accent4 4 4 2 2 2 6" xfId="25071"/>
    <cellStyle name="40% - Accent4 4 4 2 2 3" xfId="25072"/>
    <cellStyle name="40% - Accent4 4 4 2 2 3 2" xfId="25073"/>
    <cellStyle name="40% - Accent4 4 4 2 2 3 2 2" xfId="25074"/>
    <cellStyle name="40% - Accent4 4 4 2 2 3 2 3" xfId="25075"/>
    <cellStyle name="40% - Accent4 4 4 2 2 3 3" xfId="25076"/>
    <cellStyle name="40% - Accent4 4 4 2 2 3 3 2" xfId="25077"/>
    <cellStyle name="40% - Accent4 4 4 2 2 3 3 3" xfId="25078"/>
    <cellStyle name="40% - Accent4 4 4 2 2 3 4" xfId="25079"/>
    <cellStyle name="40% - Accent4 4 4 2 2 3 4 2" xfId="25080"/>
    <cellStyle name="40% - Accent4 4 4 2 2 3 5" xfId="25081"/>
    <cellStyle name="40% - Accent4 4 4 2 2 3 6" xfId="25082"/>
    <cellStyle name="40% - Accent4 4 4 2 2 4" xfId="25083"/>
    <cellStyle name="40% - Accent4 4 4 2 2 4 2" xfId="25084"/>
    <cellStyle name="40% - Accent4 4 4 2 2 4 2 2" xfId="25085"/>
    <cellStyle name="40% - Accent4 4 4 2 2 4 2 3" xfId="25086"/>
    <cellStyle name="40% - Accent4 4 4 2 2 4 3" xfId="25087"/>
    <cellStyle name="40% - Accent4 4 4 2 2 4 3 2" xfId="25088"/>
    <cellStyle name="40% - Accent4 4 4 2 2 4 4" xfId="25089"/>
    <cellStyle name="40% - Accent4 4 4 2 2 4 5" xfId="25090"/>
    <cellStyle name="40% - Accent4 4 4 2 2 5" xfId="25091"/>
    <cellStyle name="40% - Accent4 4 4 2 2 5 2" xfId="25092"/>
    <cellStyle name="40% - Accent4 4 4 2 2 5 3" xfId="25093"/>
    <cellStyle name="40% - Accent4 4 4 2 2 6" xfId="25094"/>
    <cellStyle name="40% - Accent4 4 4 2 2 6 2" xfId="25095"/>
    <cellStyle name="40% - Accent4 4 4 2 2 6 3" xfId="25096"/>
    <cellStyle name="40% - Accent4 4 4 2 2 7" xfId="25097"/>
    <cellStyle name="40% - Accent4 4 4 2 2 7 2" xfId="25098"/>
    <cellStyle name="40% - Accent4 4 4 2 2 8" xfId="25099"/>
    <cellStyle name="40% - Accent4 4 4 2 2 9" xfId="25100"/>
    <cellStyle name="40% - Accent4 4 4 2 3" xfId="25101"/>
    <cellStyle name="40% - Accent4 4 4 2 3 2" xfId="25102"/>
    <cellStyle name="40% - Accent4 4 4 2 3 2 2" xfId="25103"/>
    <cellStyle name="40% - Accent4 4 4 2 3 2 3" xfId="25104"/>
    <cellStyle name="40% - Accent4 4 4 2 3 3" xfId="25105"/>
    <cellStyle name="40% - Accent4 4 4 2 3 3 2" xfId="25106"/>
    <cellStyle name="40% - Accent4 4 4 2 3 3 3" xfId="25107"/>
    <cellStyle name="40% - Accent4 4 4 2 3 4" xfId="25108"/>
    <cellStyle name="40% - Accent4 4 4 2 3 4 2" xfId="25109"/>
    <cellStyle name="40% - Accent4 4 4 2 3 5" xfId="25110"/>
    <cellStyle name="40% - Accent4 4 4 2 3 6" xfId="25111"/>
    <cellStyle name="40% - Accent4 4 4 2 4" xfId="25112"/>
    <cellStyle name="40% - Accent4 4 4 2 4 2" xfId="25113"/>
    <cellStyle name="40% - Accent4 4 4 2 4 2 2" xfId="25114"/>
    <cellStyle name="40% - Accent4 4 4 2 4 2 3" xfId="25115"/>
    <cellStyle name="40% - Accent4 4 4 2 4 3" xfId="25116"/>
    <cellStyle name="40% - Accent4 4 4 2 4 3 2" xfId="25117"/>
    <cellStyle name="40% - Accent4 4 4 2 4 3 3" xfId="25118"/>
    <cellStyle name="40% - Accent4 4 4 2 4 4" xfId="25119"/>
    <cellStyle name="40% - Accent4 4 4 2 4 4 2" xfId="25120"/>
    <cellStyle name="40% - Accent4 4 4 2 4 5" xfId="25121"/>
    <cellStyle name="40% - Accent4 4 4 2 4 6" xfId="25122"/>
    <cellStyle name="40% - Accent4 4 4 2 5" xfId="25123"/>
    <cellStyle name="40% - Accent4 4 4 2 5 2" xfId="25124"/>
    <cellStyle name="40% - Accent4 4 4 2 5 2 2" xfId="25125"/>
    <cellStyle name="40% - Accent4 4 4 2 5 2 3" xfId="25126"/>
    <cellStyle name="40% - Accent4 4 4 2 5 3" xfId="25127"/>
    <cellStyle name="40% - Accent4 4 4 2 5 3 2" xfId="25128"/>
    <cellStyle name="40% - Accent4 4 4 2 5 4" xfId="25129"/>
    <cellStyle name="40% - Accent4 4 4 2 5 5" xfId="25130"/>
    <cellStyle name="40% - Accent4 4 4 2 6" xfId="25131"/>
    <cellStyle name="40% - Accent4 4 4 2 6 2" xfId="25132"/>
    <cellStyle name="40% - Accent4 4 4 2 6 3" xfId="25133"/>
    <cellStyle name="40% - Accent4 4 4 2 7" xfId="25134"/>
    <cellStyle name="40% - Accent4 4 4 2 7 2" xfId="25135"/>
    <cellStyle name="40% - Accent4 4 4 2 7 3" xfId="25136"/>
    <cellStyle name="40% - Accent4 4 4 2 8" xfId="25137"/>
    <cellStyle name="40% - Accent4 4 4 2 8 2" xfId="25138"/>
    <cellStyle name="40% - Accent4 4 4 2 9" xfId="25139"/>
    <cellStyle name="40% - Accent4 4 4 3" xfId="2241"/>
    <cellStyle name="40% - Accent4 4 4 3 2" xfId="25140"/>
    <cellStyle name="40% - Accent4 4 4 3 2 2" xfId="25141"/>
    <cellStyle name="40% - Accent4 4 4 3 2 2 2" xfId="25142"/>
    <cellStyle name="40% - Accent4 4 4 3 2 2 3" xfId="25143"/>
    <cellStyle name="40% - Accent4 4 4 3 2 3" xfId="25144"/>
    <cellStyle name="40% - Accent4 4 4 3 2 3 2" xfId="25145"/>
    <cellStyle name="40% - Accent4 4 4 3 2 3 3" xfId="25146"/>
    <cellStyle name="40% - Accent4 4 4 3 2 4" xfId="25147"/>
    <cellStyle name="40% - Accent4 4 4 3 2 4 2" xfId="25148"/>
    <cellStyle name="40% - Accent4 4 4 3 2 5" xfId="25149"/>
    <cellStyle name="40% - Accent4 4 4 3 2 6" xfId="25150"/>
    <cellStyle name="40% - Accent4 4 4 3 3" xfId="25151"/>
    <cellStyle name="40% - Accent4 4 4 3 3 2" xfId="25152"/>
    <cellStyle name="40% - Accent4 4 4 3 3 2 2" xfId="25153"/>
    <cellStyle name="40% - Accent4 4 4 3 3 2 3" xfId="25154"/>
    <cellStyle name="40% - Accent4 4 4 3 3 3" xfId="25155"/>
    <cellStyle name="40% - Accent4 4 4 3 3 3 2" xfId="25156"/>
    <cellStyle name="40% - Accent4 4 4 3 3 3 3" xfId="25157"/>
    <cellStyle name="40% - Accent4 4 4 3 3 4" xfId="25158"/>
    <cellStyle name="40% - Accent4 4 4 3 3 4 2" xfId="25159"/>
    <cellStyle name="40% - Accent4 4 4 3 3 5" xfId="25160"/>
    <cellStyle name="40% - Accent4 4 4 3 3 6" xfId="25161"/>
    <cellStyle name="40% - Accent4 4 4 3 4" xfId="25162"/>
    <cellStyle name="40% - Accent4 4 4 3 4 2" xfId="25163"/>
    <cellStyle name="40% - Accent4 4 4 3 4 2 2" xfId="25164"/>
    <cellStyle name="40% - Accent4 4 4 3 4 2 3" xfId="25165"/>
    <cellStyle name="40% - Accent4 4 4 3 4 3" xfId="25166"/>
    <cellStyle name="40% - Accent4 4 4 3 4 3 2" xfId="25167"/>
    <cellStyle name="40% - Accent4 4 4 3 4 4" xfId="25168"/>
    <cellStyle name="40% - Accent4 4 4 3 4 5" xfId="25169"/>
    <cellStyle name="40% - Accent4 4 4 3 5" xfId="25170"/>
    <cellStyle name="40% - Accent4 4 4 3 5 2" xfId="25171"/>
    <cellStyle name="40% - Accent4 4 4 3 5 3" xfId="25172"/>
    <cellStyle name="40% - Accent4 4 4 3 6" xfId="25173"/>
    <cellStyle name="40% - Accent4 4 4 3 6 2" xfId="25174"/>
    <cellStyle name="40% - Accent4 4 4 3 6 3" xfId="25175"/>
    <cellStyle name="40% - Accent4 4 4 3 7" xfId="25176"/>
    <cellStyle name="40% - Accent4 4 4 3 7 2" xfId="25177"/>
    <cellStyle name="40% - Accent4 4 4 3 8" xfId="25178"/>
    <cellStyle name="40% - Accent4 4 4 3 9" xfId="25179"/>
    <cellStyle name="40% - Accent4 4 4 4" xfId="25180"/>
    <cellStyle name="40% - Accent4 4 4 4 2" xfId="25181"/>
    <cellStyle name="40% - Accent4 4 4 4 2 2" xfId="25182"/>
    <cellStyle name="40% - Accent4 4 4 4 2 2 2" xfId="25183"/>
    <cellStyle name="40% - Accent4 4 4 4 2 2 3" xfId="25184"/>
    <cellStyle name="40% - Accent4 4 4 4 2 3" xfId="25185"/>
    <cellStyle name="40% - Accent4 4 4 4 2 3 2" xfId="25186"/>
    <cellStyle name="40% - Accent4 4 4 4 2 3 3" xfId="25187"/>
    <cellStyle name="40% - Accent4 4 4 4 2 4" xfId="25188"/>
    <cellStyle name="40% - Accent4 4 4 4 2 4 2" xfId="25189"/>
    <cellStyle name="40% - Accent4 4 4 4 2 5" xfId="25190"/>
    <cellStyle name="40% - Accent4 4 4 4 2 6" xfId="25191"/>
    <cellStyle name="40% - Accent4 4 4 4 3" xfId="25192"/>
    <cellStyle name="40% - Accent4 4 4 4 3 2" xfId="25193"/>
    <cellStyle name="40% - Accent4 4 4 4 3 2 2" xfId="25194"/>
    <cellStyle name="40% - Accent4 4 4 4 3 2 3" xfId="25195"/>
    <cellStyle name="40% - Accent4 4 4 4 3 3" xfId="25196"/>
    <cellStyle name="40% - Accent4 4 4 4 3 3 2" xfId="25197"/>
    <cellStyle name="40% - Accent4 4 4 4 3 3 3" xfId="25198"/>
    <cellStyle name="40% - Accent4 4 4 4 3 4" xfId="25199"/>
    <cellStyle name="40% - Accent4 4 4 4 3 4 2" xfId="25200"/>
    <cellStyle name="40% - Accent4 4 4 4 3 5" xfId="25201"/>
    <cellStyle name="40% - Accent4 4 4 4 3 6" xfId="25202"/>
    <cellStyle name="40% - Accent4 4 4 4 4" xfId="25203"/>
    <cellStyle name="40% - Accent4 4 4 4 4 2" xfId="25204"/>
    <cellStyle name="40% - Accent4 4 4 4 4 2 2" xfId="25205"/>
    <cellStyle name="40% - Accent4 4 4 4 4 2 3" xfId="25206"/>
    <cellStyle name="40% - Accent4 4 4 4 4 3" xfId="25207"/>
    <cellStyle name="40% - Accent4 4 4 4 4 3 2" xfId="25208"/>
    <cellStyle name="40% - Accent4 4 4 4 4 4" xfId="25209"/>
    <cellStyle name="40% - Accent4 4 4 4 4 5" xfId="25210"/>
    <cellStyle name="40% - Accent4 4 4 4 5" xfId="25211"/>
    <cellStyle name="40% - Accent4 4 4 4 5 2" xfId="25212"/>
    <cellStyle name="40% - Accent4 4 4 4 5 3" xfId="25213"/>
    <cellStyle name="40% - Accent4 4 4 4 6" xfId="25214"/>
    <cellStyle name="40% - Accent4 4 4 4 6 2" xfId="25215"/>
    <cellStyle name="40% - Accent4 4 4 4 6 3" xfId="25216"/>
    <cellStyle name="40% - Accent4 4 4 4 7" xfId="25217"/>
    <cellStyle name="40% - Accent4 4 4 4 7 2" xfId="25218"/>
    <cellStyle name="40% - Accent4 4 4 4 8" xfId="25219"/>
    <cellStyle name="40% - Accent4 4 4 4 9" xfId="25220"/>
    <cellStyle name="40% - Accent4 4 4 5" xfId="25221"/>
    <cellStyle name="40% - Accent4 4 4 5 2" xfId="25222"/>
    <cellStyle name="40% - Accent4 4 4 5 2 2" xfId="25223"/>
    <cellStyle name="40% - Accent4 4 4 5 2 3" xfId="25224"/>
    <cellStyle name="40% - Accent4 4 4 5 3" xfId="25225"/>
    <cellStyle name="40% - Accent4 4 4 5 3 2" xfId="25226"/>
    <cellStyle name="40% - Accent4 4 4 5 3 3" xfId="25227"/>
    <cellStyle name="40% - Accent4 4 4 5 4" xfId="25228"/>
    <cellStyle name="40% - Accent4 4 4 5 4 2" xfId="25229"/>
    <cellStyle name="40% - Accent4 4 4 5 5" xfId="25230"/>
    <cellStyle name="40% - Accent4 4 4 5 6" xfId="25231"/>
    <cellStyle name="40% - Accent4 4 4 6" xfId="25232"/>
    <cellStyle name="40% - Accent4 4 4 6 2" xfId="25233"/>
    <cellStyle name="40% - Accent4 4 4 6 2 2" xfId="25234"/>
    <cellStyle name="40% - Accent4 4 4 6 2 3" xfId="25235"/>
    <cellStyle name="40% - Accent4 4 4 6 3" xfId="25236"/>
    <cellStyle name="40% - Accent4 4 4 6 3 2" xfId="25237"/>
    <cellStyle name="40% - Accent4 4 4 6 3 3" xfId="25238"/>
    <cellStyle name="40% - Accent4 4 4 6 4" xfId="25239"/>
    <cellStyle name="40% - Accent4 4 4 6 4 2" xfId="25240"/>
    <cellStyle name="40% - Accent4 4 4 6 5" xfId="25241"/>
    <cellStyle name="40% - Accent4 4 4 6 6" xfId="25242"/>
    <cellStyle name="40% - Accent4 4 4 7" xfId="25243"/>
    <cellStyle name="40% - Accent4 4 4 7 2" xfId="25244"/>
    <cellStyle name="40% - Accent4 4 4 7 2 2" xfId="25245"/>
    <cellStyle name="40% - Accent4 4 4 7 2 3" xfId="25246"/>
    <cellStyle name="40% - Accent4 4 4 7 3" xfId="25247"/>
    <cellStyle name="40% - Accent4 4 4 7 3 2" xfId="25248"/>
    <cellStyle name="40% - Accent4 4 4 7 4" xfId="25249"/>
    <cellStyle name="40% - Accent4 4 4 7 5" xfId="25250"/>
    <cellStyle name="40% - Accent4 4 4 8" xfId="25251"/>
    <cellStyle name="40% - Accent4 4 4 8 2" xfId="25252"/>
    <cellStyle name="40% - Accent4 4 4 8 3" xfId="25253"/>
    <cellStyle name="40% - Accent4 4 4 9" xfId="25254"/>
    <cellStyle name="40% - Accent4 4 4 9 2" xfId="25255"/>
    <cellStyle name="40% - Accent4 4 4 9 3" xfId="25256"/>
    <cellStyle name="40% - Accent4 4 5" xfId="2242"/>
    <cellStyle name="40% - Accent4 4 5 10" xfId="25257"/>
    <cellStyle name="40% - Accent4 4 5 2" xfId="2243"/>
    <cellStyle name="40% - Accent4 4 5 2 2" xfId="25258"/>
    <cellStyle name="40% - Accent4 4 5 2 2 2" xfId="25259"/>
    <cellStyle name="40% - Accent4 4 5 2 2 2 2" xfId="25260"/>
    <cellStyle name="40% - Accent4 4 5 2 2 2 3" xfId="25261"/>
    <cellStyle name="40% - Accent4 4 5 2 2 3" xfId="25262"/>
    <cellStyle name="40% - Accent4 4 5 2 2 3 2" xfId="25263"/>
    <cellStyle name="40% - Accent4 4 5 2 2 3 3" xfId="25264"/>
    <cellStyle name="40% - Accent4 4 5 2 2 4" xfId="25265"/>
    <cellStyle name="40% - Accent4 4 5 2 2 4 2" xfId="25266"/>
    <cellStyle name="40% - Accent4 4 5 2 2 5" xfId="25267"/>
    <cellStyle name="40% - Accent4 4 5 2 2 6" xfId="25268"/>
    <cellStyle name="40% - Accent4 4 5 2 3" xfId="25269"/>
    <cellStyle name="40% - Accent4 4 5 2 3 2" xfId="25270"/>
    <cellStyle name="40% - Accent4 4 5 2 3 2 2" xfId="25271"/>
    <cellStyle name="40% - Accent4 4 5 2 3 2 3" xfId="25272"/>
    <cellStyle name="40% - Accent4 4 5 2 3 3" xfId="25273"/>
    <cellStyle name="40% - Accent4 4 5 2 3 3 2" xfId="25274"/>
    <cellStyle name="40% - Accent4 4 5 2 3 3 3" xfId="25275"/>
    <cellStyle name="40% - Accent4 4 5 2 3 4" xfId="25276"/>
    <cellStyle name="40% - Accent4 4 5 2 3 4 2" xfId="25277"/>
    <cellStyle name="40% - Accent4 4 5 2 3 5" xfId="25278"/>
    <cellStyle name="40% - Accent4 4 5 2 3 6" xfId="25279"/>
    <cellStyle name="40% - Accent4 4 5 2 4" xfId="25280"/>
    <cellStyle name="40% - Accent4 4 5 2 4 2" xfId="25281"/>
    <cellStyle name="40% - Accent4 4 5 2 4 2 2" xfId="25282"/>
    <cellStyle name="40% - Accent4 4 5 2 4 2 3" xfId="25283"/>
    <cellStyle name="40% - Accent4 4 5 2 4 3" xfId="25284"/>
    <cellStyle name="40% - Accent4 4 5 2 4 3 2" xfId="25285"/>
    <cellStyle name="40% - Accent4 4 5 2 4 4" xfId="25286"/>
    <cellStyle name="40% - Accent4 4 5 2 4 5" xfId="25287"/>
    <cellStyle name="40% - Accent4 4 5 2 5" xfId="25288"/>
    <cellStyle name="40% - Accent4 4 5 2 5 2" xfId="25289"/>
    <cellStyle name="40% - Accent4 4 5 2 5 3" xfId="25290"/>
    <cellStyle name="40% - Accent4 4 5 2 6" xfId="25291"/>
    <cellStyle name="40% - Accent4 4 5 2 6 2" xfId="25292"/>
    <cellStyle name="40% - Accent4 4 5 2 6 3" xfId="25293"/>
    <cellStyle name="40% - Accent4 4 5 2 7" xfId="25294"/>
    <cellStyle name="40% - Accent4 4 5 2 7 2" xfId="25295"/>
    <cellStyle name="40% - Accent4 4 5 2 8" xfId="25296"/>
    <cellStyle name="40% - Accent4 4 5 2 9" xfId="25297"/>
    <cellStyle name="40% - Accent4 4 5 3" xfId="25298"/>
    <cellStyle name="40% - Accent4 4 5 3 2" xfId="25299"/>
    <cellStyle name="40% - Accent4 4 5 3 2 2" xfId="25300"/>
    <cellStyle name="40% - Accent4 4 5 3 2 3" xfId="25301"/>
    <cellStyle name="40% - Accent4 4 5 3 3" xfId="25302"/>
    <cellStyle name="40% - Accent4 4 5 3 3 2" xfId="25303"/>
    <cellStyle name="40% - Accent4 4 5 3 3 3" xfId="25304"/>
    <cellStyle name="40% - Accent4 4 5 3 4" xfId="25305"/>
    <cellStyle name="40% - Accent4 4 5 3 4 2" xfId="25306"/>
    <cellStyle name="40% - Accent4 4 5 3 5" xfId="25307"/>
    <cellStyle name="40% - Accent4 4 5 3 6" xfId="25308"/>
    <cellStyle name="40% - Accent4 4 5 4" xfId="25309"/>
    <cellStyle name="40% - Accent4 4 5 4 2" xfId="25310"/>
    <cellStyle name="40% - Accent4 4 5 4 2 2" xfId="25311"/>
    <cellStyle name="40% - Accent4 4 5 4 2 3" xfId="25312"/>
    <cellStyle name="40% - Accent4 4 5 4 3" xfId="25313"/>
    <cellStyle name="40% - Accent4 4 5 4 3 2" xfId="25314"/>
    <cellStyle name="40% - Accent4 4 5 4 3 3" xfId="25315"/>
    <cellStyle name="40% - Accent4 4 5 4 4" xfId="25316"/>
    <cellStyle name="40% - Accent4 4 5 4 4 2" xfId="25317"/>
    <cellStyle name="40% - Accent4 4 5 4 5" xfId="25318"/>
    <cellStyle name="40% - Accent4 4 5 4 6" xfId="25319"/>
    <cellStyle name="40% - Accent4 4 5 5" xfId="25320"/>
    <cellStyle name="40% - Accent4 4 5 5 2" xfId="25321"/>
    <cellStyle name="40% - Accent4 4 5 5 2 2" xfId="25322"/>
    <cellStyle name="40% - Accent4 4 5 5 2 3" xfId="25323"/>
    <cellStyle name="40% - Accent4 4 5 5 3" xfId="25324"/>
    <cellStyle name="40% - Accent4 4 5 5 3 2" xfId="25325"/>
    <cellStyle name="40% - Accent4 4 5 5 4" xfId="25326"/>
    <cellStyle name="40% - Accent4 4 5 5 5" xfId="25327"/>
    <cellStyle name="40% - Accent4 4 5 6" xfId="25328"/>
    <cellStyle name="40% - Accent4 4 5 6 2" xfId="25329"/>
    <cellStyle name="40% - Accent4 4 5 6 3" xfId="25330"/>
    <cellStyle name="40% - Accent4 4 5 7" xfId="25331"/>
    <cellStyle name="40% - Accent4 4 5 7 2" xfId="25332"/>
    <cellStyle name="40% - Accent4 4 5 7 3" xfId="25333"/>
    <cellStyle name="40% - Accent4 4 5 8" xfId="25334"/>
    <cellStyle name="40% - Accent4 4 5 8 2" xfId="25335"/>
    <cellStyle name="40% - Accent4 4 5 9" xfId="25336"/>
    <cellStyle name="40% - Accent4 4 6" xfId="2244"/>
    <cellStyle name="40% - Accent4 4 6 2" xfId="25337"/>
    <cellStyle name="40% - Accent4 4 6 2 2" xfId="25338"/>
    <cellStyle name="40% - Accent4 4 6 2 2 2" xfId="25339"/>
    <cellStyle name="40% - Accent4 4 6 2 2 3" xfId="25340"/>
    <cellStyle name="40% - Accent4 4 6 2 3" xfId="25341"/>
    <cellStyle name="40% - Accent4 4 6 2 3 2" xfId="25342"/>
    <cellStyle name="40% - Accent4 4 6 2 3 3" xfId="25343"/>
    <cellStyle name="40% - Accent4 4 6 2 4" xfId="25344"/>
    <cellStyle name="40% - Accent4 4 6 2 4 2" xfId="25345"/>
    <cellStyle name="40% - Accent4 4 6 2 5" xfId="25346"/>
    <cellStyle name="40% - Accent4 4 6 2 6" xfId="25347"/>
    <cellStyle name="40% - Accent4 4 6 3" xfId="25348"/>
    <cellStyle name="40% - Accent4 4 6 3 2" xfId="25349"/>
    <cellStyle name="40% - Accent4 4 6 3 2 2" xfId="25350"/>
    <cellStyle name="40% - Accent4 4 6 3 2 3" xfId="25351"/>
    <cellStyle name="40% - Accent4 4 6 3 3" xfId="25352"/>
    <cellStyle name="40% - Accent4 4 6 3 3 2" xfId="25353"/>
    <cellStyle name="40% - Accent4 4 6 3 3 3" xfId="25354"/>
    <cellStyle name="40% - Accent4 4 6 3 4" xfId="25355"/>
    <cellStyle name="40% - Accent4 4 6 3 4 2" xfId="25356"/>
    <cellStyle name="40% - Accent4 4 6 3 5" xfId="25357"/>
    <cellStyle name="40% - Accent4 4 6 3 6" xfId="25358"/>
    <cellStyle name="40% - Accent4 4 6 4" xfId="25359"/>
    <cellStyle name="40% - Accent4 4 6 4 2" xfId="25360"/>
    <cellStyle name="40% - Accent4 4 6 4 2 2" xfId="25361"/>
    <cellStyle name="40% - Accent4 4 6 4 2 3" xfId="25362"/>
    <cellStyle name="40% - Accent4 4 6 4 3" xfId="25363"/>
    <cellStyle name="40% - Accent4 4 6 4 3 2" xfId="25364"/>
    <cellStyle name="40% - Accent4 4 6 4 4" xfId="25365"/>
    <cellStyle name="40% - Accent4 4 6 4 5" xfId="25366"/>
    <cellStyle name="40% - Accent4 4 6 5" xfId="25367"/>
    <cellStyle name="40% - Accent4 4 6 5 2" xfId="25368"/>
    <cellStyle name="40% - Accent4 4 6 5 3" xfId="25369"/>
    <cellStyle name="40% - Accent4 4 6 6" xfId="25370"/>
    <cellStyle name="40% - Accent4 4 6 6 2" xfId="25371"/>
    <cellStyle name="40% - Accent4 4 6 6 3" xfId="25372"/>
    <cellStyle name="40% - Accent4 4 6 7" xfId="25373"/>
    <cellStyle name="40% - Accent4 4 6 7 2" xfId="25374"/>
    <cellStyle name="40% - Accent4 4 6 8" xfId="25375"/>
    <cellStyle name="40% - Accent4 4 6 9" xfId="25376"/>
    <cellStyle name="40% - Accent4 4 7" xfId="9022"/>
    <cellStyle name="40% - Accent4 4 7 2" xfId="25377"/>
    <cellStyle name="40% - Accent4 4 7 2 2" xfId="25378"/>
    <cellStyle name="40% - Accent4 4 7 2 2 2" xfId="25379"/>
    <cellStyle name="40% - Accent4 4 7 2 2 3" xfId="25380"/>
    <cellStyle name="40% - Accent4 4 7 2 3" xfId="25381"/>
    <cellStyle name="40% - Accent4 4 7 2 3 2" xfId="25382"/>
    <cellStyle name="40% - Accent4 4 7 2 3 3" xfId="25383"/>
    <cellStyle name="40% - Accent4 4 7 2 4" xfId="25384"/>
    <cellStyle name="40% - Accent4 4 7 2 4 2" xfId="25385"/>
    <cellStyle name="40% - Accent4 4 7 2 5" xfId="25386"/>
    <cellStyle name="40% - Accent4 4 7 2 6" xfId="25387"/>
    <cellStyle name="40% - Accent4 4 7 3" xfId="25388"/>
    <cellStyle name="40% - Accent4 4 7 3 2" xfId="25389"/>
    <cellStyle name="40% - Accent4 4 7 3 2 2" xfId="25390"/>
    <cellStyle name="40% - Accent4 4 7 3 2 3" xfId="25391"/>
    <cellStyle name="40% - Accent4 4 7 3 3" xfId="25392"/>
    <cellStyle name="40% - Accent4 4 7 3 3 2" xfId="25393"/>
    <cellStyle name="40% - Accent4 4 7 3 3 3" xfId="25394"/>
    <cellStyle name="40% - Accent4 4 7 3 4" xfId="25395"/>
    <cellStyle name="40% - Accent4 4 7 3 4 2" xfId="25396"/>
    <cellStyle name="40% - Accent4 4 7 3 5" xfId="25397"/>
    <cellStyle name="40% - Accent4 4 7 3 6" xfId="25398"/>
    <cellStyle name="40% - Accent4 4 7 4" xfId="25399"/>
    <cellStyle name="40% - Accent4 4 7 4 2" xfId="25400"/>
    <cellStyle name="40% - Accent4 4 7 4 2 2" xfId="25401"/>
    <cellStyle name="40% - Accent4 4 7 4 2 3" xfId="25402"/>
    <cellStyle name="40% - Accent4 4 7 4 3" xfId="25403"/>
    <cellStyle name="40% - Accent4 4 7 4 3 2" xfId="25404"/>
    <cellStyle name="40% - Accent4 4 7 4 4" xfId="25405"/>
    <cellStyle name="40% - Accent4 4 7 4 5" xfId="25406"/>
    <cellStyle name="40% - Accent4 4 7 5" xfId="25407"/>
    <cellStyle name="40% - Accent4 4 7 5 2" xfId="25408"/>
    <cellStyle name="40% - Accent4 4 7 5 3" xfId="25409"/>
    <cellStyle name="40% - Accent4 4 7 6" xfId="25410"/>
    <cellStyle name="40% - Accent4 4 7 6 2" xfId="25411"/>
    <cellStyle name="40% - Accent4 4 7 6 3" xfId="25412"/>
    <cellStyle name="40% - Accent4 4 7 7" xfId="25413"/>
    <cellStyle name="40% - Accent4 4 7 7 2" xfId="25414"/>
    <cellStyle name="40% - Accent4 4 7 8" xfId="25415"/>
    <cellStyle name="40% - Accent4 4 7 9" xfId="25416"/>
    <cellStyle name="40% - Accent4 4 8" xfId="25417"/>
    <cellStyle name="40% - Accent4 4 8 2" xfId="25418"/>
    <cellStyle name="40% - Accent4 4 8 2 2" xfId="25419"/>
    <cellStyle name="40% - Accent4 4 8 2 3" xfId="25420"/>
    <cellStyle name="40% - Accent4 4 8 3" xfId="25421"/>
    <cellStyle name="40% - Accent4 4 8 3 2" xfId="25422"/>
    <cellStyle name="40% - Accent4 4 8 3 3" xfId="25423"/>
    <cellStyle name="40% - Accent4 4 8 4" xfId="25424"/>
    <cellStyle name="40% - Accent4 4 8 4 2" xfId="25425"/>
    <cellStyle name="40% - Accent4 4 8 5" xfId="25426"/>
    <cellStyle name="40% - Accent4 4 8 6" xfId="25427"/>
    <cellStyle name="40% - Accent4 4 9" xfId="25428"/>
    <cellStyle name="40% - Accent4 4 9 2" xfId="25429"/>
    <cellStyle name="40% - Accent4 4 9 2 2" xfId="25430"/>
    <cellStyle name="40% - Accent4 4 9 2 3" xfId="25431"/>
    <cellStyle name="40% - Accent4 4 9 3" xfId="25432"/>
    <cellStyle name="40% - Accent4 4 9 3 2" xfId="25433"/>
    <cellStyle name="40% - Accent4 4 9 3 3" xfId="25434"/>
    <cellStyle name="40% - Accent4 4 9 4" xfId="25435"/>
    <cellStyle name="40% - Accent4 4 9 4 2" xfId="25436"/>
    <cellStyle name="40% - Accent4 4 9 5" xfId="25437"/>
    <cellStyle name="40% - Accent4 4 9 6" xfId="25438"/>
    <cellStyle name="40% - Accent4 5" xfId="2245"/>
    <cellStyle name="40% - Accent4 5 2" xfId="2246"/>
    <cellStyle name="40% - Accent4 5 2 2" xfId="2247"/>
    <cellStyle name="40% - Accent4 5 2 2 2" xfId="2248"/>
    <cellStyle name="40% - Accent4 5 2 2 2 2" xfId="2249"/>
    <cellStyle name="40% - Accent4 5 2 2 3" xfId="2250"/>
    <cellStyle name="40% - Accent4 5 2 3" xfId="2251"/>
    <cellStyle name="40% - Accent4 5 2 3 2" xfId="2252"/>
    <cellStyle name="40% - Accent4 5 2 4" xfId="2253"/>
    <cellStyle name="40% - Accent4 5 2 5" xfId="58253"/>
    <cellStyle name="40% - Accent4 5 3" xfId="2254"/>
    <cellStyle name="40% - Accent4 5 3 2" xfId="2255"/>
    <cellStyle name="40% - Accent4 5 3 2 2" xfId="2256"/>
    <cellStyle name="40% - Accent4 5 3 3" xfId="2257"/>
    <cellStyle name="40% - Accent4 5 4" xfId="2258"/>
    <cellStyle name="40% - Accent4 5 4 2" xfId="2259"/>
    <cellStyle name="40% - Accent4 5 5" xfId="2260"/>
    <cellStyle name="40% - Accent4 5 6" xfId="9023"/>
    <cellStyle name="40% - Accent4 6" xfId="2261"/>
    <cellStyle name="40% - Accent4 6 2" xfId="2262"/>
    <cellStyle name="40% - Accent4 6 2 2" xfId="2263"/>
    <cellStyle name="40% - Accent4 6 2 2 2" xfId="2264"/>
    <cellStyle name="40% - Accent4 6 2 3" xfId="2265"/>
    <cellStyle name="40% - Accent4 6 2 4" xfId="58254"/>
    <cellStyle name="40% - Accent4 6 2 5" xfId="58255"/>
    <cellStyle name="40% - Accent4 6 3" xfId="2266"/>
    <cellStyle name="40% - Accent4 6 3 2" xfId="2267"/>
    <cellStyle name="40% - Accent4 6 4" xfId="2268"/>
    <cellStyle name="40% - Accent4 6 5" xfId="58256"/>
    <cellStyle name="40% - Accent4 7" xfId="2269"/>
    <cellStyle name="40% - Accent4 7 2" xfId="2270"/>
    <cellStyle name="40% - Accent4 7 2 2" xfId="2271"/>
    <cellStyle name="40% - Accent4 7 2 2 2" xfId="2272"/>
    <cellStyle name="40% - Accent4 7 2 3" xfId="2273"/>
    <cellStyle name="40% - Accent4 7 3" xfId="2274"/>
    <cellStyle name="40% - Accent4 7 3 2" xfId="2275"/>
    <cellStyle name="40% - Accent4 7 4" xfId="2276"/>
    <cellStyle name="40% - Accent4 7 5" xfId="58257"/>
    <cellStyle name="40% - Accent4 8" xfId="2277"/>
    <cellStyle name="40% - Accent4 8 2" xfId="2278"/>
    <cellStyle name="40% - Accent4 8 2 2" xfId="2279"/>
    <cellStyle name="40% - Accent4 8 2 2 2" xfId="2280"/>
    <cellStyle name="40% - Accent4 8 2 3" xfId="2281"/>
    <cellStyle name="40% - Accent4 8 3" xfId="2282"/>
    <cellStyle name="40% - Accent4 8 3 2" xfId="2283"/>
    <cellStyle name="40% - Accent4 8 4" xfId="2284"/>
    <cellStyle name="40% - Accent4 8 5" xfId="58258"/>
    <cellStyle name="40% - Accent4 9" xfId="2285"/>
    <cellStyle name="40% - Accent4 9 2" xfId="2286"/>
    <cellStyle name="40% - Accent4 9 2 2" xfId="2287"/>
    <cellStyle name="40% - Accent4 9 3" xfId="2288"/>
    <cellStyle name="40% - Accent4 9 4" xfId="58259"/>
    <cellStyle name="40% - Accent5 10" xfId="2289"/>
    <cellStyle name="40% - Accent5 10 2" xfId="2290"/>
    <cellStyle name="40% - Accent5 10 2 2" xfId="2291"/>
    <cellStyle name="40% - Accent5 10 3" xfId="2292"/>
    <cellStyle name="40% - Accent5 10 4" xfId="58260"/>
    <cellStyle name="40% - Accent5 11" xfId="2293"/>
    <cellStyle name="40% - Accent5 11 2" xfId="2294"/>
    <cellStyle name="40% - Accent5 11 2 2" xfId="2295"/>
    <cellStyle name="40% - Accent5 11 3" xfId="2296"/>
    <cellStyle name="40% - Accent5 11 4" xfId="58261"/>
    <cellStyle name="40% - Accent5 12" xfId="2297"/>
    <cellStyle name="40% - Accent5 12 2" xfId="2298"/>
    <cellStyle name="40% - Accent5 12 3" xfId="58262"/>
    <cellStyle name="40% - Accent5 13" xfId="2299"/>
    <cellStyle name="40% - Accent5 13 2" xfId="58263"/>
    <cellStyle name="40% - Accent5 14" xfId="9024"/>
    <cellStyle name="40% - Accent5 15" xfId="25439"/>
    <cellStyle name="40% - Accent5 16" xfId="25440"/>
    <cellStyle name="40% - Accent5 17" xfId="25441"/>
    <cellStyle name="40% - Accent5 17 2" xfId="58264"/>
    <cellStyle name="40% - Accent5 18" xfId="58265"/>
    <cellStyle name="40% - Accent5 19" xfId="58266"/>
    <cellStyle name="40% - Accent5 2" xfId="2300"/>
    <cellStyle name="40% - Accent5 2 2" xfId="2301"/>
    <cellStyle name="40% - Accent5 2 2 2" xfId="2302"/>
    <cellStyle name="40% - Accent5 2 2 2 2" xfId="2303"/>
    <cellStyle name="40% - Accent5 2 2 2 2 2" xfId="2304"/>
    <cellStyle name="40% - Accent5 2 2 2 2 2 2" xfId="2305"/>
    <cellStyle name="40% - Accent5 2 2 2 2 2 2 2" xfId="2306"/>
    <cellStyle name="40% - Accent5 2 2 2 2 2 3" xfId="2307"/>
    <cellStyle name="40% - Accent5 2 2 2 2 3" xfId="2308"/>
    <cellStyle name="40% - Accent5 2 2 2 2 3 2" xfId="2309"/>
    <cellStyle name="40% - Accent5 2 2 2 2 4" xfId="2310"/>
    <cellStyle name="40% - Accent5 2 2 2 2 5" xfId="58267"/>
    <cellStyle name="40% - Accent5 2 2 2 3" xfId="2311"/>
    <cellStyle name="40% - Accent5 2 2 2 3 2" xfId="2312"/>
    <cellStyle name="40% - Accent5 2 2 2 3 2 2" xfId="2313"/>
    <cellStyle name="40% - Accent5 2 2 2 3 3" xfId="2314"/>
    <cellStyle name="40% - Accent5 2 2 2 4" xfId="2315"/>
    <cellStyle name="40% - Accent5 2 2 2 4 2" xfId="2316"/>
    <cellStyle name="40% - Accent5 2 2 2 5" xfId="2317"/>
    <cellStyle name="40% - Accent5 2 2 2 6" xfId="58268"/>
    <cellStyle name="40% - Accent5 2 2 3" xfId="2318"/>
    <cellStyle name="40% - Accent5 2 2 3 2" xfId="2319"/>
    <cellStyle name="40% - Accent5 2 2 3 2 2" xfId="2320"/>
    <cellStyle name="40% - Accent5 2 2 3 2 2 2" xfId="2321"/>
    <cellStyle name="40% - Accent5 2 2 3 2 3" xfId="2322"/>
    <cellStyle name="40% - Accent5 2 2 3 3" xfId="2323"/>
    <cellStyle name="40% - Accent5 2 2 3 3 2" xfId="2324"/>
    <cellStyle name="40% - Accent5 2 2 3 4" xfId="2325"/>
    <cellStyle name="40% - Accent5 2 2 3 5" xfId="58269"/>
    <cellStyle name="40% - Accent5 2 2 4" xfId="2326"/>
    <cellStyle name="40% - Accent5 2 2 4 2" xfId="2327"/>
    <cellStyle name="40% - Accent5 2 2 4 2 2" xfId="2328"/>
    <cellStyle name="40% - Accent5 2 2 4 3" xfId="2329"/>
    <cellStyle name="40% - Accent5 2 2 5" xfId="2330"/>
    <cellStyle name="40% - Accent5 2 2 5 2" xfId="2331"/>
    <cellStyle name="40% - Accent5 2 2 6" xfId="2332"/>
    <cellStyle name="40% - Accent5 2 2 7" xfId="58270"/>
    <cellStyle name="40% - Accent5 2 3" xfId="2333"/>
    <cellStyle name="40% - Accent5 2 3 2" xfId="2334"/>
    <cellStyle name="40% - Accent5 2 3 2 2" xfId="2335"/>
    <cellStyle name="40% - Accent5 2 3 2 2 2" xfId="2336"/>
    <cellStyle name="40% - Accent5 2 3 2 2 2 2" xfId="2337"/>
    <cellStyle name="40% - Accent5 2 3 2 2 3" xfId="2338"/>
    <cellStyle name="40% - Accent5 2 3 2 3" xfId="2339"/>
    <cellStyle name="40% - Accent5 2 3 2 3 2" xfId="2340"/>
    <cellStyle name="40% - Accent5 2 3 2 4" xfId="2341"/>
    <cellStyle name="40% - Accent5 2 3 3" xfId="2342"/>
    <cellStyle name="40% - Accent5 2 3 3 2" xfId="2343"/>
    <cellStyle name="40% - Accent5 2 3 3 2 2" xfId="2344"/>
    <cellStyle name="40% - Accent5 2 3 3 3" xfId="2345"/>
    <cellStyle name="40% - Accent5 2 3 4" xfId="2346"/>
    <cellStyle name="40% - Accent5 2 3 4 2" xfId="2347"/>
    <cellStyle name="40% - Accent5 2 3 5" xfId="2348"/>
    <cellStyle name="40% - Accent5 2 3 6" xfId="58271"/>
    <cellStyle name="40% - Accent5 2 4" xfId="2349"/>
    <cellStyle name="40% - Accent5 2 4 2" xfId="2350"/>
    <cellStyle name="40% - Accent5 2 4 2 2" xfId="2351"/>
    <cellStyle name="40% - Accent5 2 4 2 2 2" xfId="2352"/>
    <cellStyle name="40% - Accent5 2 4 2 3" xfId="2353"/>
    <cellStyle name="40% - Accent5 2 4 3" xfId="2354"/>
    <cellStyle name="40% - Accent5 2 4 3 2" xfId="2355"/>
    <cellStyle name="40% - Accent5 2 4 4" xfId="2356"/>
    <cellStyle name="40% - Accent5 2 4 5" xfId="58272"/>
    <cellStyle name="40% - Accent5 2 5" xfId="2357"/>
    <cellStyle name="40% - Accent5 2 5 2" xfId="2358"/>
    <cellStyle name="40% - Accent5 2 5 2 2" xfId="2359"/>
    <cellStyle name="40% - Accent5 2 5 3" xfId="2360"/>
    <cellStyle name="40% - Accent5 2 5 4" xfId="58273"/>
    <cellStyle name="40% - Accent5 2 6" xfId="2361"/>
    <cellStyle name="40% - Accent5 2 6 2" xfId="2362"/>
    <cellStyle name="40% - Accent5 2 6 3" xfId="58274"/>
    <cellStyle name="40% - Accent5 2 7" xfId="2363"/>
    <cellStyle name="40% - Accent5 2 8" xfId="2364"/>
    <cellStyle name="40% - Accent5 2 9" xfId="58275"/>
    <cellStyle name="40% - Accent5 20" xfId="58276"/>
    <cellStyle name="40% - Accent5 21" xfId="58277"/>
    <cellStyle name="40% - Accent5 3" xfId="2365"/>
    <cellStyle name="40% - Accent5 3 2" xfId="2366"/>
    <cellStyle name="40% - Accent5 3 2 2" xfId="2367"/>
    <cellStyle name="40% - Accent5 3 2 2 2" xfId="2368"/>
    <cellStyle name="40% - Accent5 3 2 2 2 2" xfId="2369"/>
    <cellStyle name="40% - Accent5 3 2 2 2 2 2" xfId="2370"/>
    <cellStyle name="40% - Accent5 3 2 2 2 2 2 2" xfId="2371"/>
    <cellStyle name="40% - Accent5 3 2 2 2 2 3" xfId="2372"/>
    <cellStyle name="40% - Accent5 3 2 2 2 3" xfId="2373"/>
    <cellStyle name="40% - Accent5 3 2 2 2 3 2" xfId="2374"/>
    <cellStyle name="40% - Accent5 3 2 2 2 4" xfId="2375"/>
    <cellStyle name="40% - Accent5 3 2 2 2 5" xfId="9025"/>
    <cellStyle name="40% - Accent5 3 2 2 3" xfId="2376"/>
    <cellStyle name="40% - Accent5 3 2 2 3 2" xfId="2377"/>
    <cellStyle name="40% - Accent5 3 2 2 3 2 2" xfId="2378"/>
    <cellStyle name="40% - Accent5 3 2 2 3 3" xfId="2379"/>
    <cellStyle name="40% - Accent5 3 2 2 4" xfId="2380"/>
    <cellStyle name="40% - Accent5 3 2 2 4 2" xfId="2381"/>
    <cellStyle name="40% - Accent5 3 2 2 5" xfId="2382"/>
    <cellStyle name="40% - Accent5 3 2 2 6" xfId="9026"/>
    <cellStyle name="40% - Accent5 3 2 3" xfId="2383"/>
    <cellStyle name="40% - Accent5 3 2 3 2" xfId="2384"/>
    <cellStyle name="40% - Accent5 3 2 3 2 2" xfId="2385"/>
    <cellStyle name="40% - Accent5 3 2 3 2 2 2" xfId="2386"/>
    <cellStyle name="40% - Accent5 3 2 3 2 3" xfId="2387"/>
    <cellStyle name="40% - Accent5 3 2 3 3" xfId="2388"/>
    <cellStyle name="40% - Accent5 3 2 3 3 2" xfId="2389"/>
    <cellStyle name="40% - Accent5 3 2 3 4" xfId="2390"/>
    <cellStyle name="40% - Accent5 3 2 3 5" xfId="9027"/>
    <cellStyle name="40% - Accent5 3 2 4" xfId="2391"/>
    <cellStyle name="40% - Accent5 3 2 4 2" xfId="2392"/>
    <cellStyle name="40% - Accent5 3 2 4 2 2" xfId="2393"/>
    <cellStyle name="40% - Accent5 3 2 4 3" xfId="2394"/>
    <cellStyle name="40% - Accent5 3 2 5" xfId="2395"/>
    <cellStyle name="40% - Accent5 3 2 5 2" xfId="2396"/>
    <cellStyle name="40% - Accent5 3 2 6" xfId="2397"/>
    <cellStyle name="40% - Accent5 3 2 7" xfId="9028"/>
    <cellStyle name="40% - Accent5 3 3" xfId="2398"/>
    <cellStyle name="40% - Accent5 3 3 2" xfId="2399"/>
    <cellStyle name="40% - Accent5 3 3 2 2" xfId="2400"/>
    <cellStyle name="40% - Accent5 3 3 2 2 2" xfId="2401"/>
    <cellStyle name="40% - Accent5 3 3 2 2 2 2" xfId="2402"/>
    <cellStyle name="40% - Accent5 3 3 2 2 3" xfId="2403"/>
    <cellStyle name="40% - Accent5 3 3 2 3" xfId="2404"/>
    <cellStyle name="40% - Accent5 3 3 2 3 2" xfId="2405"/>
    <cellStyle name="40% - Accent5 3 3 2 4" xfId="2406"/>
    <cellStyle name="40% - Accent5 3 3 2 5" xfId="9029"/>
    <cellStyle name="40% - Accent5 3 3 3" xfId="2407"/>
    <cellStyle name="40% - Accent5 3 3 3 2" xfId="2408"/>
    <cellStyle name="40% - Accent5 3 3 3 2 2" xfId="2409"/>
    <cellStyle name="40% - Accent5 3 3 3 3" xfId="2410"/>
    <cellStyle name="40% - Accent5 3 3 4" xfId="2411"/>
    <cellStyle name="40% - Accent5 3 3 4 2" xfId="2412"/>
    <cellStyle name="40% - Accent5 3 3 5" xfId="2413"/>
    <cellStyle name="40% - Accent5 3 3 6" xfId="9030"/>
    <cellStyle name="40% - Accent5 3 4" xfId="2414"/>
    <cellStyle name="40% - Accent5 3 4 2" xfId="2415"/>
    <cellStyle name="40% - Accent5 3 4 2 2" xfId="2416"/>
    <cellStyle name="40% - Accent5 3 4 2 2 2" xfId="2417"/>
    <cellStyle name="40% - Accent5 3 4 2 3" xfId="2418"/>
    <cellStyle name="40% - Accent5 3 4 3" xfId="2419"/>
    <cellStyle name="40% - Accent5 3 4 3 2" xfId="2420"/>
    <cellStyle name="40% - Accent5 3 4 4" xfId="2421"/>
    <cellStyle name="40% - Accent5 3 4 5" xfId="9031"/>
    <cellStyle name="40% - Accent5 3 5" xfId="2422"/>
    <cellStyle name="40% - Accent5 3 5 2" xfId="2423"/>
    <cellStyle name="40% - Accent5 3 5 2 2" xfId="2424"/>
    <cellStyle name="40% - Accent5 3 5 3" xfId="2425"/>
    <cellStyle name="40% - Accent5 3 6" xfId="2426"/>
    <cellStyle name="40% - Accent5 3 6 2" xfId="2427"/>
    <cellStyle name="40% - Accent5 3 7" xfId="2428"/>
    <cellStyle name="40% - Accent5 3 8" xfId="2429"/>
    <cellStyle name="40% - Accent5 3 9" xfId="9032"/>
    <cellStyle name="40% - Accent5 4" xfId="2430"/>
    <cellStyle name="40% - Accent5 4 10" xfId="25442"/>
    <cellStyle name="40% - Accent5 4 10 2" xfId="25443"/>
    <cellStyle name="40% - Accent5 4 10 2 2" xfId="25444"/>
    <cellStyle name="40% - Accent5 4 10 2 3" xfId="25445"/>
    <cellStyle name="40% - Accent5 4 10 3" xfId="25446"/>
    <cellStyle name="40% - Accent5 4 10 3 2" xfId="25447"/>
    <cellStyle name="40% - Accent5 4 10 4" xfId="25448"/>
    <cellStyle name="40% - Accent5 4 10 5" xfId="25449"/>
    <cellStyle name="40% - Accent5 4 11" xfId="25450"/>
    <cellStyle name="40% - Accent5 4 11 2" xfId="25451"/>
    <cellStyle name="40% - Accent5 4 11 3" xfId="25452"/>
    <cellStyle name="40% - Accent5 4 12" xfId="25453"/>
    <cellStyle name="40% - Accent5 4 12 2" xfId="25454"/>
    <cellStyle name="40% - Accent5 4 12 3" xfId="25455"/>
    <cellStyle name="40% - Accent5 4 13" xfId="25456"/>
    <cellStyle name="40% - Accent5 4 13 2" xfId="25457"/>
    <cellStyle name="40% - Accent5 4 14" xfId="25458"/>
    <cellStyle name="40% - Accent5 4 15" xfId="25459"/>
    <cellStyle name="40% - Accent5 4 16" xfId="25460"/>
    <cellStyle name="40% - Accent5 4 2" xfId="2431"/>
    <cellStyle name="40% - Accent5 4 2 10" xfId="25461"/>
    <cellStyle name="40% - Accent5 4 2 10 2" xfId="25462"/>
    <cellStyle name="40% - Accent5 4 2 10 3" xfId="25463"/>
    <cellStyle name="40% - Accent5 4 2 11" xfId="25464"/>
    <cellStyle name="40% - Accent5 4 2 11 2" xfId="25465"/>
    <cellStyle name="40% - Accent5 4 2 11 3" xfId="25466"/>
    <cellStyle name="40% - Accent5 4 2 12" xfId="25467"/>
    <cellStyle name="40% - Accent5 4 2 12 2" xfId="25468"/>
    <cellStyle name="40% - Accent5 4 2 13" xfId="25469"/>
    <cellStyle name="40% - Accent5 4 2 14" xfId="25470"/>
    <cellStyle name="40% - Accent5 4 2 15" xfId="25471"/>
    <cellStyle name="40% - Accent5 4 2 2" xfId="2432"/>
    <cellStyle name="40% - Accent5 4 2 2 10" xfId="25472"/>
    <cellStyle name="40% - Accent5 4 2 2 10 2" xfId="25473"/>
    <cellStyle name="40% - Accent5 4 2 2 10 3" xfId="25474"/>
    <cellStyle name="40% - Accent5 4 2 2 11" xfId="25475"/>
    <cellStyle name="40% - Accent5 4 2 2 11 2" xfId="25476"/>
    <cellStyle name="40% - Accent5 4 2 2 12" xfId="25477"/>
    <cellStyle name="40% - Accent5 4 2 2 13" xfId="25478"/>
    <cellStyle name="40% - Accent5 4 2 2 2" xfId="2433"/>
    <cellStyle name="40% - Accent5 4 2 2 2 10" xfId="25479"/>
    <cellStyle name="40% - Accent5 4 2 2 2 10 2" xfId="25480"/>
    <cellStyle name="40% - Accent5 4 2 2 2 11" xfId="25481"/>
    <cellStyle name="40% - Accent5 4 2 2 2 12" xfId="25482"/>
    <cellStyle name="40% - Accent5 4 2 2 2 2" xfId="2434"/>
    <cellStyle name="40% - Accent5 4 2 2 2 2 10" xfId="25483"/>
    <cellStyle name="40% - Accent5 4 2 2 2 2 2" xfId="2435"/>
    <cellStyle name="40% - Accent5 4 2 2 2 2 2 2" xfId="25484"/>
    <cellStyle name="40% - Accent5 4 2 2 2 2 2 2 2" xfId="25485"/>
    <cellStyle name="40% - Accent5 4 2 2 2 2 2 2 2 2" xfId="25486"/>
    <cellStyle name="40% - Accent5 4 2 2 2 2 2 2 2 3" xfId="25487"/>
    <cellStyle name="40% - Accent5 4 2 2 2 2 2 2 3" xfId="25488"/>
    <cellStyle name="40% - Accent5 4 2 2 2 2 2 2 3 2" xfId="25489"/>
    <cellStyle name="40% - Accent5 4 2 2 2 2 2 2 3 3" xfId="25490"/>
    <cellStyle name="40% - Accent5 4 2 2 2 2 2 2 4" xfId="25491"/>
    <cellStyle name="40% - Accent5 4 2 2 2 2 2 2 4 2" xfId="25492"/>
    <cellStyle name="40% - Accent5 4 2 2 2 2 2 2 5" xfId="25493"/>
    <cellStyle name="40% - Accent5 4 2 2 2 2 2 2 6" xfId="25494"/>
    <cellStyle name="40% - Accent5 4 2 2 2 2 2 3" xfId="25495"/>
    <cellStyle name="40% - Accent5 4 2 2 2 2 2 3 2" xfId="25496"/>
    <cellStyle name="40% - Accent5 4 2 2 2 2 2 3 2 2" xfId="25497"/>
    <cellStyle name="40% - Accent5 4 2 2 2 2 2 3 2 3" xfId="25498"/>
    <cellStyle name="40% - Accent5 4 2 2 2 2 2 3 3" xfId="25499"/>
    <cellStyle name="40% - Accent5 4 2 2 2 2 2 3 3 2" xfId="25500"/>
    <cellStyle name="40% - Accent5 4 2 2 2 2 2 3 3 3" xfId="25501"/>
    <cellStyle name="40% - Accent5 4 2 2 2 2 2 3 4" xfId="25502"/>
    <cellStyle name="40% - Accent5 4 2 2 2 2 2 3 4 2" xfId="25503"/>
    <cellStyle name="40% - Accent5 4 2 2 2 2 2 3 5" xfId="25504"/>
    <cellStyle name="40% - Accent5 4 2 2 2 2 2 3 6" xfId="25505"/>
    <cellStyle name="40% - Accent5 4 2 2 2 2 2 4" xfId="25506"/>
    <cellStyle name="40% - Accent5 4 2 2 2 2 2 4 2" xfId="25507"/>
    <cellStyle name="40% - Accent5 4 2 2 2 2 2 4 2 2" xfId="25508"/>
    <cellStyle name="40% - Accent5 4 2 2 2 2 2 4 2 3" xfId="25509"/>
    <cellStyle name="40% - Accent5 4 2 2 2 2 2 4 3" xfId="25510"/>
    <cellStyle name="40% - Accent5 4 2 2 2 2 2 4 3 2" xfId="25511"/>
    <cellStyle name="40% - Accent5 4 2 2 2 2 2 4 4" xfId="25512"/>
    <cellStyle name="40% - Accent5 4 2 2 2 2 2 4 5" xfId="25513"/>
    <cellStyle name="40% - Accent5 4 2 2 2 2 2 5" xfId="25514"/>
    <cellStyle name="40% - Accent5 4 2 2 2 2 2 5 2" xfId="25515"/>
    <cellStyle name="40% - Accent5 4 2 2 2 2 2 5 3" xfId="25516"/>
    <cellStyle name="40% - Accent5 4 2 2 2 2 2 6" xfId="25517"/>
    <cellStyle name="40% - Accent5 4 2 2 2 2 2 6 2" xfId="25518"/>
    <cellStyle name="40% - Accent5 4 2 2 2 2 2 6 3" xfId="25519"/>
    <cellStyle name="40% - Accent5 4 2 2 2 2 2 7" xfId="25520"/>
    <cellStyle name="40% - Accent5 4 2 2 2 2 2 7 2" xfId="25521"/>
    <cellStyle name="40% - Accent5 4 2 2 2 2 2 8" xfId="25522"/>
    <cellStyle name="40% - Accent5 4 2 2 2 2 2 9" xfId="25523"/>
    <cellStyle name="40% - Accent5 4 2 2 2 2 3" xfId="25524"/>
    <cellStyle name="40% - Accent5 4 2 2 2 2 3 2" xfId="25525"/>
    <cellStyle name="40% - Accent5 4 2 2 2 2 3 2 2" xfId="25526"/>
    <cellStyle name="40% - Accent5 4 2 2 2 2 3 2 3" xfId="25527"/>
    <cellStyle name="40% - Accent5 4 2 2 2 2 3 3" xfId="25528"/>
    <cellStyle name="40% - Accent5 4 2 2 2 2 3 3 2" xfId="25529"/>
    <cellStyle name="40% - Accent5 4 2 2 2 2 3 3 3" xfId="25530"/>
    <cellStyle name="40% - Accent5 4 2 2 2 2 3 4" xfId="25531"/>
    <cellStyle name="40% - Accent5 4 2 2 2 2 3 4 2" xfId="25532"/>
    <cellStyle name="40% - Accent5 4 2 2 2 2 3 5" xfId="25533"/>
    <cellStyle name="40% - Accent5 4 2 2 2 2 3 6" xfId="25534"/>
    <cellStyle name="40% - Accent5 4 2 2 2 2 4" xfId="25535"/>
    <cellStyle name="40% - Accent5 4 2 2 2 2 4 2" xfId="25536"/>
    <cellStyle name="40% - Accent5 4 2 2 2 2 4 2 2" xfId="25537"/>
    <cellStyle name="40% - Accent5 4 2 2 2 2 4 2 3" xfId="25538"/>
    <cellStyle name="40% - Accent5 4 2 2 2 2 4 3" xfId="25539"/>
    <cellStyle name="40% - Accent5 4 2 2 2 2 4 3 2" xfId="25540"/>
    <cellStyle name="40% - Accent5 4 2 2 2 2 4 3 3" xfId="25541"/>
    <cellStyle name="40% - Accent5 4 2 2 2 2 4 4" xfId="25542"/>
    <cellStyle name="40% - Accent5 4 2 2 2 2 4 4 2" xfId="25543"/>
    <cellStyle name="40% - Accent5 4 2 2 2 2 4 5" xfId="25544"/>
    <cellStyle name="40% - Accent5 4 2 2 2 2 4 6" xfId="25545"/>
    <cellStyle name="40% - Accent5 4 2 2 2 2 5" xfId="25546"/>
    <cellStyle name="40% - Accent5 4 2 2 2 2 5 2" xfId="25547"/>
    <cellStyle name="40% - Accent5 4 2 2 2 2 5 2 2" xfId="25548"/>
    <cellStyle name="40% - Accent5 4 2 2 2 2 5 2 3" xfId="25549"/>
    <cellStyle name="40% - Accent5 4 2 2 2 2 5 3" xfId="25550"/>
    <cellStyle name="40% - Accent5 4 2 2 2 2 5 3 2" xfId="25551"/>
    <cellStyle name="40% - Accent5 4 2 2 2 2 5 4" xfId="25552"/>
    <cellStyle name="40% - Accent5 4 2 2 2 2 5 5" xfId="25553"/>
    <cellStyle name="40% - Accent5 4 2 2 2 2 6" xfId="25554"/>
    <cellStyle name="40% - Accent5 4 2 2 2 2 6 2" xfId="25555"/>
    <cellStyle name="40% - Accent5 4 2 2 2 2 6 3" xfId="25556"/>
    <cellStyle name="40% - Accent5 4 2 2 2 2 7" xfId="25557"/>
    <cellStyle name="40% - Accent5 4 2 2 2 2 7 2" xfId="25558"/>
    <cellStyle name="40% - Accent5 4 2 2 2 2 7 3" xfId="25559"/>
    <cellStyle name="40% - Accent5 4 2 2 2 2 8" xfId="25560"/>
    <cellStyle name="40% - Accent5 4 2 2 2 2 8 2" xfId="25561"/>
    <cellStyle name="40% - Accent5 4 2 2 2 2 9" xfId="25562"/>
    <cellStyle name="40% - Accent5 4 2 2 2 3" xfId="2436"/>
    <cellStyle name="40% - Accent5 4 2 2 2 3 2" xfId="25563"/>
    <cellStyle name="40% - Accent5 4 2 2 2 3 2 2" xfId="25564"/>
    <cellStyle name="40% - Accent5 4 2 2 2 3 2 2 2" xfId="25565"/>
    <cellStyle name="40% - Accent5 4 2 2 2 3 2 2 3" xfId="25566"/>
    <cellStyle name="40% - Accent5 4 2 2 2 3 2 3" xfId="25567"/>
    <cellStyle name="40% - Accent5 4 2 2 2 3 2 3 2" xfId="25568"/>
    <cellStyle name="40% - Accent5 4 2 2 2 3 2 3 3" xfId="25569"/>
    <cellStyle name="40% - Accent5 4 2 2 2 3 2 4" xfId="25570"/>
    <cellStyle name="40% - Accent5 4 2 2 2 3 2 4 2" xfId="25571"/>
    <cellStyle name="40% - Accent5 4 2 2 2 3 2 5" xfId="25572"/>
    <cellStyle name="40% - Accent5 4 2 2 2 3 2 6" xfId="25573"/>
    <cellStyle name="40% - Accent5 4 2 2 2 3 3" xfId="25574"/>
    <cellStyle name="40% - Accent5 4 2 2 2 3 3 2" xfId="25575"/>
    <cellStyle name="40% - Accent5 4 2 2 2 3 3 2 2" xfId="25576"/>
    <cellStyle name="40% - Accent5 4 2 2 2 3 3 2 3" xfId="25577"/>
    <cellStyle name="40% - Accent5 4 2 2 2 3 3 3" xfId="25578"/>
    <cellStyle name="40% - Accent5 4 2 2 2 3 3 3 2" xfId="25579"/>
    <cellStyle name="40% - Accent5 4 2 2 2 3 3 3 3" xfId="25580"/>
    <cellStyle name="40% - Accent5 4 2 2 2 3 3 4" xfId="25581"/>
    <cellStyle name="40% - Accent5 4 2 2 2 3 3 4 2" xfId="25582"/>
    <cellStyle name="40% - Accent5 4 2 2 2 3 3 5" xfId="25583"/>
    <cellStyle name="40% - Accent5 4 2 2 2 3 3 6" xfId="25584"/>
    <cellStyle name="40% - Accent5 4 2 2 2 3 4" xfId="25585"/>
    <cellStyle name="40% - Accent5 4 2 2 2 3 4 2" xfId="25586"/>
    <cellStyle name="40% - Accent5 4 2 2 2 3 4 2 2" xfId="25587"/>
    <cellStyle name="40% - Accent5 4 2 2 2 3 4 2 3" xfId="25588"/>
    <cellStyle name="40% - Accent5 4 2 2 2 3 4 3" xfId="25589"/>
    <cellStyle name="40% - Accent5 4 2 2 2 3 4 3 2" xfId="25590"/>
    <cellStyle name="40% - Accent5 4 2 2 2 3 4 4" xfId="25591"/>
    <cellStyle name="40% - Accent5 4 2 2 2 3 4 5" xfId="25592"/>
    <cellStyle name="40% - Accent5 4 2 2 2 3 5" xfId="25593"/>
    <cellStyle name="40% - Accent5 4 2 2 2 3 5 2" xfId="25594"/>
    <cellStyle name="40% - Accent5 4 2 2 2 3 5 3" xfId="25595"/>
    <cellStyle name="40% - Accent5 4 2 2 2 3 6" xfId="25596"/>
    <cellStyle name="40% - Accent5 4 2 2 2 3 6 2" xfId="25597"/>
    <cellStyle name="40% - Accent5 4 2 2 2 3 6 3" xfId="25598"/>
    <cellStyle name="40% - Accent5 4 2 2 2 3 7" xfId="25599"/>
    <cellStyle name="40% - Accent5 4 2 2 2 3 7 2" xfId="25600"/>
    <cellStyle name="40% - Accent5 4 2 2 2 3 8" xfId="25601"/>
    <cellStyle name="40% - Accent5 4 2 2 2 3 9" xfId="25602"/>
    <cellStyle name="40% - Accent5 4 2 2 2 4" xfId="25603"/>
    <cellStyle name="40% - Accent5 4 2 2 2 4 2" xfId="25604"/>
    <cellStyle name="40% - Accent5 4 2 2 2 4 2 2" xfId="25605"/>
    <cellStyle name="40% - Accent5 4 2 2 2 4 2 2 2" xfId="25606"/>
    <cellStyle name="40% - Accent5 4 2 2 2 4 2 2 3" xfId="25607"/>
    <cellStyle name="40% - Accent5 4 2 2 2 4 2 3" xfId="25608"/>
    <cellStyle name="40% - Accent5 4 2 2 2 4 2 3 2" xfId="25609"/>
    <cellStyle name="40% - Accent5 4 2 2 2 4 2 3 3" xfId="25610"/>
    <cellStyle name="40% - Accent5 4 2 2 2 4 2 4" xfId="25611"/>
    <cellStyle name="40% - Accent5 4 2 2 2 4 2 4 2" xfId="25612"/>
    <cellStyle name="40% - Accent5 4 2 2 2 4 2 5" xfId="25613"/>
    <cellStyle name="40% - Accent5 4 2 2 2 4 2 6" xfId="25614"/>
    <cellStyle name="40% - Accent5 4 2 2 2 4 3" xfId="25615"/>
    <cellStyle name="40% - Accent5 4 2 2 2 4 3 2" xfId="25616"/>
    <cellStyle name="40% - Accent5 4 2 2 2 4 3 2 2" xfId="25617"/>
    <cellStyle name="40% - Accent5 4 2 2 2 4 3 2 3" xfId="25618"/>
    <cellStyle name="40% - Accent5 4 2 2 2 4 3 3" xfId="25619"/>
    <cellStyle name="40% - Accent5 4 2 2 2 4 3 3 2" xfId="25620"/>
    <cellStyle name="40% - Accent5 4 2 2 2 4 3 3 3" xfId="25621"/>
    <cellStyle name="40% - Accent5 4 2 2 2 4 3 4" xfId="25622"/>
    <cellStyle name="40% - Accent5 4 2 2 2 4 3 4 2" xfId="25623"/>
    <cellStyle name="40% - Accent5 4 2 2 2 4 3 5" xfId="25624"/>
    <cellStyle name="40% - Accent5 4 2 2 2 4 3 6" xfId="25625"/>
    <cellStyle name="40% - Accent5 4 2 2 2 4 4" xfId="25626"/>
    <cellStyle name="40% - Accent5 4 2 2 2 4 4 2" xfId="25627"/>
    <cellStyle name="40% - Accent5 4 2 2 2 4 4 2 2" xfId="25628"/>
    <cellStyle name="40% - Accent5 4 2 2 2 4 4 2 3" xfId="25629"/>
    <cellStyle name="40% - Accent5 4 2 2 2 4 4 3" xfId="25630"/>
    <cellStyle name="40% - Accent5 4 2 2 2 4 4 3 2" xfId="25631"/>
    <cellStyle name="40% - Accent5 4 2 2 2 4 4 4" xfId="25632"/>
    <cellStyle name="40% - Accent5 4 2 2 2 4 4 5" xfId="25633"/>
    <cellStyle name="40% - Accent5 4 2 2 2 4 5" xfId="25634"/>
    <cellStyle name="40% - Accent5 4 2 2 2 4 5 2" xfId="25635"/>
    <cellStyle name="40% - Accent5 4 2 2 2 4 5 3" xfId="25636"/>
    <cellStyle name="40% - Accent5 4 2 2 2 4 6" xfId="25637"/>
    <cellStyle name="40% - Accent5 4 2 2 2 4 6 2" xfId="25638"/>
    <cellStyle name="40% - Accent5 4 2 2 2 4 6 3" xfId="25639"/>
    <cellStyle name="40% - Accent5 4 2 2 2 4 7" xfId="25640"/>
    <cellStyle name="40% - Accent5 4 2 2 2 4 7 2" xfId="25641"/>
    <cellStyle name="40% - Accent5 4 2 2 2 4 8" xfId="25642"/>
    <cellStyle name="40% - Accent5 4 2 2 2 4 9" xfId="25643"/>
    <cellStyle name="40% - Accent5 4 2 2 2 5" xfId="25644"/>
    <cellStyle name="40% - Accent5 4 2 2 2 5 2" xfId="25645"/>
    <cellStyle name="40% - Accent5 4 2 2 2 5 2 2" xfId="25646"/>
    <cellStyle name="40% - Accent5 4 2 2 2 5 2 3" xfId="25647"/>
    <cellStyle name="40% - Accent5 4 2 2 2 5 3" xfId="25648"/>
    <cellStyle name="40% - Accent5 4 2 2 2 5 3 2" xfId="25649"/>
    <cellStyle name="40% - Accent5 4 2 2 2 5 3 3" xfId="25650"/>
    <cellStyle name="40% - Accent5 4 2 2 2 5 4" xfId="25651"/>
    <cellStyle name="40% - Accent5 4 2 2 2 5 4 2" xfId="25652"/>
    <cellStyle name="40% - Accent5 4 2 2 2 5 5" xfId="25653"/>
    <cellStyle name="40% - Accent5 4 2 2 2 5 6" xfId="25654"/>
    <cellStyle name="40% - Accent5 4 2 2 2 6" xfId="25655"/>
    <cellStyle name="40% - Accent5 4 2 2 2 6 2" xfId="25656"/>
    <cellStyle name="40% - Accent5 4 2 2 2 6 2 2" xfId="25657"/>
    <cellStyle name="40% - Accent5 4 2 2 2 6 2 3" xfId="25658"/>
    <cellStyle name="40% - Accent5 4 2 2 2 6 3" xfId="25659"/>
    <cellStyle name="40% - Accent5 4 2 2 2 6 3 2" xfId="25660"/>
    <cellStyle name="40% - Accent5 4 2 2 2 6 3 3" xfId="25661"/>
    <cellStyle name="40% - Accent5 4 2 2 2 6 4" xfId="25662"/>
    <cellStyle name="40% - Accent5 4 2 2 2 6 4 2" xfId="25663"/>
    <cellStyle name="40% - Accent5 4 2 2 2 6 5" xfId="25664"/>
    <cellStyle name="40% - Accent5 4 2 2 2 6 6" xfId="25665"/>
    <cellStyle name="40% - Accent5 4 2 2 2 7" xfId="25666"/>
    <cellStyle name="40% - Accent5 4 2 2 2 7 2" xfId="25667"/>
    <cellStyle name="40% - Accent5 4 2 2 2 7 2 2" xfId="25668"/>
    <cellStyle name="40% - Accent5 4 2 2 2 7 2 3" xfId="25669"/>
    <cellStyle name="40% - Accent5 4 2 2 2 7 3" xfId="25670"/>
    <cellStyle name="40% - Accent5 4 2 2 2 7 3 2" xfId="25671"/>
    <cellStyle name="40% - Accent5 4 2 2 2 7 4" xfId="25672"/>
    <cellStyle name="40% - Accent5 4 2 2 2 7 5" xfId="25673"/>
    <cellStyle name="40% - Accent5 4 2 2 2 8" xfId="25674"/>
    <cellStyle name="40% - Accent5 4 2 2 2 8 2" xfId="25675"/>
    <cellStyle name="40% - Accent5 4 2 2 2 8 3" xfId="25676"/>
    <cellStyle name="40% - Accent5 4 2 2 2 9" xfId="25677"/>
    <cellStyle name="40% - Accent5 4 2 2 2 9 2" xfId="25678"/>
    <cellStyle name="40% - Accent5 4 2 2 2 9 3" xfId="25679"/>
    <cellStyle name="40% - Accent5 4 2 2 3" xfId="2437"/>
    <cellStyle name="40% - Accent5 4 2 2 3 10" xfId="25680"/>
    <cellStyle name="40% - Accent5 4 2 2 3 2" xfId="2438"/>
    <cellStyle name="40% - Accent5 4 2 2 3 2 2" xfId="25681"/>
    <cellStyle name="40% - Accent5 4 2 2 3 2 2 2" xfId="25682"/>
    <cellStyle name="40% - Accent5 4 2 2 3 2 2 2 2" xfId="25683"/>
    <cellStyle name="40% - Accent5 4 2 2 3 2 2 2 3" xfId="25684"/>
    <cellStyle name="40% - Accent5 4 2 2 3 2 2 3" xfId="25685"/>
    <cellStyle name="40% - Accent5 4 2 2 3 2 2 3 2" xfId="25686"/>
    <cellStyle name="40% - Accent5 4 2 2 3 2 2 3 3" xfId="25687"/>
    <cellStyle name="40% - Accent5 4 2 2 3 2 2 4" xfId="25688"/>
    <cellStyle name="40% - Accent5 4 2 2 3 2 2 4 2" xfId="25689"/>
    <cellStyle name="40% - Accent5 4 2 2 3 2 2 5" xfId="25690"/>
    <cellStyle name="40% - Accent5 4 2 2 3 2 2 6" xfId="25691"/>
    <cellStyle name="40% - Accent5 4 2 2 3 2 3" xfId="25692"/>
    <cellStyle name="40% - Accent5 4 2 2 3 2 3 2" xfId="25693"/>
    <cellStyle name="40% - Accent5 4 2 2 3 2 3 2 2" xfId="25694"/>
    <cellStyle name="40% - Accent5 4 2 2 3 2 3 2 3" xfId="25695"/>
    <cellStyle name="40% - Accent5 4 2 2 3 2 3 3" xfId="25696"/>
    <cellStyle name="40% - Accent5 4 2 2 3 2 3 3 2" xfId="25697"/>
    <cellStyle name="40% - Accent5 4 2 2 3 2 3 3 3" xfId="25698"/>
    <cellStyle name="40% - Accent5 4 2 2 3 2 3 4" xfId="25699"/>
    <cellStyle name="40% - Accent5 4 2 2 3 2 3 4 2" xfId="25700"/>
    <cellStyle name="40% - Accent5 4 2 2 3 2 3 5" xfId="25701"/>
    <cellStyle name="40% - Accent5 4 2 2 3 2 3 6" xfId="25702"/>
    <cellStyle name="40% - Accent5 4 2 2 3 2 4" xfId="25703"/>
    <cellStyle name="40% - Accent5 4 2 2 3 2 4 2" xfId="25704"/>
    <cellStyle name="40% - Accent5 4 2 2 3 2 4 2 2" xfId="25705"/>
    <cellStyle name="40% - Accent5 4 2 2 3 2 4 2 3" xfId="25706"/>
    <cellStyle name="40% - Accent5 4 2 2 3 2 4 3" xfId="25707"/>
    <cellStyle name="40% - Accent5 4 2 2 3 2 4 3 2" xfId="25708"/>
    <cellStyle name="40% - Accent5 4 2 2 3 2 4 4" xfId="25709"/>
    <cellStyle name="40% - Accent5 4 2 2 3 2 4 5" xfId="25710"/>
    <cellStyle name="40% - Accent5 4 2 2 3 2 5" xfId="25711"/>
    <cellStyle name="40% - Accent5 4 2 2 3 2 5 2" xfId="25712"/>
    <cellStyle name="40% - Accent5 4 2 2 3 2 5 3" xfId="25713"/>
    <cellStyle name="40% - Accent5 4 2 2 3 2 6" xfId="25714"/>
    <cellStyle name="40% - Accent5 4 2 2 3 2 6 2" xfId="25715"/>
    <cellStyle name="40% - Accent5 4 2 2 3 2 6 3" xfId="25716"/>
    <cellStyle name="40% - Accent5 4 2 2 3 2 7" xfId="25717"/>
    <cellStyle name="40% - Accent5 4 2 2 3 2 7 2" xfId="25718"/>
    <cellStyle name="40% - Accent5 4 2 2 3 2 8" xfId="25719"/>
    <cellStyle name="40% - Accent5 4 2 2 3 2 9" xfId="25720"/>
    <cellStyle name="40% - Accent5 4 2 2 3 3" xfId="25721"/>
    <cellStyle name="40% - Accent5 4 2 2 3 3 2" xfId="25722"/>
    <cellStyle name="40% - Accent5 4 2 2 3 3 2 2" xfId="25723"/>
    <cellStyle name="40% - Accent5 4 2 2 3 3 2 3" xfId="25724"/>
    <cellStyle name="40% - Accent5 4 2 2 3 3 3" xfId="25725"/>
    <cellStyle name="40% - Accent5 4 2 2 3 3 3 2" xfId="25726"/>
    <cellStyle name="40% - Accent5 4 2 2 3 3 3 3" xfId="25727"/>
    <cellStyle name="40% - Accent5 4 2 2 3 3 4" xfId="25728"/>
    <cellStyle name="40% - Accent5 4 2 2 3 3 4 2" xfId="25729"/>
    <cellStyle name="40% - Accent5 4 2 2 3 3 5" xfId="25730"/>
    <cellStyle name="40% - Accent5 4 2 2 3 3 6" xfId="25731"/>
    <cellStyle name="40% - Accent5 4 2 2 3 4" xfId="25732"/>
    <cellStyle name="40% - Accent5 4 2 2 3 4 2" xfId="25733"/>
    <cellStyle name="40% - Accent5 4 2 2 3 4 2 2" xfId="25734"/>
    <cellStyle name="40% - Accent5 4 2 2 3 4 2 3" xfId="25735"/>
    <cellStyle name="40% - Accent5 4 2 2 3 4 3" xfId="25736"/>
    <cellStyle name="40% - Accent5 4 2 2 3 4 3 2" xfId="25737"/>
    <cellStyle name="40% - Accent5 4 2 2 3 4 3 3" xfId="25738"/>
    <cellStyle name="40% - Accent5 4 2 2 3 4 4" xfId="25739"/>
    <cellStyle name="40% - Accent5 4 2 2 3 4 4 2" xfId="25740"/>
    <cellStyle name="40% - Accent5 4 2 2 3 4 5" xfId="25741"/>
    <cellStyle name="40% - Accent5 4 2 2 3 4 6" xfId="25742"/>
    <cellStyle name="40% - Accent5 4 2 2 3 5" xfId="25743"/>
    <cellStyle name="40% - Accent5 4 2 2 3 5 2" xfId="25744"/>
    <cellStyle name="40% - Accent5 4 2 2 3 5 2 2" xfId="25745"/>
    <cellStyle name="40% - Accent5 4 2 2 3 5 2 3" xfId="25746"/>
    <cellStyle name="40% - Accent5 4 2 2 3 5 3" xfId="25747"/>
    <cellStyle name="40% - Accent5 4 2 2 3 5 3 2" xfId="25748"/>
    <cellStyle name="40% - Accent5 4 2 2 3 5 4" xfId="25749"/>
    <cellStyle name="40% - Accent5 4 2 2 3 5 5" xfId="25750"/>
    <cellStyle name="40% - Accent5 4 2 2 3 6" xfId="25751"/>
    <cellStyle name="40% - Accent5 4 2 2 3 6 2" xfId="25752"/>
    <cellStyle name="40% - Accent5 4 2 2 3 6 3" xfId="25753"/>
    <cellStyle name="40% - Accent5 4 2 2 3 7" xfId="25754"/>
    <cellStyle name="40% - Accent5 4 2 2 3 7 2" xfId="25755"/>
    <cellStyle name="40% - Accent5 4 2 2 3 7 3" xfId="25756"/>
    <cellStyle name="40% - Accent5 4 2 2 3 8" xfId="25757"/>
    <cellStyle name="40% - Accent5 4 2 2 3 8 2" xfId="25758"/>
    <cellStyle name="40% - Accent5 4 2 2 3 9" xfId="25759"/>
    <cellStyle name="40% - Accent5 4 2 2 4" xfId="2439"/>
    <cellStyle name="40% - Accent5 4 2 2 4 2" xfId="25760"/>
    <cellStyle name="40% - Accent5 4 2 2 4 2 2" xfId="25761"/>
    <cellStyle name="40% - Accent5 4 2 2 4 2 2 2" xfId="25762"/>
    <cellStyle name="40% - Accent5 4 2 2 4 2 2 3" xfId="25763"/>
    <cellStyle name="40% - Accent5 4 2 2 4 2 3" xfId="25764"/>
    <cellStyle name="40% - Accent5 4 2 2 4 2 3 2" xfId="25765"/>
    <cellStyle name="40% - Accent5 4 2 2 4 2 3 3" xfId="25766"/>
    <cellStyle name="40% - Accent5 4 2 2 4 2 4" xfId="25767"/>
    <cellStyle name="40% - Accent5 4 2 2 4 2 4 2" xfId="25768"/>
    <cellStyle name="40% - Accent5 4 2 2 4 2 5" xfId="25769"/>
    <cellStyle name="40% - Accent5 4 2 2 4 2 6" xfId="25770"/>
    <cellStyle name="40% - Accent5 4 2 2 4 3" xfId="25771"/>
    <cellStyle name="40% - Accent5 4 2 2 4 3 2" xfId="25772"/>
    <cellStyle name="40% - Accent5 4 2 2 4 3 2 2" xfId="25773"/>
    <cellStyle name="40% - Accent5 4 2 2 4 3 2 3" xfId="25774"/>
    <cellStyle name="40% - Accent5 4 2 2 4 3 3" xfId="25775"/>
    <cellStyle name="40% - Accent5 4 2 2 4 3 3 2" xfId="25776"/>
    <cellStyle name="40% - Accent5 4 2 2 4 3 3 3" xfId="25777"/>
    <cellStyle name="40% - Accent5 4 2 2 4 3 4" xfId="25778"/>
    <cellStyle name="40% - Accent5 4 2 2 4 3 4 2" xfId="25779"/>
    <cellStyle name="40% - Accent5 4 2 2 4 3 5" xfId="25780"/>
    <cellStyle name="40% - Accent5 4 2 2 4 3 6" xfId="25781"/>
    <cellStyle name="40% - Accent5 4 2 2 4 4" xfId="25782"/>
    <cellStyle name="40% - Accent5 4 2 2 4 4 2" xfId="25783"/>
    <cellStyle name="40% - Accent5 4 2 2 4 4 2 2" xfId="25784"/>
    <cellStyle name="40% - Accent5 4 2 2 4 4 2 3" xfId="25785"/>
    <cellStyle name="40% - Accent5 4 2 2 4 4 3" xfId="25786"/>
    <cellStyle name="40% - Accent5 4 2 2 4 4 3 2" xfId="25787"/>
    <cellStyle name="40% - Accent5 4 2 2 4 4 4" xfId="25788"/>
    <cellStyle name="40% - Accent5 4 2 2 4 4 5" xfId="25789"/>
    <cellStyle name="40% - Accent5 4 2 2 4 5" xfId="25790"/>
    <cellStyle name="40% - Accent5 4 2 2 4 5 2" xfId="25791"/>
    <cellStyle name="40% - Accent5 4 2 2 4 5 3" xfId="25792"/>
    <cellStyle name="40% - Accent5 4 2 2 4 6" xfId="25793"/>
    <cellStyle name="40% - Accent5 4 2 2 4 6 2" xfId="25794"/>
    <cellStyle name="40% - Accent5 4 2 2 4 6 3" xfId="25795"/>
    <cellStyle name="40% - Accent5 4 2 2 4 7" xfId="25796"/>
    <cellStyle name="40% - Accent5 4 2 2 4 7 2" xfId="25797"/>
    <cellStyle name="40% - Accent5 4 2 2 4 8" xfId="25798"/>
    <cellStyle name="40% - Accent5 4 2 2 4 9" xfId="25799"/>
    <cellStyle name="40% - Accent5 4 2 2 5" xfId="25800"/>
    <cellStyle name="40% - Accent5 4 2 2 5 2" xfId="25801"/>
    <cellStyle name="40% - Accent5 4 2 2 5 2 2" xfId="25802"/>
    <cellStyle name="40% - Accent5 4 2 2 5 2 2 2" xfId="25803"/>
    <cellStyle name="40% - Accent5 4 2 2 5 2 2 3" xfId="25804"/>
    <cellStyle name="40% - Accent5 4 2 2 5 2 3" xfId="25805"/>
    <cellStyle name="40% - Accent5 4 2 2 5 2 3 2" xfId="25806"/>
    <cellStyle name="40% - Accent5 4 2 2 5 2 3 3" xfId="25807"/>
    <cellStyle name="40% - Accent5 4 2 2 5 2 4" xfId="25808"/>
    <cellStyle name="40% - Accent5 4 2 2 5 2 4 2" xfId="25809"/>
    <cellStyle name="40% - Accent5 4 2 2 5 2 5" xfId="25810"/>
    <cellStyle name="40% - Accent5 4 2 2 5 2 6" xfId="25811"/>
    <cellStyle name="40% - Accent5 4 2 2 5 3" xfId="25812"/>
    <cellStyle name="40% - Accent5 4 2 2 5 3 2" xfId="25813"/>
    <cellStyle name="40% - Accent5 4 2 2 5 3 2 2" xfId="25814"/>
    <cellStyle name="40% - Accent5 4 2 2 5 3 2 3" xfId="25815"/>
    <cellStyle name="40% - Accent5 4 2 2 5 3 3" xfId="25816"/>
    <cellStyle name="40% - Accent5 4 2 2 5 3 3 2" xfId="25817"/>
    <cellStyle name="40% - Accent5 4 2 2 5 3 3 3" xfId="25818"/>
    <cellStyle name="40% - Accent5 4 2 2 5 3 4" xfId="25819"/>
    <cellStyle name="40% - Accent5 4 2 2 5 3 4 2" xfId="25820"/>
    <cellStyle name="40% - Accent5 4 2 2 5 3 5" xfId="25821"/>
    <cellStyle name="40% - Accent5 4 2 2 5 3 6" xfId="25822"/>
    <cellStyle name="40% - Accent5 4 2 2 5 4" xfId="25823"/>
    <cellStyle name="40% - Accent5 4 2 2 5 4 2" xfId="25824"/>
    <cellStyle name="40% - Accent5 4 2 2 5 4 2 2" xfId="25825"/>
    <cellStyle name="40% - Accent5 4 2 2 5 4 2 3" xfId="25826"/>
    <cellStyle name="40% - Accent5 4 2 2 5 4 3" xfId="25827"/>
    <cellStyle name="40% - Accent5 4 2 2 5 4 3 2" xfId="25828"/>
    <cellStyle name="40% - Accent5 4 2 2 5 4 4" xfId="25829"/>
    <cellStyle name="40% - Accent5 4 2 2 5 4 5" xfId="25830"/>
    <cellStyle name="40% - Accent5 4 2 2 5 5" xfId="25831"/>
    <cellStyle name="40% - Accent5 4 2 2 5 5 2" xfId="25832"/>
    <cellStyle name="40% - Accent5 4 2 2 5 5 3" xfId="25833"/>
    <cellStyle name="40% - Accent5 4 2 2 5 6" xfId="25834"/>
    <cellStyle name="40% - Accent5 4 2 2 5 6 2" xfId="25835"/>
    <cellStyle name="40% - Accent5 4 2 2 5 6 3" xfId="25836"/>
    <cellStyle name="40% - Accent5 4 2 2 5 7" xfId="25837"/>
    <cellStyle name="40% - Accent5 4 2 2 5 7 2" xfId="25838"/>
    <cellStyle name="40% - Accent5 4 2 2 5 8" xfId="25839"/>
    <cellStyle name="40% - Accent5 4 2 2 5 9" xfId="25840"/>
    <cellStyle name="40% - Accent5 4 2 2 6" xfId="25841"/>
    <cellStyle name="40% - Accent5 4 2 2 6 2" xfId="25842"/>
    <cellStyle name="40% - Accent5 4 2 2 6 2 2" xfId="25843"/>
    <cellStyle name="40% - Accent5 4 2 2 6 2 3" xfId="25844"/>
    <cellStyle name="40% - Accent5 4 2 2 6 3" xfId="25845"/>
    <cellStyle name="40% - Accent5 4 2 2 6 3 2" xfId="25846"/>
    <cellStyle name="40% - Accent5 4 2 2 6 3 3" xfId="25847"/>
    <cellStyle name="40% - Accent5 4 2 2 6 4" xfId="25848"/>
    <cellStyle name="40% - Accent5 4 2 2 6 4 2" xfId="25849"/>
    <cellStyle name="40% - Accent5 4 2 2 6 5" xfId="25850"/>
    <cellStyle name="40% - Accent5 4 2 2 6 6" xfId="25851"/>
    <cellStyle name="40% - Accent5 4 2 2 7" xfId="25852"/>
    <cellStyle name="40% - Accent5 4 2 2 7 2" xfId="25853"/>
    <cellStyle name="40% - Accent5 4 2 2 7 2 2" xfId="25854"/>
    <cellStyle name="40% - Accent5 4 2 2 7 2 3" xfId="25855"/>
    <cellStyle name="40% - Accent5 4 2 2 7 3" xfId="25856"/>
    <cellStyle name="40% - Accent5 4 2 2 7 3 2" xfId="25857"/>
    <cellStyle name="40% - Accent5 4 2 2 7 3 3" xfId="25858"/>
    <cellStyle name="40% - Accent5 4 2 2 7 4" xfId="25859"/>
    <cellStyle name="40% - Accent5 4 2 2 7 4 2" xfId="25860"/>
    <cellStyle name="40% - Accent5 4 2 2 7 5" xfId="25861"/>
    <cellStyle name="40% - Accent5 4 2 2 7 6" xfId="25862"/>
    <cellStyle name="40% - Accent5 4 2 2 8" xfId="25863"/>
    <cellStyle name="40% - Accent5 4 2 2 8 2" xfId="25864"/>
    <cellStyle name="40% - Accent5 4 2 2 8 2 2" xfId="25865"/>
    <cellStyle name="40% - Accent5 4 2 2 8 2 3" xfId="25866"/>
    <cellStyle name="40% - Accent5 4 2 2 8 3" xfId="25867"/>
    <cellStyle name="40% - Accent5 4 2 2 8 3 2" xfId="25868"/>
    <cellStyle name="40% - Accent5 4 2 2 8 4" xfId="25869"/>
    <cellStyle name="40% - Accent5 4 2 2 8 5" xfId="25870"/>
    <cellStyle name="40% - Accent5 4 2 2 9" xfId="25871"/>
    <cellStyle name="40% - Accent5 4 2 2 9 2" xfId="25872"/>
    <cellStyle name="40% - Accent5 4 2 2 9 3" xfId="25873"/>
    <cellStyle name="40% - Accent5 4 2 3" xfId="2440"/>
    <cellStyle name="40% - Accent5 4 2 3 10" xfId="25874"/>
    <cellStyle name="40% - Accent5 4 2 3 10 2" xfId="25875"/>
    <cellStyle name="40% - Accent5 4 2 3 11" xfId="25876"/>
    <cellStyle name="40% - Accent5 4 2 3 12" xfId="25877"/>
    <cellStyle name="40% - Accent5 4 2 3 2" xfId="2441"/>
    <cellStyle name="40% - Accent5 4 2 3 2 10" xfId="25878"/>
    <cellStyle name="40% - Accent5 4 2 3 2 2" xfId="2442"/>
    <cellStyle name="40% - Accent5 4 2 3 2 2 2" xfId="25879"/>
    <cellStyle name="40% - Accent5 4 2 3 2 2 2 2" xfId="25880"/>
    <cellStyle name="40% - Accent5 4 2 3 2 2 2 2 2" xfId="25881"/>
    <cellStyle name="40% - Accent5 4 2 3 2 2 2 2 3" xfId="25882"/>
    <cellStyle name="40% - Accent5 4 2 3 2 2 2 3" xfId="25883"/>
    <cellStyle name="40% - Accent5 4 2 3 2 2 2 3 2" xfId="25884"/>
    <cellStyle name="40% - Accent5 4 2 3 2 2 2 3 3" xfId="25885"/>
    <cellStyle name="40% - Accent5 4 2 3 2 2 2 4" xfId="25886"/>
    <cellStyle name="40% - Accent5 4 2 3 2 2 2 4 2" xfId="25887"/>
    <cellStyle name="40% - Accent5 4 2 3 2 2 2 5" xfId="25888"/>
    <cellStyle name="40% - Accent5 4 2 3 2 2 2 6" xfId="25889"/>
    <cellStyle name="40% - Accent5 4 2 3 2 2 3" xfId="25890"/>
    <cellStyle name="40% - Accent5 4 2 3 2 2 3 2" xfId="25891"/>
    <cellStyle name="40% - Accent5 4 2 3 2 2 3 2 2" xfId="25892"/>
    <cellStyle name="40% - Accent5 4 2 3 2 2 3 2 3" xfId="25893"/>
    <cellStyle name="40% - Accent5 4 2 3 2 2 3 3" xfId="25894"/>
    <cellStyle name="40% - Accent5 4 2 3 2 2 3 3 2" xfId="25895"/>
    <cellStyle name="40% - Accent5 4 2 3 2 2 3 3 3" xfId="25896"/>
    <cellStyle name="40% - Accent5 4 2 3 2 2 3 4" xfId="25897"/>
    <cellStyle name="40% - Accent5 4 2 3 2 2 3 4 2" xfId="25898"/>
    <cellStyle name="40% - Accent5 4 2 3 2 2 3 5" xfId="25899"/>
    <cellStyle name="40% - Accent5 4 2 3 2 2 3 6" xfId="25900"/>
    <cellStyle name="40% - Accent5 4 2 3 2 2 4" xfId="25901"/>
    <cellStyle name="40% - Accent5 4 2 3 2 2 4 2" xfId="25902"/>
    <cellStyle name="40% - Accent5 4 2 3 2 2 4 2 2" xfId="25903"/>
    <cellStyle name="40% - Accent5 4 2 3 2 2 4 2 3" xfId="25904"/>
    <cellStyle name="40% - Accent5 4 2 3 2 2 4 3" xfId="25905"/>
    <cellStyle name="40% - Accent5 4 2 3 2 2 4 3 2" xfId="25906"/>
    <cellStyle name="40% - Accent5 4 2 3 2 2 4 4" xfId="25907"/>
    <cellStyle name="40% - Accent5 4 2 3 2 2 4 5" xfId="25908"/>
    <cellStyle name="40% - Accent5 4 2 3 2 2 5" xfId="25909"/>
    <cellStyle name="40% - Accent5 4 2 3 2 2 5 2" xfId="25910"/>
    <cellStyle name="40% - Accent5 4 2 3 2 2 5 3" xfId="25911"/>
    <cellStyle name="40% - Accent5 4 2 3 2 2 6" xfId="25912"/>
    <cellStyle name="40% - Accent5 4 2 3 2 2 6 2" xfId="25913"/>
    <cellStyle name="40% - Accent5 4 2 3 2 2 6 3" xfId="25914"/>
    <cellStyle name="40% - Accent5 4 2 3 2 2 7" xfId="25915"/>
    <cellStyle name="40% - Accent5 4 2 3 2 2 7 2" xfId="25916"/>
    <cellStyle name="40% - Accent5 4 2 3 2 2 8" xfId="25917"/>
    <cellStyle name="40% - Accent5 4 2 3 2 2 9" xfId="25918"/>
    <cellStyle name="40% - Accent5 4 2 3 2 3" xfId="25919"/>
    <cellStyle name="40% - Accent5 4 2 3 2 3 2" xfId="25920"/>
    <cellStyle name="40% - Accent5 4 2 3 2 3 2 2" xfId="25921"/>
    <cellStyle name="40% - Accent5 4 2 3 2 3 2 3" xfId="25922"/>
    <cellStyle name="40% - Accent5 4 2 3 2 3 3" xfId="25923"/>
    <cellStyle name="40% - Accent5 4 2 3 2 3 3 2" xfId="25924"/>
    <cellStyle name="40% - Accent5 4 2 3 2 3 3 3" xfId="25925"/>
    <cellStyle name="40% - Accent5 4 2 3 2 3 4" xfId="25926"/>
    <cellStyle name="40% - Accent5 4 2 3 2 3 4 2" xfId="25927"/>
    <cellStyle name="40% - Accent5 4 2 3 2 3 5" xfId="25928"/>
    <cellStyle name="40% - Accent5 4 2 3 2 3 6" xfId="25929"/>
    <cellStyle name="40% - Accent5 4 2 3 2 4" xfId="25930"/>
    <cellStyle name="40% - Accent5 4 2 3 2 4 2" xfId="25931"/>
    <cellStyle name="40% - Accent5 4 2 3 2 4 2 2" xfId="25932"/>
    <cellStyle name="40% - Accent5 4 2 3 2 4 2 3" xfId="25933"/>
    <cellStyle name="40% - Accent5 4 2 3 2 4 3" xfId="25934"/>
    <cellStyle name="40% - Accent5 4 2 3 2 4 3 2" xfId="25935"/>
    <cellStyle name="40% - Accent5 4 2 3 2 4 3 3" xfId="25936"/>
    <cellStyle name="40% - Accent5 4 2 3 2 4 4" xfId="25937"/>
    <cellStyle name="40% - Accent5 4 2 3 2 4 4 2" xfId="25938"/>
    <cellStyle name="40% - Accent5 4 2 3 2 4 5" xfId="25939"/>
    <cellStyle name="40% - Accent5 4 2 3 2 4 6" xfId="25940"/>
    <cellStyle name="40% - Accent5 4 2 3 2 5" xfId="25941"/>
    <cellStyle name="40% - Accent5 4 2 3 2 5 2" xfId="25942"/>
    <cellStyle name="40% - Accent5 4 2 3 2 5 2 2" xfId="25943"/>
    <cellStyle name="40% - Accent5 4 2 3 2 5 2 3" xfId="25944"/>
    <cellStyle name="40% - Accent5 4 2 3 2 5 3" xfId="25945"/>
    <cellStyle name="40% - Accent5 4 2 3 2 5 3 2" xfId="25946"/>
    <cellStyle name="40% - Accent5 4 2 3 2 5 4" xfId="25947"/>
    <cellStyle name="40% - Accent5 4 2 3 2 5 5" xfId="25948"/>
    <cellStyle name="40% - Accent5 4 2 3 2 6" xfId="25949"/>
    <cellStyle name="40% - Accent5 4 2 3 2 6 2" xfId="25950"/>
    <cellStyle name="40% - Accent5 4 2 3 2 6 3" xfId="25951"/>
    <cellStyle name="40% - Accent5 4 2 3 2 7" xfId="25952"/>
    <cellStyle name="40% - Accent5 4 2 3 2 7 2" xfId="25953"/>
    <cellStyle name="40% - Accent5 4 2 3 2 7 3" xfId="25954"/>
    <cellStyle name="40% - Accent5 4 2 3 2 8" xfId="25955"/>
    <cellStyle name="40% - Accent5 4 2 3 2 8 2" xfId="25956"/>
    <cellStyle name="40% - Accent5 4 2 3 2 9" xfId="25957"/>
    <cellStyle name="40% - Accent5 4 2 3 3" xfId="2443"/>
    <cellStyle name="40% - Accent5 4 2 3 3 2" xfId="25958"/>
    <cellStyle name="40% - Accent5 4 2 3 3 2 2" xfId="25959"/>
    <cellStyle name="40% - Accent5 4 2 3 3 2 2 2" xfId="25960"/>
    <cellStyle name="40% - Accent5 4 2 3 3 2 2 3" xfId="25961"/>
    <cellStyle name="40% - Accent5 4 2 3 3 2 3" xfId="25962"/>
    <cellStyle name="40% - Accent5 4 2 3 3 2 3 2" xfId="25963"/>
    <cellStyle name="40% - Accent5 4 2 3 3 2 3 3" xfId="25964"/>
    <cellStyle name="40% - Accent5 4 2 3 3 2 4" xfId="25965"/>
    <cellStyle name="40% - Accent5 4 2 3 3 2 4 2" xfId="25966"/>
    <cellStyle name="40% - Accent5 4 2 3 3 2 5" xfId="25967"/>
    <cellStyle name="40% - Accent5 4 2 3 3 2 6" xfId="25968"/>
    <cellStyle name="40% - Accent5 4 2 3 3 3" xfId="25969"/>
    <cellStyle name="40% - Accent5 4 2 3 3 3 2" xfId="25970"/>
    <cellStyle name="40% - Accent5 4 2 3 3 3 2 2" xfId="25971"/>
    <cellStyle name="40% - Accent5 4 2 3 3 3 2 3" xfId="25972"/>
    <cellStyle name="40% - Accent5 4 2 3 3 3 3" xfId="25973"/>
    <cellStyle name="40% - Accent5 4 2 3 3 3 3 2" xfId="25974"/>
    <cellStyle name="40% - Accent5 4 2 3 3 3 3 3" xfId="25975"/>
    <cellStyle name="40% - Accent5 4 2 3 3 3 4" xfId="25976"/>
    <cellStyle name="40% - Accent5 4 2 3 3 3 4 2" xfId="25977"/>
    <cellStyle name="40% - Accent5 4 2 3 3 3 5" xfId="25978"/>
    <cellStyle name="40% - Accent5 4 2 3 3 3 6" xfId="25979"/>
    <cellStyle name="40% - Accent5 4 2 3 3 4" xfId="25980"/>
    <cellStyle name="40% - Accent5 4 2 3 3 4 2" xfId="25981"/>
    <cellStyle name="40% - Accent5 4 2 3 3 4 2 2" xfId="25982"/>
    <cellStyle name="40% - Accent5 4 2 3 3 4 2 3" xfId="25983"/>
    <cellStyle name="40% - Accent5 4 2 3 3 4 3" xfId="25984"/>
    <cellStyle name="40% - Accent5 4 2 3 3 4 3 2" xfId="25985"/>
    <cellStyle name="40% - Accent5 4 2 3 3 4 4" xfId="25986"/>
    <cellStyle name="40% - Accent5 4 2 3 3 4 5" xfId="25987"/>
    <cellStyle name="40% - Accent5 4 2 3 3 5" xfId="25988"/>
    <cellStyle name="40% - Accent5 4 2 3 3 5 2" xfId="25989"/>
    <cellStyle name="40% - Accent5 4 2 3 3 5 3" xfId="25990"/>
    <cellStyle name="40% - Accent5 4 2 3 3 6" xfId="25991"/>
    <cellStyle name="40% - Accent5 4 2 3 3 6 2" xfId="25992"/>
    <cellStyle name="40% - Accent5 4 2 3 3 6 3" xfId="25993"/>
    <cellStyle name="40% - Accent5 4 2 3 3 7" xfId="25994"/>
    <cellStyle name="40% - Accent5 4 2 3 3 7 2" xfId="25995"/>
    <cellStyle name="40% - Accent5 4 2 3 3 8" xfId="25996"/>
    <cellStyle name="40% - Accent5 4 2 3 3 9" xfId="25997"/>
    <cellStyle name="40% - Accent5 4 2 3 4" xfId="25998"/>
    <cellStyle name="40% - Accent5 4 2 3 4 2" xfId="25999"/>
    <cellStyle name="40% - Accent5 4 2 3 4 2 2" xfId="26000"/>
    <cellStyle name="40% - Accent5 4 2 3 4 2 2 2" xfId="26001"/>
    <cellStyle name="40% - Accent5 4 2 3 4 2 2 3" xfId="26002"/>
    <cellStyle name="40% - Accent5 4 2 3 4 2 3" xfId="26003"/>
    <cellStyle name="40% - Accent5 4 2 3 4 2 3 2" xfId="26004"/>
    <cellStyle name="40% - Accent5 4 2 3 4 2 3 3" xfId="26005"/>
    <cellStyle name="40% - Accent5 4 2 3 4 2 4" xfId="26006"/>
    <cellStyle name="40% - Accent5 4 2 3 4 2 4 2" xfId="26007"/>
    <cellStyle name="40% - Accent5 4 2 3 4 2 5" xfId="26008"/>
    <cellStyle name="40% - Accent5 4 2 3 4 2 6" xfId="26009"/>
    <cellStyle name="40% - Accent5 4 2 3 4 3" xfId="26010"/>
    <cellStyle name="40% - Accent5 4 2 3 4 3 2" xfId="26011"/>
    <cellStyle name="40% - Accent5 4 2 3 4 3 2 2" xfId="26012"/>
    <cellStyle name="40% - Accent5 4 2 3 4 3 2 3" xfId="26013"/>
    <cellStyle name="40% - Accent5 4 2 3 4 3 3" xfId="26014"/>
    <cellStyle name="40% - Accent5 4 2 3 4 3 3 2" xfId="26015"/>
    <cellStyle name="40% - Accent5 4 2 3 4 3 3 3" xfId="26016"/>
    <cellStyle name="40% - Accent5 4 2 3 4 3 4" xfId="26017"/>
    <cellStyle name="40% - Accent5 4 2 3 4 3 4 2" xfId="26018"/>
    <cellStyle name="40% - Accent5 4 2 3 4 3 5" xfId="26019"/>
    <cellStyle name="40% - Accent5 4 2 3 4 3 6" xfId="26020"/>
    <cellStyle name="40% - Accent5 4 2 3 4 4" xfId="26021"/>
    <cellStyle name="40% - Accent5 4 2 3 4 4 2" xfId="26022"/>
    <cellStyle name="40% - Accent5 4 2 3 4 4 2 2" xfId="26023"/>
    <cellStyle name="40% - Accent5 4 2 3 4 4 2 3" xfId="26024"/>
    <cellStyle name="40% - Accent5 4 2 3 4 4 3" xfId="26025"/>
    <cellStyle name="40% - Accent5 4 2 3 4 4 3 2" xfId="26026"/>
    <cellStyle name="40% - Accent5 4 2 3 4 4 4" xfId="26027"/>
    <cellStyle name="40% - Accent5 4 2 3 4 4 5" xfId="26028"/>
    <cellStyle name="40% - Accent5 4 2 3 4 5" xfId="26029"/>
    <cellStyle name="40% - Accent5 4 2 3 4 5 2" xfId="26030"/>
    <cellStyle name="40% - Accent5 4 2 3 4 5 3" xfId="26031"/>
    <cellStyle name="40% - Accent5 4 2 3 4 6" xfId="26032"/>
    <cellStyle name="40% - Accent5 4 2 3 4 6 2" xfId="26033"/>
    <cellStyle name="40% - Accent5 4 2 3 4 6 3" xfId="26034"/>
    <cellStyle name="40% - Accent5 4 2 3 4 7" xfId="26035"/>
    <cellStyle name="40% - Accent5 4 2 3 4 7 2" xfId="26036"/>
    <cellStyle name="40% - Accent5 4 2 3 4 8" xfId="26037"/>
    <cellStyle name="40% - Accent5 4 2 3 4 9" xfId="26038"/>
    <cellStyle name="40% - Accent5 4 2 3 5" xfId="26039"/>
    <cellStyle name="40% - Accent5 4 2 3 5 2" xfId="26040"/>
    <cellStyle name="40% - Accent5 4 2 3 5 2 2" xfId="26041"/>
    <cellStyle name="40% - Accent5 4 2 3 5 2 3" xfId="26042"/>
    <cellStyle name="40% - Accent5 4 2 3 5 3" xfId="26043"/>
    <cellStyle name="40% - Accent5 4 2 3 5 3 2" xfId="26044"/>
    <cellStyle name="40% - Accent5 4 2 3 5 3 3" xfId="26045"/>
    <cellStyle name="40% - Accent5 4 2 3 5 4" xfId="26046"/>
    <cellStyle name="40% - Accent5 4 2 3 5 4 2" xfId="26047"/>
    <cellStyle name="40% - Accent5 4 2 3 5 5" xfId="26048"/>
    <cellStyle name="40% - Accent5 4 2 3 5 6" xfId="26049"/>
    <cellStyle name="40% - Accent5 4 2 3 6" xfId="26050"/>
    <cellStyle name="40% - Accent5 4 2 3 6 2" xfId="26051"/>
    <cellStyle name="40% - Accent5 4 2 3 6 2 2" xfId="26052"/>
    <cellStyle name="40% - Accent5 4 2 3 6 2 3" xfId="26053"/>
    <cellStyle name="40% - Accent5 4 2 3 6 3" xfId="26054"/>
    <cellStyle name="40% - Accent5 4 2 3 6 3 2" xfId="26055"/>
    <cellStyle name="40% - Accent5 4 2 3 6 3 3" xfId="26056"/>
    <cellStyle name="40% - Accent5 4 2 3 6 4" xfId="26057"/>
    <cellStyle name="40% - Accent5 4 2 3 6 4 2" xfId="26058"/>
    <cellStyle name="40% - Accent5 4 2 3 6 5" xfId="26059"/>
    <cellStyle name="40% - Accent5 4 2 3 6 6" xfId="26060"/>
    <cellStyle name="40% - Accent5 4 2 3 7" xfId="26061"/>
    <cellStyle name="40% - Accent5 4 2 3 7 2" xfId="26062"/>
    <cellStyle name="40% - Accent5 4 2 3 7 2 2" xfId="26063"/>
    <cellStyle name="40% - Accent5 4 2 3 7 2 3" xfId="26064"/>
    <cellStyle name="40% - Accent5 4 2 3 7 3" xfId="26065"/>
    <cellStyle name="40% - Accent5 4 2 3 7 3 2" xfId="26066"/>
    <cellStyle name="40% - Accent5 4 2 3 7 4" xfId="26067"/>
    <cellStyle name="40% - Accent5 4 2 3 7 5" xfId="26068"/>
    <cellStyle name="40% - Accent5 4 2 3 8" xfId="26069"/>
    <cellStyle name="40% - Accent5 4 2 3 8 2" xfId="26070"/>
    <cellStyle name="40% - Accent5 4 2 3 8 3" xfId="26071"/>
    <cellStyle name="40% - Accent5 4 2 3 9" xfId="26072"/>
    <cellStyle name="40% - Accent5 4 2 3 9 2" xfId="26073"/>
    <cellStyle name="40% - Accent5 4 2 3 9 3" xfId="26074"/>
    <cellStyle name="40% - Accent5 4 2 4" xfId="2444"/>
    <cellStyle name="40% - Accent5 4 2 4 10" xfId="26075"/>
    <cellStyle name="40% - Accent5 4 2 4 2" xfId="2445"/>
    <cellStyle name="40% - Accent5 4 2 4 2 2" xfId="26076"/>
    <cellStyle name="40% - Accent5 4 2 4 2 2 2" xfId="26077"/>
    <cellStyle name="40% - Accent5 4 2 4 2 2 2 2" xfId="26078"/>
    <cellStyle name="40% - Accent5 4 2 4 2 2 2 3" xfId="26079"/>
    <cellStyle name="40% - Accent5 4 2 4 2 2 3" xfId="26080"/>
    <cellStyle name="40% - Accent5 4 2 4 2 2 3 2" xfId="26081"/>
    <cellStyle name="40% - Accent5 4 2 4 2 2 3 3" xfId="26082"/>
    <cellStyle name="40% - Accent5 4 2 4 2 2 4" xfId="26083"/>
    <cellStyle name="40% - Accent5 4 2 4 2 2 4 2" xfId="26084"/>
    <cellStyle name="40% - Accent5 4 2 4 2 2 5" xfId="26085"/>
    <cellStyle name="40% - Accent5 4 2 4 2 2 6" xfId="26086"/>
    <cellStyle name="40% - Accent5 4 2 4 2 3" xfId="26087"/>
    <cellStyle name="40% - Accent5 4 2 4 2 3 2" xfId="26088"/>
    <cellStyle name="40% - Accent5 4 2 4 2 3 2 2" xfId="26089"/>
    <cellStyle name="40% - Accent5 4 2 4 2 3 2 3" xfId="26090"/>
    <cellStyle name="40% - Accent5 4 2 4 2 3 3" xfId="26091"/>
    <cellStyle name="40% - Accent5 4 2 4 2 3 3 2" xfId="26092"/>
    <cellStyle name="40% - Accent5 4 2 4 2 3 3 3" xfId="26093"/>
    <cellStyle name="40% - Accent5 4 2 4 2 3 4" xfId="26094"/>
    <cellStyle name="40% - Accent5 4 2 4 2 3 4 2" xfId="26095"/>
    <cellStyle name="40% - Accent5 4 2 4 2 3 5" xfId="26096"/>
    <cellStyle name="40% - Accent5 4 2 4 2 3 6" xfId="26097"/>
    <cellStyle name="40% - Accent5 4 2 4 2 4" xfId="26098"/>
    <cellStyle name="40% - Accent5 4 2 4 2 4 2" xfId="26099"/>
    <cellStyle name="40% - Accent5 4 2 4 2 4 2 2" xfId="26100"/>
    <cellStyle name="40% - Accent5 4 2 4 2 4 2 3" xfId="26101"/>
    <cellStyle name="40% - Accent5 4 2 4 2 4 3" xfId="26102"/>
    <cellStyle name="40% - Accent5 4 2 4 2 4 3 2" xfId="26103"/>
    <cellStyle name="40% - Accent5 4 2 4 2 4 4" xfId="26104"/>
    <cellStyle name="40% - Accent5 4 2 4 2 4 5" xfId="26105"/>
    <cellStyle name="40% - Accent5 4 2 4 2 5" xfId="26106"/>
    <cellStyle name="40% - Accent5 4 2 4 2 5 2" xfId="26107"/>
    <cellStyle name="40% - Accent5 4 2 4 2 5 3" xfId="26108"/>
    <cellStyle name="40% - Accent5 4 2 4 2 6" xfId="26109"/>
    <cellStyle name="40% - Accent5 4 2 4 2 6 2" xfId="26110"/>
    <cellStyle name="40% - Accent5 4 2 4 2 6 3" xfId="26111"/>
    <cellStyle name="40% - Accent5 4 2 4 2 7" xfId="26112"/>
    <cellStyle name="40% - Accent5 4 2 4 2 7 2" xfId="26113"/>
    <cellStyle name="40% - Accent5 4 2 4 2 8" xfId="26114"/>
    <cellStyle name="40% - Accent5 4 2 4 2 9" xfId="26115"/>
    <cellStyle name="40% - Accent5 4 2 4 3" xfId="26116"/>
    <cellStyle name="40% - Accent5 4 2 4 3 2" xfId="26117"/>
    <cellStyle name="40% - Accent5 4 2 4 3 2 2" xfId="26118"/>
    <cellStyle name="40% - Accent5 4 2 4 3 2 3" xfId="26119"/>
    <cellStyle name="40% - Accent5 4 2 4 3 3" xfId="26120"/>
    <cellStyle name="40% - Accent5 4 2 4 3 3 2" xfId="26121"/>
    <cellStyle name="40% - Accent5 4 2 4 3 3 3" xfId="26122"/>
    <cellStyle name="40% - Accent5 4 2 4 3 4" xfId="26123"/>
    <cellStyle name="40% - Accent5 4 2 4 3 4 2" xfId="26124"/>
    <cellStyle name="40% - Accent5 4 2 4 3 5" xfId="26125"/>
    <cellStyle name="40% - Accent5 4 2 4 3 6" xfId="26126"/>
    <cellStyle name="40% - Accent5 4 2 4 4" xfId="26127"/>
    <cellStyle name="40% - Accent5 4 2 4 4 2" xfId="26128"/>
    <cellStyle name="40% - Accent5 4 2 4 4 2 2" xfId="26129"/>
    <cellStyle name="40% - Accent5 4 2 4 4 2 3" xfId="26130"/>
    <cellStyle name="40% - Accent5 4 2 4 4 3" xfId="26131"/>
    <cellStyle name="40% - Accent5 4 2 4 4 3 2" xfId="26132"/>
    <cellStyle name="40% - Accent5 4 2 4 4 3 3" xfId="26133"/>
    <cellStyle name="40% - Accent5 4 2 4 4 4" xfId="26134"/>
    <cellStyle name="40% - Accent5 4 2 4 4 4 2" xfId="26135"/>
    <cellStyle name="40% - Accent5 4 2 4 4 5" xfId="26136"/>
    <cellStyle name="40% - Accent5 4 2 4 4 6" xfId="26137"/>
    <cellStyle name="40% - Accent5 4 2 4 5" xfId="26138"/>
    <cellStyle name="40% - Accent5 4 2 4 5 2" xfId="26139"/>
    <cellStyle name="40% - Accent5 4 2 4 5 2 2" xfId="26140"/>
    <cellStyle name="40% - Accent5 4 2 4 5 2 3" xfId="26141"/>
    <cellStyle name="40% - Accent5 4 2 4 5 3" xfId="26142"/>
    <cellStyle name="40% - Accent5 4 2 4 5 3 2" xfId="26143"/>
    <cellStyle name="40% - Accent5 4 2 4 5 4" xfId="26144"/>
    <cellStyle name="40% - Accent5 4 2 4 5 5" xfId="26145"/>
    <cellStyle name="40% - Accent5 4 2 4 6" xfId="26146"/>
    <cellStyle name="40% - Accent5 4 2 4 6 2" xfId="26147"/>
    <cellStyle name="40% - Accent5 4 2 4 6 3" xfId="26148"/>
    <cellStyle name="40% - Accent5 4 2 4 7" xfId="26149"/>
    <cellStyle name="40% - Accent5 4 2 4 7 2" xfId="26150"/>
    <cellStyle name="40% - Accent5 4 2 4 7 3" xfId="26151"/>
    <cellStyle name="40% - Accent5 4 2 4 8" xfId="26152"/>
    <cellStyle name="40% - Accent5 4 2 4 8 2" xfId="26153"/>
    <cellStyle name="40% - Accent5 4 2 4 9" xfId="26154"/>
    <cellStyle name="40% - Accent5 4 2 5" xfId="2446"/>
    <cellStyle name="40% - Accent5 4 2 5 2" xfId="26155"/>
    <cellStyle name="40% - Accent5 4 2 5 2 2" xfId="26156"/>
    <cellStyle name="40% - Accent5 4 2 5 2 2 2" xfId="26157"/>
    <cellStyle name="40% - Accent5 4 2 5 2 2 3" xfId="26158"/>
    <cellStyle name="40% - Accent5 4 2 5 2 3" xfId="26159"/>
    <cellStyle name="40% - Accent5 4 2 5 2 3 2" xfId="26160"/>
    <cellStyle name="40% - Accent5 4 2 5 2 3 3" xfId="26161"/>
    <cellStyle name="40% - Accent5 4 2 5 2 4" xfId="26162"/>
    <cellStyle name="40% - Accent5 4 2 5 2 4 2" xfId="26163"/>
    <cellStyle name="40% - Accent5 4 2 5 2 5" xfId="26164"/>
    <cellStyle name="40% - Accent5 4 2 5 2 6" xfId="26165"/>
    <cellStyle name="40% - Accent5 4 2 5 3" xfId="26166"/>
    <cellStyle name="40% - Accent5 4 2 5 3 2" xfId="26167"/>
    <cellStyle name="40% - Accent5 4 2 5 3 2 2" xfId="26168"/>
    <cellStyle name="40% - Accent5 4 2 5 3 2 3" xfId="26169"/>
    <cellStyle name="40% - Accent5 4 2 5 3 3" xfId="26170"/>
    <cellStyle name="40% - Accent5 4 2 5 3 3 2" xfId="26171"/>
    <cellStyle name="40% - Accent5 4 2 5 3 3 3" xfId="26172"/>
    <cellStyle name="40% - Accent5 4 2 5 3 4" xfId="26173"/>
    <cellStyle name="40% - Accent5 4 2 5 3 4 2" xfId="26174"/>
    <cellStyle name="40% - Accent5 4 2 5 3 5" xfId="26175"/>
    <cellStyle name="40% - Accent5 4 2 5 3 6" xfId="26176"/>
    <cellStyle name="40% - Accent5 4 2 5 4" xfId="26177"/>
    <cellStyle name="40% - Accent5 4 2 5 4 2" xfId="26178"/>
    <cellStyle name="40% - Accent5 4 2 5 4 2 2" xfId="26179"/>
    <cellStyle name="40% - Accent5 4 2 5 4 2 3" xfId="26180"/>
    <cellStyle name="40% - Accent5 4 2 5 4 3" xfId="26181"/>
    <cellStyle name="40% - Accent5 4 2 5 4 3 2" xfId="26182"/>
    <cellStyle name="40% - Accent5 4 2 5 4 4" xfId="26183"/>
    <cellStyle name="40% - Accent5 4 2 5 4 5" xfId="26184"/>
    <cellStyle name="40% - Accent5 4 2 5 5" xfId="26185"/>
    <cellStyle name="40% - Accent5 4 2 5 5 2" xfId="26186"/>
    <cellStyle name="40% - Accent5 4 2 5 5 3" xfId="26187"/>
    <cellStyle name="40% - Accent5 4 2 5 6" xfId="26188"/>
    <cellStyle name="40% - Accent5 4 2 5 6 2" xfId="26189"/>
    <cellStyle name="40% - Accent5 4 2 5 6 3" xfId="26190"/>
    <cellStyle name="40% - Accent5 4 2 5 7" xfId="26191"/>
    <cellStyle name="40% - Accent5 4 2 5 7 2" xfId="26192"/>
    <cellStyle name="40% - Accent5 4 2 5 8" xfId="26193"/>
    <cellStyle name="40% - Accent5 4 2 5 9" xfId="26194"/>
    <cellStyle name="40% - Accent5 4 2 6" xfId="26195"/>
    <cellStyle name="40% - Accent5 4 2 6 2" xfId="26196"/>
    <cellStyle name="40% - Accent5 4 2 6 2 2" xfId="26197"/>
    <cellStyle name="40% - Accent5 4 2 6 2 2 2" xfId="26198"/>
    <cellStyle name="40% - Accent5 4 2 6 2 2 3" xfId="26199"/>
    <cellStyle name="40% - Accent5 4 2 6 2 3" xfId="26200"/>
    <cellStyle name="40% - Accent5 4 2 6 2 3 2" xfId="26201"/>
    <cellStyle name="40% - Accent5 4 2 6 2 3 3" xfId="26202"/>
    <cellStyle name="40% - Accent5 4 2 6 2 4" xfId="26203"/>
    <cellStyle name="40% - Accent5 4 2 6 2 4 2" xfId="26204"/>
    <cellStyle name="40% - Accent5 4 2 6 2 5" xfId="26205"/>
    <cellStyle name="40% - Accent5 4 2 6 2 6" xfId="26206"/>
    <cellStyle name="40% - Accent5 4 2 6 3" xfId="26207"/>
    <cellStyle name="40% - Accent5 4 2 6 3 2" xfId="26208"/>
    <cellStyle name="40% - Accent5 4 2 6 3 2 2" xfId="26209"/>
    <cellStyle name="40% - Accent5 4 2 6 3 2 3" xfId="26210"/>
    <cellStyle name="40% - Accent5 4 2 6 3 3" xfId="26211"/>
    <cellStyle name="40% - Accent5 4 2 6 3 3 2" xfId="26212"/>
    <cellStyle name="40% - Accent5 4 2 6 3 3 3" xfId="26213"/>
    <cellStyle name="40% - Accent5 4 2 6 3 4" xfId="26214"/>
    <cellStyle name="40% - Accent5 4 2 6 3 4 2" xfId="26215"/>
    <cellStyle name="40% - Accent5 4 2 6 3 5" xfId="26216"/>
    <cellStyle name="40% - Accent5 4 2 6 3 6" xfId="26217"/>
    <cellStyle name="40% - Accent5 4 2 6 4" xfId="26218"/>
    <cellStyle name="40% - Accent5 4 2 6 4 2" xfId="26219"/>
    <cellStyle name="40% - Accent5 4 2 6 4 2 2" xfId="26220"/>
    <cellStyle name="40% - Accent5 4 2 6 4 2 3" xfId="26221"/>
    <cellStyle name="40% - Accent5 4 2 6 4 3" xfId="26222"/>
    <cellStyle name="40% - Accent5 4 2 6 4 3 2" xfId="26223"/>
    <cellStyle name="40% - Accent5 4 2 6 4 4" xfId="26224"/>
    <cellStyle name="40% - Accent5 4 2 6 4 5" xfId="26225"/>
    <cellStyle name="40% - Accent5 4 2 6 5" xfId="26226"/>
    <cellStyle name="40% - Accent5 4 2 6 5 2" xfId="26227"/>
    <cellStyle name="40% - Accent5 4 2 6 5 3" xfId="26228"/>
    <cellStyle name="40% - Accent5 4 2 6 6" xfId="26229"/>
    <cellStyle name="40% - Accent5 4 2 6 6 2" xfId="26230"/>
    <cellStyle name="40% - Accent5 4 2 6 6 3" xfId="26231"/>
    <cellStyle name="40% - Accent5 4 2 6 7" xfId="26232"/>
    <cellStyle name="40% - Accent5 4 2 6 7 2" xfId="26233"/>
    <cellStyle name="40% - Accent5 4 2 6 8" xfId="26234"/>
    <cellStyle name="40% - Accent5 4 2 6 9" xfId="26235"/>
    <cellStyle name="40% - Accent5 4 2 7" xfId="26236"/>
    <cellStyle name="40% - Accent5 4 2 7 2" xfId="26237"/>
    <cellStyle name="40% - Accent5 4 2 7 2 2" xfId="26238"/>
    <cellStyle name="40% - Accent5 4 2 7 2 3" xfId="26239"/>
    <cellStyle name="40% - Accent5 4 2 7 3" xfId="26240"/>
    <cellStyle name="40% - Accent5 4 2 7 3 2" xfId="26241"/>
    <cellStyle name="40% - Accent5 4 2 7 3 3" xfId="26242"/>
    <cellStyle name="40% - Accent5 4 2 7 4" xfId="26243"/>
    <cellStyle name="40% - Accent5 4 2 7 4 2" xfId="26244"/>
    <cellStyle name="40% - Accent5 4 2 7 5" xfId="26245"/>
    <cellStyle name="40% - Accent5 4 2 7 6" xfId="26246"/>
    <cellStyle name="40% - Accent5 4 2 8" xfId="26247"/>
    <cellStyle name="40% - Accent5 4 2 8 2" xfId="26248"/>
    <cellStyle name="40% - Accent5 4 2 8 2 2" xfId="26249"/>
    <cellStyle name="40% - Accent5 4 2 8 2 3" xfId="26250"/>
    <cellStyle name="40% - Accent5 4 2 8 3" xfId="26251"/>
    <cellStyle name="40% - Accent5 4 2 8 3 2" xfId="26252"/>
    <cellStyle name="40% - Accent5 4 2 8 3 3" xfId="26253"/>
    <cellStyle name="40% - Accent5 4 2 8 4" xfId="26254"/>
    <cellStyle name="40% - Accent5 4 2 8 4 2" xfId="26255"/>
    <cellStyle name="40% - Accent5 4 2 8 5" xfId="26256"/>
    <cellStyle name="40% - Accent5 4 2 8 6" xfId="26257"/>
    <cellStyle name="40% - Accent5 4 2 9" xfId="26258"/>
    <cellStyle name="40% - Accent5 4 2 9 2" xfId="26259"/>
    <cellStyle name="40% - Accent5 4 2 9 2 2" xfId="26260"/>
    <cellStyle name="40% - Accent5 4 2 9 2 3" xfId="26261"/>
    <cellStyle name="40% - Accent5 4 2 9 3" xfId="26262"/>
    <cellStyle name="40% - Accent5 4 2 9 3 2" xfId="26263"/>
    <cellStyle name="40% - Accent5 4 2 9 4" xfId="26264"/>
    <cellStyle name="40% - Accent5 4 2 9 5" xfId="26265"/>
    <cellStyle name="40% - Accent5 4 3" xfId="2447"/>
    <cellStyle name="40% - Accent5 4 3 10" xfId="26266"/>
    <cellStyle name="40% - Accent5 4 3 10 2" xfId="26267"/>
    <cellStyle name="40% - Accent5 4 3 10 3" xfId="26268"/>
    <cellStyle name="40% - Accent5 4 3 11" xfId="26269"/>
    <cellStyle name="40% - Accent5 4 3 11 2" xfId="26270"/>
    <cellStyle name="40% - Accent5 4 3 12" xfId="26271"/>
    <cellStyle name="40% - Accent5 4 3 13" xfId="26272"/>
    <cellStyle name="40% - Accent5 4 3 14" xfId="26273"/>
    <cellStyle name="40% - Accent5 4 3 2" xfId="2448"/>
    <cellStyle name="40% - Accent5 4 3 2 10" xfId="26274"/>
    <cellStyle name="40% - Accent5 4 3 2 10 2" xfId="26275"/>
    <cellStyle name="40% - Accent5 4 3 2 11" xfId="26276"/>
    <cellStyle name="40% - Accent5 4 3 2 12" xfId="26277"/>
    <cellStyle name="40% - Accent5 4 3 2 2" xfId="2449"/>
    <cellStyle name="40% - Accent5 4 3 2 2 10" xfId="26278"/>
    <cellStyle name="40% - Accent5 4 3 2 2 2" xfId="2450"/>
    <cellStyle name="40% - Accent5 4 3 2 2 2 2" xfId="26279"/>
    <cellStyle name="40% - Accent5 4 3 2 2 2 2 2" xfId="26280"/>
    <cellStyle name="40% - Accent5 4 3 2 2 2 2 2 2" xfId="26281"/>
    <cellStyle name="40% - Accent5 4 3 2 2 2 2 2 3" xfId="26282"/>
    <cellStyle name="40% - Accent5 4 3 2 2 2 2 3" xfId="26283"/>
    <cellStyle name="40% - Accent5 4 3 2 2 2 2 3 2" xfId="26284"/>
    <cellStyle name="40% - Accent5 4 3 2 2 2 2 3 3" xfId="26285"/>
    <cellStyle name="40% - Accent5 4 3 2 2 2 2 4" xfId="26286"/>
    <cellStyle name="40% - Accent5 4 3 2 2 2 2 4 2" xfId="26287"/>
    <cellStyle name="40% - Accent5 4 3 2 2 2 2 5" xfId="26288"/>
    <cellStyle name="40% - Accent5 4 3 2 2 2 2 6" xfId="26289"/>
    <cellStyle name="40% - Accent5 4 3 2 2 2 3" xfId="26290"/>
    <cellStyle name="40% - Accent5 4 3 2 2 2 3 2" xfId="26291"/>
    <cellStyle name="40% - Accent5 4 3 2 2 2 3 2 2" xfId="26292"/>
    <cellStyle name="40% - Accent5 4 3 2 2 2 3 2 3" xfId="26293"/>
    <cellStyle name="40% - Accent5 4 3 2 2 2 3 3" xfId="26294"/>
    <cellStyle name="40% - Accent5 4 3 2 2 2 3 3 2" xfId="26295"/>
    <cellStyle name="40% - Accent5 4 3 2 2 2 3 3 3" xfId="26296"/>
    <cellStyle name="40% - Accent5 4 3 2 2 2 3 4" xfId="26297"/>
    <cellStyle name="40% - Accent5 4 3 2 2 2 3 4 2" xfId="26298"/>
    <cellStyle name="40% - Accent5 4 3 2 2 2 3 5" xfId="26299"/>
    <cellStyle name="40% - Accent5 4 3 2 2 2 3 6" xfId="26300"/>
    <cellStyle name="40% - Accent5 4 3 2 2 2 4" xfId="26301"/>
    <cellStyle name="40% - Accent5 4 3 2 2 2 4 2" xfId="26302"/>
    <cellStyle name="40% - Accent5 4 3 2 2 2 4 2 2" xfId="26303"/>
    <cellStyle name="40% - Accent5 4 3 2 2 2 4 2 3" xfId="26304"/>
    <cellStyle name="40% - Accent5 4 3 2 2 2 4 3" xfId="26305"/>
    <cellStyle name="40% - Accent5 4 3 2 2 2 4 3 2" xfId="26306"/>
    <cellStyle name="40% - Accent5 4 3 2 2 2 4 4" xfId="26307"/>
    <cellStyle name="40% - Accent5 4 3 2 2 2 4 5" xfId="26308"/>
    <cellStyle name="40% - Accent5 4 3 2 2 2 5" xfId="26309"/>
    <cellStyle name="40% - Accent5 4 3 2 2 2 5 2" xfId="26310"/>
    <cellStyle name="40% - Accent5 4 3 2 2 2 5 3" xfId="26311"/>
    <cellStyle name="40% - Accent5 4 3 2 2 2 6" xfId="26312"/>
    <cellStyle name="40% - Accent5 4 3 2 2 2 6 2" xfId="26313"/>
    <cellStyle name="40% - Accent5 4 3 2 2 2 6 3" xfId="26314"/>
    <cellStyle name="40% - Accent5 4 3 2 2 2 7" xfId="26315"/>
    <cellStyle name="40% - Accent5 4 3 2 2 2 7 2" xfId="26316"/>
    <cellStyle name="40% - Accent5 4 3 2 2 2 8" xfId="26317"/>
    <cellStyle name="40% - Accent5 4 3 2 2 2 9" xfId="26318"/>
    <cellStyle name="40% - Accent5 4 3 2 2 3" xfId="26319"/>
    <cellStyle name="40% - Accent5 4 3 2 2 3 2" xfId="26320"/>
    <cellStyle name="40% - Accent5 4 3 2 2 3 2 2" xfId="26321"/>
    <cellStyle name="40% - Accent5 4 3 2 2 3 2 3" xfId="26322"/>
    <cellStyle name="40% - Accent5 4 3 2 2 3 3" xfId="26323"/>
    <cellStyle name="40% - Accent5 4 3 2 2 3 3 2" xfId="26324"/>
    <cellStyle name="40% - Accent5 4 3 2 2 3 3 3" xfId="26325"/>
    <cellStyle name="40% - Accent5 4 3 2 2 3 4" xfId="26326"/>
    <cellStyle name="40% - Accent5 4 3 2 2 3 4 2" xfId="26327"/>
    <cellStyle name="40% - Accent5 4 3 2 2 3 5" xfId="26328"/>
    <cellStyle name="40% - Accent5 4 3 2 2 3 6" xfId="26329"/>
    <cellStyle name="40% - Accent5 4 3 2 2 4" xfId="26330"/>
    <cellStyle name="40% - Accent5 4 3 2 2 4 2" xfId="26331"/>
    <cellStyle name="40% - Accent5 4 3 2 2 4 2 2" xfId="26332"/>
    <cellStyle name="40% - Accent5 4 3 2 2 4 2 3" xfId="26333"/>
    <cellStyle name="40% - Accent5 4 3 2 2 4 3" xfId="26334"/>
    <cellStyle name="40% - Accent5 4 3 2 2 4 3 2" xfId="26335"/>
    <cellStyle name="40% - Accent5 4 3 2 2 4 3 3" xfId="26336"/>
    <cellStyle name="40% - Accent5 4 3 2 2 4 4" xfId="26337"/>
    <cellStyle name="40% - Accent5 4 3 2 2 4 4 2" xfId="26338"/>
    <cellStyle name="40% - Accent5 4 3 2 2 4 5" xfId="26339"/>
    <cellStyle name="40% - Accent5 4 3 2 2 4 6" xfId="26340"/>
    <cellStyle name="40% - Accent5 4 3 2 2 5" xfId="26341"/>
    <cellStyle name="40% - Accent5 4 3 2 2 5 2" xfId="26342"/>
    <cellStyle name="40% - Accent5 4 3 2 2 5 2 2" xfId="26343"/>
    <cellStyle name="40% - Accent5 4 3 2 2 5 2 3" xfId="26344"/>
    <cellStyle name="40% - Accent5 4 3 2 2 5 3" xfId="26345"/>
    <cellStyle name="40% - Accent5 4 3 2 2 5 3 2" xfId="26346"/>
    <cellStyle name="40% - Accent5 4 3 2 2 5 4" xfId="26347"/>
    <cellStyle name="40% - Accent5 4 3 2 2 5 5" xfId="26348"/>
    <cellStyle name="40% - Accent5 4 3 2 2 6" xfId="26349"/>
    <cellStyle name="40% - Accent5 4 3 2 2 6 2" xfId="26350"/>
    <cellStyle name="40% - Accent5 4 3 2 2 6 3" xfId="26351"/>
    <cellStyle name="40% - Accent5 4 3 2 2 7" xfId="26352"/>
    <cellStyle name="40% - Accent5 4 3 2 2 7 2" xfId="26353"/>
    <cellStyle name="40% - Accent5 4 3 2 2 7 3" xfId="26354"/>
    <cellStyle name="40% - Accent5 4 3 2 2 8" xfId="26355"/>
    <cellStyle name="40% - Accent5 4 3 2 2 8 2" xfId="26356"/>
    <cellStyle name="40% - Accent5 4 3 2 2 9" xfId="26357"/>
    <cellStyle name="40% - Accent5 4 3 2 3" xfId="2451"/>
    <cellStyle name="40% - Accent5 4 3 2 3 2" xfId="26358"/>
    <cellStyle name="40% - Accent5 4 3 2 3 2 2" xfId="26359"/>
    <cellStyle name="40% - Accent5 4 3 2 3 2 2 2" xfId="26360"/>
    <cellStyle name="40% - Accent5 4 3 2 3 2 2 3" xfId="26361"/>
    <cellStyle name="40% - Accent5 4 3 2 3 2 3" xfId="26362"/>
    <cellStyle name="40% - Accent5 4 3 2 3 2 3 2" xfId="26363"/>
    <cellStyle name="40% - Accent5 4 3 2 3 2 3 3" xfId="26364"/>
    <cellStyle name="40% - Accent5 4 3 2 3 2 4" xfId="26365"/>
    <cellStyle name="40% - Accent5 4 3 2 3 2 4 2" xfId="26366"/>
    <cellStyle name="40% - Accent5 4 3 2 3 2 5" xfId="26367"/>
    <cellStyle name="40% - Accent5 4 3 2 3 2 6" xfId="26368"/>
    <cellStyle name="40% - Accent5 4 3 2 3 3" xfId="26369"/>
    <cellStyle name="40% - Accent5 4 3 2 3 3 2" xfId="26370"/>
    <cellStyle name="40% - Accent5 4 3 2 3 3 2 2" xfId="26371"/>
    <cellStyle name="40% - Accent5 4 3 2 3 3 2 3" xfId="26372"/>
    <cellStyle name="40% - Accent5 4 3 2 3 3 3" xfId="26373"/>
    <cellStyle name="40% - Accent5 4 3 2 3 3 3 2" xfId="26374"/>
    <cellStyle name="40% - Accent5 4 3 2 3 3 3 3" xfId="26375"/>
    <cellStyle name="40% - Accent5 4 3 2 3 3 4" xfId="26376"/>
    <cellStyle name="40% - Accent5 4 3 2 3 3 4 2" xfId="26377"/>
    <cellStyle name="40% - Accent5 4 3 2 3 3 5" xfId="26378"/>
    <cellStyle name="40% - Accent5 4 3 2 3 3 6" xfId="26379"/>
    <cellStyle name="40% - Accent5 4 3 2 3 4" xfId="26380"/>
    <cellStyle name="40% - Accent5 4 3 2 3 4 2" xfId="26381"/>
    <cellStyle name="40% - Accent5 4 3 2 3 4 2 2" xfId="26382"/>
    <cellStyle name="40% - Accent5 4 3 2 3 4 2 3" xfId="26383"/>
    <cellStyle name="40% - Accent5 4 3 2 3 4 3" xfId="26384"/>
    <cellStyle name="40% - Accent5 4 3 2 3 4 3 2" xfId="26385"/>
    <cellStyle name="40% - Accent5 4 3 2 3 4 4" xfId="26386"/>
    <cellStyle name="40% - Accent5 4 3 2 3 4 5" xfId="26387"/>
    <cellStyle name="40% - Accent5 4 3 2 3 5" xfId="26388"/>
    <cellStyle name="40% - Accent5 4 3 2 3 5 2" xfId="26389"/>
    <cellStyle name="40% - Accent5 4 3 2 3 5 3" xfId="26390"/>
    <cellStyle name="40% - Accent5 4 3 2 3 6" xfId="26391"/>
    <cellStyle name="40% - Accent5 4 3 2 3 6 2" xfId="26392"/>
    <cellStyle name="40% - Accent5 4 3 2 3 6 3" xfId="26393"/>
    <cellStyle name="40% - Accent5 4 3 2 3 7" xfId="26394"/>
    <cellStyle name="40% - Accent5 4 3 2 3 7 2" xfId="26395"/>
    <cellStyle name="40% - Accent5 4 3 2 3 8" xfId="26396"/>
    <cellStyle name="40% - Accent5 4 3 2 3 9" xfId="26397"/>
    <cellStyle name="40% - Accent5 4 3 2 4" xfId="26398"/>
    <cellStyle name="40% - Accent5 4 3 2 4 2" xfId="26399"/>
    <cellStyle name="40% - Accent5 4 3 2 4 2 2" xfId="26400"/>
    <cellStyle name="40% - Accent5 4 3 2 4 2 2 2" xfId="26401"/>
    <cellStyle name="40% - Accent5 4 3 2 4 2 2 3" xfId="26402"/>
    <cellStyle name="40% - Accent5 4 3 2 4 2 3" xfId="26403"/>
    <cellStyle name="40% - Accent5 4 3 2 4 2 3 2" xfId="26404"/>
    <cellStyle name="40% - Accent5 4 3 2 4 2 3 3" xfId="26405"/>
    <cellStyle name="40% - Accent5 4 3 2 4 2 4" xfId="26406"/>
    <cellStyle name="40% - Accent5 4 3 2 4 2 4 2" xfId="26407"/>
    <cellStyle name="40% - Accent5 4 3 2 4 2 5" xfId="26408"/>
    <cellStyle name="40% - Accent5 4 3 2 4 2 6" xfId="26409"/>
    <cellStyle name="40% - Accent5 4 3 2 4 3" xfId="26410"/>
    <cellStyle name="40% - Accent5 4 3 2 4 3 2" xfId="26411"/>
    <cellStyle name="40% - Accent5 4 3 2 4 3 2 2" xfId="26412"/>
    <cellStyle name="40% - Accent5 4 3 2 4 3 2 3" xfId="26413"/>
    <cellStyle name="40% - Accent5 4 3 2 4 3 3" xfId="26414"/>
    <cellStyle name="40% - Accent5 4 3 2 4 3 3 2" xfId="26415"/>
    <cellStyle name="40% - Accent5 4 3 2 4 3 3 3" xfId="26416"/>
    <cellStyle name="40% - Accent5 4 3 2 4 3 4" xfId="26417"/>
    <cellStyle name="40% - Accent5 4 3 2 4 3 4 2" xfId="26418"/>
    <cellStyle name="40% - Accent5 4 3 2 4 3 5" xfId="26419"/>
    <cellStyle name="40% - Accent5 4 3 2 4 3 6" xfId="26420"/>
    <cellStyle name="40% - Accent5 4 3 2 4 4" xfId="26421"/>
    <cellStyle name="40% - Accent5 4 3 2 4 4 2" xfId="26422"/>
    <cellStyle name="40% - Accent5 4 3 2 4 4 2 2" xfId="26423"/>
    <cellStyle name="40% - Accent5 4 3 2 4 4 2 3" xfId="26424"/>
    <cellStyle name="40% - Accent5 4 3 2 4 4 3" xfId="26425"/>
    <cellStyle name="40% - Accent5 4 3 2 4 4 3 2" xfId="26426"/>
    <cellStyle name="40% - Accent5 4 3 2 4 4 4" xfId="26427"/>
    <cellStyle name="40% - Accent5 4 3 2 4 4 5" xfId="26428"/>
    <cellStyle name="40% - Accent5 4 3 2 4 5" xfId="26429"/>
    <cellStyle name="40% - Accent5 4 3 2 4 5 2" xfId="26430"/>
    <cellStyle name="40% - Accent5 4 3 2 4 5 3" xfId="26431"/>
    <cellStyle name="40% - Accent5 4 3 2 4 6" xfId="26432"/>
    <cellStyle name="40% - Accent5 4 3 2 4 6 2" xfId="26433"/>
    <cellStyle name="40% - Accent5 4 3 2 4 6 3" xfId="26434"/>
    <cellStyle name="40% - Accent5 4 3 2 4 7" xfId="26435"/>
    <cellStyle name="40% - Accent5 4 3 2 4 7 2" xfId="26436"/>
    <cellStyle name="40% - Accent5 4 3 2 4 8" xfId="26437"/>
    <cellStyle name="40% - Accent5 4 3 2 4 9" xfId="26438"/>
    <cellStyle name="40% - Accent5 4 3 2 5" xfId="26439"/>
    <cellStyle name="40% - Accent5 4 3 2 5 2" xfId="26440"/>
    <cellStyle name="40% - Accent5 4 3 2 5 2 2" xfId="26441"/>
    <cellStyle name="40% - Accent5 4 3 2 5 2 3" xfId="26442"/>
    <cellStyle name="40% - Accent5 4 3 2 5 3" xfId="26443"/>
    <cellStyle name="40% - Accent5 4 3 2 5 3 2" xfId="26444"/>
    <cellStyle name="40% - Accent5 4 3 2 5 3 3" xfId="26445"/>
    <cellStyle name="40% - Accent5 4 3 2 5 4" xfId="26446"/>
    <cellStyle name="40% - Accent5 4 3 2 5 4 2" xfId="26447"/>
    <cellStyle name="40% - Accent5 4 3 2 5 5" xfId="26448"/>
    <cellStyle name="40% - Accent5 4 3 2 5 6" xfId="26449"/>
    <cellStyle name="40% - Accent5 4 3 2 6" xfId="26450"/>
    <cellStyle name="40% - Accent5 4 3 2 6 2" xfId="26451"/>
    <cellStyle name="40% - Accent5 4 3 2 6 2 2" xfId="26452"/>
    <cellStyle name="40% - Accent5 4 3 2 6 2 3" xfId="26453"/>
    <cellStyle name="40% - Accent5 4 3 2 6 3" xfId="26454"/>
    <cellStyle name="40% - Accent5 4 3 2 6 3 2" xfId="26455"/>
    <cellStyle name="40% - Accent5 4 3 2 6 3 3" xfId="26456"/>
    <cellStyle name="40% - Accent5 4 3 2 6 4" xfId="26457"/>
    <cellStyle name="40% - Accent5 4 3 2 6 4 2" xfId="26458"/>
    <cellStyle name="40% - Accent5 4 3 2 6 5" xfId="26459"/>
    <cellStyle name="40% - Accent5 4 3 2 6 6" xfId="26460"/>
    <cellStyle name="40% - Accent5 4 3 2 7" xfId="26461"/>
    <cellStyle name="40% - Accent5 4 3 2 7 2" xfId="26462"/>
    <cellStyle name="40% - Accent5 4 3 2 7 2 2" xfId="26463"/>
    <cellStyle name="40% - Accent5 4 3 2 7 2 3" xfId="26464"/>
    <cellStyle name="40% - Accent5 4 3 2 7 3" xfId="26465"/>
    <cellStyle name="40% - Accent5 4 3 2 7 3 2" xfId="26466"/>
    <cellStyle name="40% - Accent5 4 3 2 7 4" xfId="26467"/>
    <cellStyle name="40% - Accent5 4 3 2 7 5" xfId="26468"/>
    <cellStyle name="40% - Accent5 4 3 2 8" xfId="26469"/>
    <cellStyle name="40% - Accent5 4 3 2 8 2" xfId="26470"/>
    <cellStyle name="40% - Accent5 4 3 2 8 3" xfId="26471"/>
    <cellStyle name="40% - Accent5 4 3 2 9" xfId="26472"/>
    <cellStyle name="40% - Accent5 4 3 2 9 2" xfId="26473"/>
    <cellStyle name="40% - Accent5 4 3 2 9 3" xfId="26474"/>
    <cellStyle name="40% - Accent5 4 3 3" xfId="2452"/>
    <cellStyle name="40% - Accent5 4 3 3 10" xfId="26475"/>
    <cellStyle name="40% - Accent5 4 3 3 2" xfId="2453"/>
    <cellStyle name="40% - Accent5 4 3 3 2 2" xfId="26476"/>
    <cellStyle name="40% - Accent5 4 3 3 2 2 2" xfId="26477"/>
    <cellStyle name="40% - Accent5 4 3 3 2 2 2 2" xfId="26478"/>
    <cellStyle name="40% - Accent5 4 3 3 2 2 2 3" xfId="26479"/>
    <cellStyle name="40% - Accent5 4 3 3 2 2 3" xfId="26480"/>
    <cellStyle name="40% - Accent5 4 3 3 2 2 3 2" xfId="26481"/>
    <cellStyle name="40% - Accent5 4 3 3 2 2 3 3" xfId="26482"/>
    <cellStyle name="40% - Accent5 4 3 3 2 2 4" xfId="26483"/>
    <cellStyle name="40% - Accent5 4 3 3 2 2 4 2" xfId="26484"/>
    <cellStyle name="40% - Accent5 4 3 3 2 2 5" xfId="26485"/>
    <cellStyle name="40% - Accent5 4 3 3 2 2 6" xfId="26486"/>
    <cellStyle name="40% - Accent5 4 3 3 2 3" xfId="26487"/>
    <cellStyle name="40% - Accent5 4 3 3 2 3 2" xfId="26488"/>
    <cellStyle name="40% - Accent5 4 3 3 2 3 2 2" xfId="26489"/>
    <cellStyle name="40% - Accent5 4 3 3 2 3 2 3" xfId="26490"/>
    <cellStyle name="40% - Accent5 4 3 3 2 3 3" xfId="26491"/>
    <cellStyle name="40% - Accent5 4 3 3 2 3 3 2" xfId="26492"/>
    <cellStyle name="40% - Accent5 4 3 3 2 3 3 3" xfId="26493"/>
    <cellStyle name="40% - Accent5 4 3 3 2 3 4" xfId="26494"/>
    <cellStyle name="40% - Accent5 4 3 3 2 3 4 2" xfId="26495"/>
    <cellStyle name="40% - Accent5 4 3 3 2 3 5" xfId="26496"/>
    <cellStyle name="40% - Accent5 4 3 3 2 3 6" xfId="26497"/>
    <cellStyle name="40% - Accent5 4 3 3 2 4" xfId="26498"/>
    <cellStyle name="40% - Accent5 4 3 3 2 4 2" xfId="26499"/>
    <cellStyle name="40% - Accent5 4 3 3 2 4 2 2" xfId="26500"/>
    <cellStyle name="40% - Accent5 4 3 3 2 4 2 3" xfId="26501"/>
    <cellStyle name="40% - Accent5 4 3 3 2 4 3" xfId="26502"/>
    <cellStyle name="40% - Accent5 4 3 3 2 4 3 2" xfId="26503"/>
    <cellStyle name="40% - Accent5 4 3 3 2 4 4" xfId="26504"/>
    <cellStyle name="40% - Accent5 4 3 3 2 4 5" xfId="26505"/>
    <cellStyle name="40% - Accent5 4 3 3 2 5" xfId="26506"/>
    <cellStyle name="40% - Accent5 4 3 3 2 5 2" xfId="26507"/>
    <cellStyle name="40% - Accent5 4 3 3 2 5 3" xfId="26508"/>
    <cellStyle name="40% - Accent5 4 3 3 2 6" xfId="26509"/>
    <cellStyle name="40% - Accent5 4 3 3 2 6 2" xfId="26510"/>
    <cellStyle name="40% - Accent5 4 3 3 2 6 3" xfId="26511"/>
    <cellStyle name="40% - Accent5 4 3 3 2 7" xfId="26512"/>
    <cellStyle name="40% - Accent5 4 3 3 2 7 2" xfId="26513"/>
    <cellStyle name="40% - Accent5 4 3 3 2 8" xfId="26514"/>
    <cellStyle name="40% - Accent5 4 3 3 2 9" xfId="26515"/>
    <cellStyle name="40% - Accent5 4 3 3 3" xfId="26516"/>
    <cellStyle name="40% - Accent5 4 3 3 3 2" xfId="26517"/>
    <cellStyle name="40% - Accent5 4 3 3 3 2 2" xfId="26518"/>
    <cellStyle name="40% - Accent5 4 3 3 3 2 3" xfId="26519"/>
    <cellStyle name="40% - Accent5 4 3 3 3 3" xfId="26520"/>
    <cellStyle name="40% - Accent5 4 3 3 3 3 2" xfId="26521"/>
    <cellStyle name="40% - Accent5 4 3 3 3 3 3" xfId="26522"/>
    <cellStyle name="40% - Accent5 4 3 3 3 4" xfId="26523"/>
    <cellStyle name="40% - Accent5 4 3 3 3 4 2" xfId="26524"/>
    <cellStyle name="40% - Accent5 4 3 3 3 5" xfId="26525"/>
    <cellStyle name="40% - Accent5 4 3 3 3 6" xfId="26526"/>
    <cellStyle name="40% - Accent5 4 3 3 4" xfId="26527"/>
    <cellStyle name="40% - Accent5 4 3 3 4 2" xfId="26528"/>
    <cellStyle name="40% - Accent5 4 3 3 4 2 2" xfId="26529"/>
    <cellStyle name="40% - Accent5 4 3 3 4 2 3" xfId="26530"/>
    <cellStyle name="40% - Accent5 4 3 3 4 3" xfId="26531"/>
    <cellStyle name="40% - Accent5 4 3 3 4 3 2" xfId="26532"/>
    <cellStyle name="40% - Accent5 4 3 3 4 3 3" xfId="26533"/>
    <cellStyle name="40% - Accent5 4 3 3 4 4" xfId="26534"/>
    <cellStyle name="40% - Accent5 4 3 3 4 4 2" xfId="26535"/>
    <cellStyle name="40% - Accent5 4 3 3 4 5" xfId="26536"/>
    <cellStyle name="40% - Accent5 4 3 3 4 6" xfId="26537"/>
    <cellStyle name="40% - Accent5 4 3 3 5" xfId="26538"/>
    <cellStyle name="40% - Accent5 4 3 3 5 2" xfId="26539"/>
    <cellStyle name="40% - Accent5 4 3 3 5 2 2" xfId="26540"/>
    <cellStyle name="40% - Accent5 4 3 3 5 2 3" xfId="26541"/>
    <cellStyle name="40% - Accent5 4 3 3 5 3" xfId="26542"/>
    <cellStyle name="40% - Accent5 4 3 3 5 3 2" xfId="26543"/>
    <cellStyle name="40% - Accent5 4 3 3 5 4" xfId="26544"/>
    <cellStyle name="40% - Accent5 4 3 3 5 5" xfId="26545"/>
    <cellStyle name="40% - Accent5 4 3 3 6" xfId="26546"/>
    <cellStyle name="40% - Accent5 4 3 3 6 2" xfId="26547"/>
    <cellStyle name="40% - Accent5 4 3 3 6 3" xfId="26548"/>
    <cellStyle name="40% - Accent5 4 3 3 7" xfId="26549"/>
    <cellStyle name="40% - Accent5 4 3 3 7 2" xfId="26550"/>
    <cellStyle name="40% - Accent5 4 3 3 7 3" xfId="26551"/>
    <cellStyle name="40% - Accent5 4 3 3 8" xfId="26552"/>
    <cellStyle name="40% - Accent5 4 3 3 8 2" xfId="26553"/>
    <cellStyle name="40% - Accent5 4 3 3 9" xfId="26554"/>
    <cellStyle name="40% - Accent5 4 3 4" xfId="2454"/>
    <cellStyle name="40% - Accent5 4 3 4 2" xfId="26555"/>
    <cellStyle name="40% - Accent5 4 3 4 2 2" xfId="26556"/>
    <cellStyle name="40% - Accent5 4 3 4 2 2 2" xfId="26557"/>
    <cellStyle name="40% - Accent5 4 3 4 2 2 3" xfId="26558"/>
    <cellStyle name="40% - Accent5 4 3 4 2 3" xfId="26559"/>
    <cellStyle name="40% - Accent5 4 3 4 2 3 2" xfId="26560"/>
    <cellStyle name="40% - Accent5 4 3 4 2 3 3" xfId="26561"/>
    <cellStyle name="40% - Accent5 4 3 4 2 4" xfId="26562"/>
    <cellStyle name="40% - Accent5 4 3 4 2 4 2" xfId="26563"/>
    <cellStyle name="40% - Accent5 4 3 4 2 5" xfId="26564"/>
    <cellStyle name="40% - Accent5 4 3 4 2 6" xfId="26565"/>
    <cellStyle name="40% - Accent5 4 3 4 3" xfId="26566"/>
    <cellStyle name="40% - Accent5 4 3 4 3 2" xfId="26567"/>
    <cellStyle name="40% - Accent5 4 3 4 3 2 2" xfId="26568"/>
    <cellStyle name="40% - Accent5 4 3 4 3 2 3" xfId="26569"/>
    <cellStyle name="40% - Accent5 4 3 4 3 3" xfId="26570"/>
    <cellStyle name="40% - Accent5 4 3 4 3 3 2" xfId="26571"/>
    <cellStyle name="40% - Accent5 4 3 4 3 3 3" xfId="26572"/>
    <cellStyle name="40% - Accent5 4 3 4 3 4" xfId="26573"/>
    <cellStyle name="40% - Accent5 4 3 4 3 4 2" xfId="26574"/>
    <cellStyle name="40% - Accent5 4 3 4 3 5" xfId="26575"/>
    <cellStyle name="40% - Accent5 4 3 4 3 6" xfId="26576"/>
    <cellStyle name="40% - Accent5 4 3 4 4" xfId="26577"/>
    <cellStyle name="40% - Accent5 4 3 4 4 2" xfId="26578"/>
    <cellStyle name="40% - Accent5 4 3 4 4 2 2" xfId="26579"/>
    <cellStyle name="40% - Accent5 4 3 4 4 2 3" xfId="26580"/>
    <cellStyle name="40% - Accent5 4 3 4 4 3" xfId="26581"/>
    <cellStyle name="40% - Accent5 4 3 4 4 3 2" xfId="26582"/>
    <cellStyle name="40% - Accent5 4 3 4 4 4" xfId="26583"/>
    <cellStyle name="40% - Accent5 4 3 4 4 5" xfId="26584"/>
    <cellStyle name="40% - Accent5 4 3 4 5" xfId="26585"/>
    <cellStyle name="40% - Accent5 4 3 4 5 2" xfId="26586"/>
    <cellStyle name="40% - Accent5 4 3 4 5 3" xfId="26587"/>
    <cellStyle name="40% - Accent5 4 3 4 6" xfId="26588"/>
    <cellStyle name="40% - Accent5 4 3 4 6 2" xfId="26589"/>
    <cellStyle name="40% - Accent5 4 3 4 6 3" xfId="26590"/>
    <cellStyle name="40% - Accent5 4 3 4 7" xfId="26591"/>
    <cellStyle name="40% - Accent5 4 3 4 7 2" xfId="26592"/>
    <cellStyle name="40% - Accent5 4 3 4 8" xfId="26593"/>
    <cellStyle name="40% - Accent5 4 3 4 9" xfId="26594"/>
    <cellStyle name="40% - Accent5 4 3 5" xfId="26595"/>
    <cellStyle name="40% - Accent5 4 3 5 2" xfId="26596"/>
    <cellStyle name="40% - Accent5 4 3 5 2 2" xfId="26597"/>
    <cellStyle name="40% - Accent5 4 3 5 2 2 2" xfId="26598"/>
    <cellStyle name="40% - Accent5 4 3 5 2 2 3" xfId="26599"/>
    <cellStyle name="40% - Accent5 4 3 5 2 3" xfId="26600"/>
    <cellStyle name="40% - Accent5 4 3 5 2 3 2" xfId="26601"/>
    <cellStyle name="40% - Accent5 4 3 5 2 3 3" xfId="26602"/>
    <cellStyle name="40% - Accent5 4 3 5 2 4" xfId="26603"/>
    <cellStyle name="40% - Accent5 4 3 5 2 4 2" xfId="26604"/>
    <cellStyle name="40% - Accent5 4 3 5 2 5" xfId="26605"/>
    <cellStyle name="40% - Accent5 4 3 5 2 6" xfId="26606"/>
    <cellStyle name="40% - Accent5 4 3 5 3" xfId="26607"/>
    <cellStyle name="40% - Accent5 4 3 5 3 2" xfId="26608"/>
    <cellStyle name="40% - Accent5 4 3 5 3 2 2" xfId="26609"/>
    <cellStyle name="40% - Accent5 4 3 5 3 2 3" xfId="26610"/>
    <cellStyle name="40% - Accent5 4 3 5 3 3" xfId="26611"/>
    <cellStyle name="40% - Accent5 4 3 5 3 3 2" xfId="26612"/>
    <cellStyle name="40% - Accent5 4 3 5 3 3 3" xfId="26613"/>
    <cellStyle name="40% - Accent5 4 3 5 3 4" xfId="26614"/>
    <cellStyle name="40% - Accent5 4 3 5 3 4 2" xfId="26615"/>
    <cellStyle name="40% - Accent5 4 3 5 3 5" xfId="26616"/>
    <cellStyle name="40% - Accent5 4 3 5 3 6" xfId="26617"/>
    <cellStyle name="40% - Accent5 4 3 5 4" xfId="26618"/>
    <cellStyle name="40% - Accent5 4 3 5 4 2" xfId="26619"/>
    <cellStyle name="40% - Accent5 4 3 5 4 2 2" xfId="26620"/>
    <cellStyle name="40% - Accent5 4 3 5 4 2 3" xfId="26621"/>
    <cellStyle name="40% - Accent5 4 3 5 4 3" xfId="26622"/>
    <cellStyle name="40% - Accent5 4 3 5 4 3 2" xfId="26623"/>
    <cellStyle name="40% - Accent5 4 3 5 4 4" xfId="26624"/>
    <cellStyle name="40% - Accent5 4 3 5 4 5" xfId="26625"/>
    <cellStyle name="40% - Accent5 4 3 5 5" xfId="26626"/>
    <cellStyle name="40% - Accent5 4 3 5 5 2" xfId="26627"/>
    <cellStyle name="40% - Accent5 4 3 5 5 3" xfId="26628"/>
    <cellStyle name="40% - Accent5 4 3 5 6" xfId="26629"/>
    <cellStyle name="40% - Accent5 4 3 5 6 2" xfId="26630"/>
    <cellStyle name="40% - Accent5 4 3 5 6 3" xfId="26631"/>
    <cellStyle name="40% - Accent5 4 3 5 7" xfId="26632"/>
    <cellStyle name="40% - Accent5 4 3 5 7 2" xfId="26633"/>
    <cellStyle name="40% - Accent5 4 3 5 8" xfId="26634"/>
    <cellStyle name="40% - Accent5 4 3 5 9" xfId="26635"/>
    <cellStyle name="40% - Accent5 4 3 6" xfId="26636"/>
    <cellStyle name="40% - Accent5 4 3 6 2" xfId="26637"/>
    <cellStyle name="40% - Accent5 4 3 6 2 2" xfId="26638"/>
    <cellStyle name="40% - Accent5 4 3 6 2 3" xfId="26639"/>
    <cellStyle name="40% - Accent5 4 3 6 3" xfId="26640"/>
    <cellStyle name="40% - Accent5 4 3 6 3 2" xfId="26641"/>
    <cellStyle name="40% - Accent5 4 3 6 3 3" xfId="26642"/>
    <cellStyle name="40% - Accent5 4 3 6 4" xfId="26643"/>
    <cellStyle name="40% - Accent5 4 3 6 4 2" xfId="26644"/>
    <cellStyle name="40% - Accent5 4 3 6 5" xfId="26645"/>
    <cellStyle name="40% - Accent5 4 3 6 6" xfId="26646"/>
    <cellStyle name="40% - Accent5 4 3 7" xfId="26647"/>
    <cellStyle name="40% - Accent5 4 3 7 2" xfId="26648"/>
    <cellStyle name="40% - Accent5 4 3 7 2 2" xfId="26649"/>
    <cellStyle name="40% - Accent5 4 3 7 2 3" xfId="26650"/>
    <cellStyle name="40% - Accent5 4 3 7 3" xfId="26651"/>
    <cellStyle name="40% - Accent5 4 3 7 3 2" xfId="26652"/>
    <cellStyle name="40% - Accent5 4 3 7 3 3" xfId="26653"/>
    <cellStyle name="40% - Accent5 4 3 7 4" xfId="26654"/>
    <cellStyle name="40% - Accent5 4 3 7 4 2" xfId="26655"/>
    <cellStyle name="40% - Accent5 4 3 7 5" xfId="26656"/>
    <cellStyle name="40% - Accent5 4 3 7 6" xfId="26657"/>
    <cellStyle name="40% - Accent5 4 3 8" xfId="26658"/>
    <cellStyle name="40% - Accent5 4 3 8 2" xfId="26659"/>
    <cellStyle name="40% - Accent5 4 3 8 2 2" xfId="26660"/>
    <cellStyle name="40% - Accent5 4 3 8 2 3" xfId="26661"/>
    <cellStyle name="40% - Accent5 4 3 8 3" xfId="26662"/>
    <cellStyle name="40% - Accent5 4 3 8 3 2" xfId="26663"/>
    <cellStyle name="40% - Accent5 4 3 8 4" xfId="26664"/>
    <cellStyle name="40% - Accent5 4 3 8 5" xfId="26665"/>
    <cellStyle name="40% - Accent5 4 3 9" xfId="26666"/>
    <cellStyle name="40% - Accent5 4 3 9 2" xfId="26667"/>
    <cellStyle name="40% - Accent5 4 3 9 3" xfId="26668"/>
    <cellStyle name="40% - Accent5 4 4" xfId="2455"/>
    <cellStyle name="40% - Accent5 4 4 10" xfId="26669"/>
    <cellStyle name="40% - Accent5 4 4 10 2" xfId="26670"/>
    <cellStyle name="40% - Accent5 4 4 11" xfId="26671"/>
    <cellStyle name="40% - Accent5 4 4 12" xfId="26672"/>
    <cellStyle name="40% - Accent5 4 4 2" xfId="2456"/>
    <cellStyle name="40% - Accent5 4 4 2 10" xfId="26673"/>
    <cellStyle name="40% - Accent5 4 4 2 2" xfId="2457"/>
    <cellStyle name="40% - Accent5 4 4 2 2 2" xfId="26674"/>
    <cellStyle name="40% - Accent5 4 4 2 2 2 2" xfId="26675"/>
    <cellStyle name="40% - Accent5 4 4 2 2 2 2 2" xfId="26676"/>
    <cellStyle name="40% - Accent5 4 4 2 2 2 2 3" xfId="26677"/>
    <cellStyle name="40% - Accent5 4 4 2 2 2 3" xfId="26678"/>
    <cellStyle name="40% - Accent5 4 4 2 2 2 3 2" xfId="26679"/>
    <cellStyle name="40% - Accent5 4 4 2 2 2 3 3" xfId="26680"/>
    <cellStyle name="40% - Accent5 4 4 2 2 2 4" xfId="26681"/>
    <cellStyle name="40% - Accent5 4 4 2 2 2 4 2" xfId="26682"/>
    <cellStyle name="40% - Accent5 4 4 2 2 2 5" xfId="26683"/>
    <cellStyle name="40% - Accent5 4 4 2 2 2 6" xfId="26684"/>
    <cellStyle name="40% - Accent5 4 4 2 2 3" xfId="26685"/>
    <cellStyle name="40% - Accent5 4 4 2 2 3 2" xfId="26686"/>
    <cellStyle name="40% - Accent5 4 4 2 2 3 2 2" xfId="26687"/>
    <cellStyle name="40% - Accent5 4 4 2 2 3 2 3" xfId="26688"/>
    <cellStyle name="40% - Accent5 4 4 2 2 3 3" xfId="26689"/>
    <cellStyle name="40% - Accent5 4 4 2 2 3 3 2" xfId="26690"/>
    <cellStyle name="40% - Accent5 4 4 2 2 3 3 3" xfId="26691"/>
    <cellStyle name="40% - Accent5 4 4 2 2 3 4" xfId="26692"/>
    <cellStyle name="40% - Accent5 4 4 2 2 3 4 2" xfId="26693"/>
    <cellStyle name="40% - Accent5 4 4 2 2 3 5" xfId="26694"/>
    <cellStyle name="40% - Accent5 4 4 2 2 3 6" xfId="26695"/>
    <cellStyle name="40% - Accent5 4 4 2 2 4" xfId="26696"/>
    <cellStyle name="40% - Accent5 4 4 2 2 4 2" xfId="26697"/>
    <cellStyle name="40% - Accent5 4 4 2 2 4 2 2" xfId="26698"/>
    <cellStyle name="40% - Accent5 4 4 2 2 4 2 3" xfId="26699"/>
    <cellStyle name="40% - Accent5 4 4 2 2 4 3" xfId="26700"/>
    <cellStyle name="40% - Accent5 4 4 2 2 4 3 2" xfId="26701"/>
    <cellStyle name="40% - Accent5 4 4 2 2 4 4" xfId="26702"/>
    <cellStyle name="40% - Accent5 4 4 2 2 4 5" xfId="26703"/>
    <cellStyle name="40% - Accent5 4 4 2 2 5" xfId="26704"/>
    <cellStyle name="40% - Accent5 4 4 2 2 5 2" xfId="26705"/>
    <cellStyle name="40% - Accent5 4 4 2 2 5 3" xfId="26706"/>
    <cellStyle name="40% - Accent5 4 4 2 2 6" xfId="26707"/>
    <cellStyle name="40% - Accent5 4 4 2 2 6 2" xfId="26708"/>
    <cellStyle name="40% - Accent5 4 4 2 2 6 3" xfId="26709"/>
    <cellStyle name="40% - Accent5 4 4 2 2 7" xfId="26710"/>
    <cellStyle name="40% - Accent5 4 4 2 2 7 2" xfId="26711"/>
    <cellStyle name="40% - Accent5 4 4 2 2 8" xfId="26712"/>
    <cellStyle name="40% - Accent5 4 4 2 2 9" xfId="26713"/>
    <cellStyle name="40% - Accent5 4 4 2 3" xfId="26714"/>
    <cellStyle name="40% - Accent5 4 4 2 3 2" xfId="26715"/>
    <cellStyle name="40% - Accent5 4 4 2 3 2 2" xfId="26716"/>
    <cellStyle name="40% - Accent5 4 4 2 3 2 3" xfId="26717"/>
    <cellStyle name="40% - Accent5 4 4 2 3 3" xfId="26718"/>
    <cellStyle name="40% - Accent5 4 4 2 3 3 2" xfId="26719"/>
    <cellStyle name="40% - Accent5 4 4 2 3 3 3" xfId="26720"/>
    <cellStyle name="40% - Accent5 4 4 2 3 4" xfId="26721"/>
    <cellStyle name="40% - Accent5 4 4 2 3 4 2" xfId="26722"/>
    <cellStyle name="40% - Accent5 4 4 2 3 5" xfId="26723"/>
    <cellStyle name="40% - Accent5 4 4 2 3 6" xfId="26724"/>
    <cellStyle name="40% - Accent5 4 4 2 4" xfId="26725"/>
    <cellStyle name="40% - Accent5 4 4 2 4 2" xfId="26726"/>
    <cellStyle name="40% - Accent5 4 4 2 4 2 2" xfId="26727"/>
    <cellStyle name="40% - Accent5 4 4 2 4 2 3" xfId="26728"/>
    <cellStyle name="40% - Accent5 4 4 2 4 3" xfId="26729"/>
    <cellStyle name="40% - Accent5 4 4 2 4 3 2" xfId="26730"/>
    <cellStyle name="40% - Accent5 4 4 2 4 3 3" xfId="26731"/>
    <cellStyle name="40% - Accent5 4 4 2 4 4" xfId="26732"/>
    <cellStyle name="40% - Accent5 4 4 2 4 4 2" xfId="26733"/>
    <cellStyle name="40% - Accent5 4 4 2 4 5" xfId="26734"/>
    <cellStyle name="40% - Accent5 4 4 2 4 6" xfId="26735"/>
    <cellStyle name="40% - Accent5 4 4 2 5" xfId="26736"/>
    <cellStyle name="40% - Accent5 4 4 2 5 2" xfId="26737"/>
    <cellStyle name="40% - Accent5 4 4 2 5 2 2" xfId="26738"/>
    <cellStyle name="40% - Accent5 4 4 2 5 2 3" xfId="26739"/>
    <cellStyle name="40% - Accent5 4 4 2 5 3" xfId="26740"/>
    <cellStyle name="40% - Accent5 4 4 2 5 3 2" xfId="26741"/>
    <cellStyle name="40% - Accent5 4 4 2 5 4" xfId="26742"/>
    <cellStyle name="40% - Accent5 4 4 2 5 5" xfId="26743"/>
    <cellStyle name="40% - Accent5 4 4 2 6" xfId="26744"/>
    <cellStyle name="40% - Accent5 4 4 2 6 2" xfId="26745"/>
    <cellStyle name="40% - Accent5 4 4 2 6 3" xfId="26746"/>
    <cellStyle name="40% - Accent5 4 4 2 7" xfId="26747"/>
    <cellStyle name="40% - Accent5 4 4 2 7 2" xfId="26748"/>
    <cellStyle name="40% - Accent5 4 4 2 7 3" xfId="26749"/>
    <cellStyle name="40% - Accent5 4 4 2 8" xfId="26750"/>
    <cellStyle name="40% - Accent5 4 4 2 8 2" xfId="26751"/>
    <cellStyle name="40% - Accent5 4 4 2 9" xfId="26752"/>
    <cellStyle name="40% - Accent5 4 4 3" xfId="2458"/>
    <cellStyle name="40% - Accent5 4 4 3 2" xfId="26753"/>
    <cellStyle name="40% - Accent5 4 4 3 2 2" xfId="26754"/>
    <cellStyle name="40% - Accent5 4 4 3 2 2 2" xfId="26755"/>
    <cellStyle name="40% - Accent5 4 4 3 2 2 3" xfId="26756"/>
    <cellStyle name="40% - Accent5 4 4 3 2 3" xfId="26757"/>
    <cellStyle name="40% - Accent5 4 4 3 2 3 2" xfId="26758"/>
    <cellStyle name="40% - Accent5 4 4 3 2 3 3" xfId="26759"/>
    <cellStyle name="40% - Accent5 4 4 3 2 4" xfId="26760"/>
    <cellStyle name="40% - Accent5 4 4 3 2 4 2" xfId="26761"/>
    <cellStyle name="40% - Accent5 4 4 3 2 5" xfId="26762"/>
    <cellStyle name="40% - Accent5 4 4 3 2 6" xfId="26763"/>
    <cellStyle name="40% - Accent5 4 4 3 3" xfId="26764"/>
    <cellStyle name="40% - Accent5 4 4 3 3 2" xfId="26765"/>
    <cellStyle name="40% - Accent5 4 4 3 3 2 2" xfId="26766"/>
    <cellStyle name="40% - Accent5 4 4 3 3 2 3" xfId="26767"/>
    <cellStyle name="40% - Accent5 4 4 3 3 3" xfId="26768"/>
    <cellStyle name="40% - Accent5 4 4 3 3 3 2" xfId="26769"/>
    <cellStyle name="40% - Accent5 4 4 3 3 3 3" xfId="26770"/>
    <cellStyle name="40% - Accent5 4 4 3 3 4" xfId="26771"/>
    <cellStyle name="40% - Accent5 4 4 3 3 4 2" xfId="26772"/>
    <cellStyle name="40% - Accent5 4 4 3 3 5" xfId="26773"/>
    <cellStyle name="40% - Accent5 4 4 3 3 6" xfId="26774"/>
    <cellStyle name="40% - Accent5 4 4 3 4" xfId="26775"/>
    <cellStyle name="40% - Accent5 4 4 3 4 2" xfId="26776"/>
    <cellStyle name="40% - Accent5 4 4 3 4 2 2" xfId="26777"/>
    <cellStyle name="40% - Accent5 4 4 3 4 2 3" xfId="26778"/>
    <cellStyle name="40% - Accent5 4 4 3 4 3" xfId="26779"/>
    <cellStyle name="40% - Accent5 4 4 3 4 3 2" xfId="26780"/>
    <cellStyle name="40% - Accent5 4 4 3 4 4" xfId="26781"/>
    <cellStyle name="40% - Accent5 4 4 3 4 5" xfId="26782"/>
    <cellStyle name="40% - Accent5 4 4 3 5" xfId="26783"/>
    <cellStyle name="40% - Accent5 4 4 3 5 2" xfId="26784"/>
    <cellStyle name="40% - Accent5 4 4 3 5 3" xfId="26785"/>
    <cellStyle name="40% - Accent5 4 4 3 6" xfId="26786"/>
    <cellStyle name="40% - Accent5 4 4 3 6 2" xfId="26787"/>
    <cellStyle name="40% - Accent5 4 4 3 6 3" xfId="26788"/>
    <cellStyle name="40% - Accent5 4 4 3 7" xfId="26789"/>
    <cellStyle name="40% - Accent5 4 4 3 7 2" xfId="26790"/>
    <cellStyle name="40% - Accent5 4 4 3 8" xfId="26791"/>
    <cellStyle name="40% - Accent5 4 4 3 9" xfId="26792"/>
    <cellStyle name="40% - Accent5 4 4 4" xfId="26793"/>
    <cellStyle name="40% - Accent5 4 4 4 2" xfId="26794"/>
    <cellStyle name="40% - Accent5 4 4 4 2 2" xfId="26795"/>
    <cellStyle name="40% - Accent5 4 4 4 2 2 2" xfId="26796"/>
    <cellStyle name="40% - Accent5 4 4 4 2 2 3" xfId="26797"/>
    <cellStyle name="40% - Accent5 4 4 4 2 3" xfId="26798"/>
    <cellStyle name="40% - Accent5 4 4 4 2 3 2" xfId="26799"/>
    <cellStyle name="40% - Accent5 4 4 4 2 3 3" xfId="26800"/>
    <cellStyle name="40% - Accent5 4 4 4 2 4" xfId="26801"/>
    <cellStyle name="40% - Accent5 4 4 4 2 4 2" xfId="26802"/>
    <cellStyle name="40% - Accent5 4 4 4 2 5" xfId="26803"/>
    <cellStyle name="40% - Accent5 4 4 4 2 6" xfId="26804"/>
    <cellStyle name="40% - Accent5 4 4 4 3" xfId="26805"/>
    <cellStyle name="40% - Accent5 4 4 4 3 2" xfId="26806"/>
    <cellStyle name="40% - Accent5 4 4 4 3 2 2" xfId="26807"/>
    <cellStyle name="40% - Accent5 4 4 4 3 2 3" xfId="26808"/>
    <cellStyle name="40% - Accent5 4 4 4 3 3" xfId="26809"/>
    <cellStyle name="40% - Accent5 4 4 4 3 3 2" xfId="26810"/>
    <cellStyle name="40% - Accent5 4 4 4 3 3 3" xfId="26811"/>
    <cellStyle name="40% - Accent5 4 4 4 3 4" xfId="26812"/>
    <cellStyle name="40% - Accent5 4 4 4 3 4 2" xfId="26813"/>
    <cellStyle name="40% - Accent5 4 4 4 3 5" xfId="26814"/>
    <cellStyle name="40% - Accent5 4 4 4 3 6" xfId="26815"/>
    <cellStyle name="40% - Accent5 4 4 4 4" xfId="26816"/>
    <cellStyle name="40% - Accent5 4 4 4 4 2" xfId="26817"/>
    <cellStyle name="40% - Accent5 4 4 4 4 2 2" xfId="26818"/>
    <cellStyle name="40% - Accent5 4 4 4 4 2 3" xfId="26819"/>
    <cellStyle name="40% - Accent5 4 4 4 4 3" xfId="26820"/>
    <cellStyle name="40% - Accent5 4 4 4 4 3 2" xfId="26821"/>
    <cellStyle name="40% - Accent5 4 4 4 4 4" xfId="26822"/>
    <cellStyle name="40% - Accent5 4 4 4 4 5" xfId="26823"/>
    <cellStyle name="40% - Accent5 4 4 4 5" xfId="26824"/>
    <cellStyle name="40% - Accent5 4 4 4 5 2" xfId="26825"/>
    <cellStyle name="40% - Accent5 4 4 4 5 3" xfId="26826"/>
    <cellStyle name="40% - Accent5 4 4 4 6" xfId="26827"/>
    <cellStyle name="40% - Accent5 4 4 4 6 2" xfId="26828"/>
    <cellStyle name="40% - Accent5 4 4 4 6 3" xfId="26829"/>
    <cellStyle name="40% - Accent5 4 4 4 7" xfId="26830"/>
    <cellStyle name="40% - Accent5 4 4 4 7 2" xfId="26831"/>
    <cellStyle name="40% - Accent5 4 4 4 8" xfId="26832"/>
    <cellStyle name="40% - Accent5 4 4 4 9" xfId="26833"/>
    <cellStyle name="40% - Accent5 4 4 5" xfId="26834"/>
    <cellStyle name="40% - Accent5 4 4 5 2" xfId="26835"/>
    <cellStyle name="40% - Accent5 4 4 5 2 2" xfId="26836"/>
    <cellStyle name="40% - Accent5 4 4 5 2 3" xfId="26837"/>
    <cellStyle name="40% - Accent5 4 4 5 3" xfId="26838"/>
    <cellStyle name="40% - Accent5 4 4 5 3 2" xfId="26839"/>
    <cellStyle name="40% - Accent5 4 4 5 3 3" xfId="26840"/>
    <cellStyle name="40% - Accent5 4 4 5 4" xfId="26841"/>
    <cellStyle name="40% - Accent5 4 4 5 4 2" xfId="26842"/>
    <cellStyle name="40% - Accent5 4 4 5 5" xfId="26843"/>
    <cellStyle name="40% - Accent5 4 4 5 6" xfId="26844"/>
    <cellStyle name="40% - Accent5 4 4 6" xfId="26845"/>
    <cellStyle name="40% - Accent5 4 4 6 2" xfId="26846"/>
    <cellStyle name="40% - Accent5 4 4 6 2 2" xfId="26847"/>
    <cellStyle name="40% - Accent5 4 4 6 2 3" xfId="26848"/>
    <cellStyle name="40% - Accent5 4 4 6 3" xfId="26849"/>
    <cellStyle name="40% - Accent5 4 4 6 3 2" xfId="26850"/>
    <cellStyle name="40% - Accent5 4 4 6 3 3" xfId="26851"/>
    <cellStyle name="40% - Accent5 4 4 6 4" xfId="26852"/>
    <cellStyle name="40% - Accent5 4 4 6 4 2" xfId="26853"/>
    <cellStyle name="40% - Accent5 4 4 6 5" xfId="26854"/>
    <cellStyle name="40% - Accent5 4 4 6 6" xfId="26855"/>
    <cellStyle name="40% - Accent5 4 4 7" xfId="26856"/>
    <cellStyle name="40% - Accent5 4 4 7 2" xfId="26857"/>
    <cellStyle name="40% - Accent5 4 4 7 2 2" xfId="26858"/>
    <cellStyle name="40% - Accent5 4 4 7 2 3" xfId="26859"/>
    <cellStyle name="40% - Accent5 4 4 7 3" xfId="26860"/>
    <cellStyle name="40% - Accent5 4 4 7 3 2" xfId="26861"/>
    <cellStyle name="40% - Accent5 4 4 7 4" xfId="26862"/>
    <cellStyle name="40% - Accent5 4 4 7 5" xfId="26863"/>
    <cellStyle name="40% - Accent5 4 4 8" xfId="26864"/>
    <cellStyle name="40% - Accent5 4 4 8 2" xfId="26865"/>
    <cellStyle name="40% - Accent5 4 4 8 3" xfId="26866"/>
    <cellStyle name="40% - Accent5 4 4 9" xfId="26867"/>
    <cellStyle name="40% - Accent5 4 4 9 2" xfId="26868"/>
    <cellStyle name="40% - Accent5 4 4 9 3" xfId="26869"/>
    <cellStyle name="40% - Accent5 4 5" xfId="2459"/>
    <cellStyle name="40% - Accent5 4 5 10" xfId="26870"/>
    <cellStyle name="40% - Accent5 4 5 2" xfId="2460"/>
    <cellStyle name="40% - Accent5 4 5 2 2" xfId="26871"/>
    <cellStyle name="40% - Accent5 4 5 2 2 2" xfId="26872"/>
    <cellStyle name="40% - Accent5 4 5 2 2 2 2" xfId="26873"/>
    <cellStyle name="40% - Accent5 4 5 2 2 2 3" xfId="26874"/>
    <cellStyle name="40% - Accent5 4 5 2 2 3" xfId="26875"/>
    <cellStyle name="40% - Accent5 4 5 2 2 3 2" xfId="26876"/>
    <cellStyle name="40% - Accent5 4 5 2 2 3 3" xfId="26877"/>
    <cellStyle name="40% - Accent5 4 5 2 2 4" xfId="26878"/>
    <cellStyle name="40% - Accent5 4 5 2 2 4 2" xfId="26879"/>
    <cellStyle name="40% - Accent5 4 5 2 2 5" xfId="26880"/>
    <cellStyle name="40% - Accent5 4 5 2 2 6" xfId="26881"/>
    <cellStyle name="40% - Accent5 4 5 2 3" xfId="26882"/>
    <cellStyle name="40% - Accent5 4 5 2 3 2" xfId="26883"/>
    <cellStyle name="40% - Accent5 4 5 2 3 2 2" xfId="26884"/>
    <cellStyle name="40% - Accent5 4 5 2 3 2 3" xfId="26885"/>
    <cellStyle name="40% - Accent5 4 5 2 3 3" xfId="26886"/>
    <cellStyle name="40% - Accent5 4 5 2 3 3 2" xfId="26887"/>
    <cellStyle name="40% - Accent5 4 5 2 3 3 3" xfId="26888"/>
    <cellStyle name="40% - Accent5 4 5 2 3 4" xfId="26889"/>
    <cellStyle name="40% - Accent5 4 5 2 3 4 2" xfId="26890"/>
    <cellStyle name="40% - Accent5 4 5 2 3 5" xfId="26891"/>
    <cellStyle name="40% - Accent5 4 5 2 3 6" xfId="26892"/>
    <cellStyle name="40% - Accent5 4 5 2 4" xfId="26893"/>
    <cellStyle name="40% - Accent5 4 5 2 4 2" xfId="26894"/>
    <cellStyle name="40% - Accent5 4 5 2 4 2 2" xfId="26895"/>
    <cellStyle name="40% - Accent5 4 5 2 4 2 3" xfId="26896"/>
    <cellStyle name="40% - Accent5 4 5 2 4 3" xfId="26897"/>
    <cellStyle name="40% - Accent5 4 5 2 4 3 2" xfId="26898"/>
    <cellStyle name="40% - Accent5 4 5 2 4 4" xfId="26899"/>
    <cellStyle name="40% - Accent5 4 5 2 4 5" xfId="26900"/>
    <cellStyle name="40% - Accent5 4 5 2 5" xfId="26901"/>
    <cellStyle name="40% - Accent5 4 5 2 5 2" xfId="26902"/>
    <cellStyle name="40% - Accent5 4 5 2 5 3" xfId="26903"/>
    <cellStyle name="40% - Accent5 4 5 2 6" xfId="26904"/>
    <cellStyle name="40% - Accent5 4 5 2 6 2" xfId="26905"/>
    <cellStyle name="40% - Accent5 4 5 2 6 3" xfId="26906"/>
    <cellStyle name="40% - Accent5 4 5 2 7" xfId="26907"/>
    <cellStyle name="40% - Accent5 4 5 2 7 2" xfId="26908"/>
    <cellStyle name="40% - Accent5 4 5 2 8" xfId="26909"/>
    <cellStyle name="40% - Accent5 4 5 2 9" xfId="26910"/>
    <cellStyle name="40% - Accent5 4 5 3" xfId="26911"/>
    <cellStyle name="40% - Accent5 4 5 3 2" xfId="26912"/>
    <cellStyle name="40% - Accent5 4 5 3 2 2" xfId="26913"/>
    <cellStyle name="40% - Accent5 4 5 3 2 3" xfId="26914"/>
    <cellStyle name="40% - Accent5 4 5 3 3" xfId="26915"/>
    <cellStyle name="40% - Accent5 4 5 3 3 2" xfId="26916"/>
    <cellStyle name="40% - Accent5 4 5 3 3 3" xfId="26917"/>
    <cellStyle name="40% - Accent5 4 5 3 4" xfId="26918"/>
    <cellStyle name="40% - Accent5 4 5 3 4 2" xfId="26919"/>
    <cellStyle name="40% - Accent5 4 5 3 5" xfId="26920"/>
    <cellStyle name="40% - Accent5 4 5 3 6" xfId="26921"/>
    <cellStyle name="40% - Accent5 4 5 4" xfId="26922"/>
    <cellStyle name="40% - Accent5 4 5 4 2" xfId="26923"/>
    <cellStyle name="40% - Accent5 4 5 4 2 2" xfId="26924"/>
    <cellStyle name="40% - Accent5 4 5 4 2 3" xfId="26925"/>
    <cellStyle name="40% - Accent5 4 5 4 3" xfId="26926"/>
    <cellStyle name="40% - Accent5 4 5 4 3 2" xfId="26927"/>
    <cellStyle name="40% - Accent5 4 5 4 3 3" xfId="26928"/>
    <cellStyle name="40% - Accent5 4 5 4 4" xfId="26929"/>
    <cellStyle name="40% - Accent5 4 5 4 4 2" xfId="26930"/>
    <cellStyle name="40% - Accent5 4 5 4 5" xfId="26931"/>
    <cellStyle name="40% - Accent5 4 5 4 6" xfId="26932"/>
    <cellStyle name="40% - Accent5 4 5 5" xfId="26933"/>
    <cellStyle name="40% - Accent5 4 5 5 2" xfId="26934"/>
    <cellStyle name="40% - Accent5 4 5 5 2 2" xfId="26935"/>
    <cellStyle name="40% - Accent5 4 5 5 2 3" xfId="26936"/>
    <cellStyle name="40% - Accent5 4 5 5 3" xfId="26937"/>
    <cellStyle name="40% - Accent5 4 5 5 3 2" xfId="26938"/>
    <cellStyle name="40% - Accent5 4 5 5 4" xfId="26939"/>
    <cellStyle name="40% - Accent5 4 5 5 5" xfId="26940"/>
    <cellStyle name="40% - Accent5 4 5 6" xfId="26941"/>
    <cellStyle name="40% - Accent5 4 5 6 2" xfId="26942"/>
    <cellStyle name="40% - Accent5 4 5 6 3" xfId="26943"/>
    <cellStyle name="40% - Accent5 4 5 7" xfId="26944"/>
    <cellStyle name="40% - Accent5 4 5 7 2" xfId="26945"/>
    <cellStyle name="40% - Accent5 4 5 7 3" xfId="26946"/>
    <cellStyle name="40% - Accent5 4 5 8" xfId="26947"/>
    <cellStyle name="40% - Accent5 4 5 8 2" xfId="26948"/>
    <cellStyle name="40% - Accent5 4 5 9" xfId="26949"/>
    <cellStyle name="40% - Accent5 4 6" xfId="2461"/>
    <cellStyle name="40% - Accent5 4 6 2" xfId="26950"/>
    <cellStyle name="40% - Accent5 4 6 2 2" xfId="26951"/>
    <cellStyle name="40% - Accent5 4 6 2 2 2" xfId="26952"/>
    <cellStyle name="40% - Accent5 4 6 2 2 3" xfId="26953"/>
    <cellStyle name="40% - Accent5 4 6 2 3" xfId="26954"/>
    <cellStyle name="40% - Accent5 4 6 2 3 2" xfId="26955"/>
    <cellStyle name="40% - Accent5 4 6 2 3 3" xfId="26956"/>
    <cellStyle name="40% - Accent5 4 6 2 4" xfId="26957"/>
    <cellStyle name="40% - Accent5 4 6 2 4 2" xfId="26958"/>
    <cellStyle name="40% - Accent5 4 6 2 5" xfId="26959"/>
    <cellStyle name="40% - Accent5 4 6 2 6" xfId="26960"/>
    <cellStyle name="40% - Accent5 4 6 3" xfId="26961"/>
    <cellStyle name="40% - Accent5 4 6 3 2" xfId="26962"/>
    <cellStyle name="40% - Accent5 4 6 3 2 2" xfId="26963"/>
    <cellStyle name="40% - Accent5 4 6 3 2 3" xfId="26964"/>
    <cellStyle name="40% - Accent5 4 6 3 3" xfId="26965"/>
    <cellStyle name="40% - Accent5 4 6 3 3 2" xfId="26966"/>
    <cellStyle name="40% - Accent5 4 6 3 3 3" xfId="26967"/>
    <cellStyle name="40% - Accent5 4 6 3 4" xfId="26968"/>
    <cellStyle name="40% - Accent5 4 6 3 4 2" xfId="26969"/>
    <cellStyle name="40% - Accent5 4 6 3 5" xfId="26970"/>
    <cellStyle name="40% - Accent5 4 6 3 6" xfId="26971"/>
    <cellStyle name="40% - Accent5 4 6 4" xfId="26972"/>
    <cellStyle name="40% - Accent5 4 6 4 2" xfId="26973"/>
    <cellStyle name="40% - Accent5 4 6 4 2 2" xfId="26974"/>
    <cellStyle name="40% - Accent5 4 6 4 2 3" xfId="26975"/>
    <cellStyle name="40% - Accent5 4 6 4 3" xfId="26976"/>
    <cellStyle name="40% - Accent5 4 6 4 3 2" xfId="26977"/>
    <cellStyle name="40% - Accent5 4 6 4 4" xfId="26978"/>
    <cellStyle name="40% - Accent5 4 6 4 5" xfId="26979"/>
    <cellStyle name="40% - Accent5 4 6 5" xfId="26980"/>
    <cellStyle name="40% - Accent5 4 6 5 2" xfId="26981"/>
    <cellStyle name="40% - Accent5 4 6 5 3" xfId="26982"/>
    <cellStyle name="40% - Accent5 4 6 6" xfId="26983"/>
    <cellStyle name="40% - Accent5 4 6 6 2" xfId="26984"/>
    <cellStyle name="40% - Accent5 4 6 6 3" xfId="26985"/>
    <cellStyle name="40% - Accent5 4 6 7" xfId="26986"/>
    <cellStyle name="40% - Accent5 4 6 7 2" xfId="26987"/>
    <cellStyle name="40% - Accent5 4 6 8" xfId="26988"/>
    <cellStyle name="40% - Accent5 4 6 9" xfId="26989"/>
    <cellStyle name="40% - Accent5 4 7" xfId="9033"/>
    <cellStyle name="40% - Accent5 4 7 2" xfId="26990"/>
    <cellStyle name="40% - Accent5 4 7 2 2" xfId="26991"/>
    <cellStyle name="40% - Accent5 4 7 2 2 2" xfId="26992"/>
    <cellStyle name="40% - Accent5 4 7 2 2 3" xfId="26993"/>
    <cellStyle name="40% - Accent5 4 7 2 3" xfId="26994"/>
    <cellStyle name="40% - Accent5 4 7 2 3 2" xfId="26995"/>
    <cellStyle name="40% - Accent5 4 7 2 3 3" xfId="26996"/>
    <cellStyle name="40% - Accent5 4 7 2 4" xfId="26997"/>
    <cellStyle name="40% - Accent5 4 7 2 4 2" xfId="26998"/>
    <cellStyle name="40% - Accent5 4 7 2 5" xfId="26999"/>
    <cellStyle name="40% - Accent5 4 7 2 6" xfId="27000"/>
    <cellStyle name="40% - Accent5 4 7 3" xfId="27001"/>
    <cellStyle name="40% - Accent5 4 7 3 2" xfId="27002"/>
    <cellStyle name="40% - Accent5 4 7 3 2 2" xfId="27003"/>
    <cellStyle name="40% - Accent5 4 7 3 2 3" xfId="27004"/>
    <cellStyle name="40% - Accent5 4 7 3 3" xfId="27005"/>
    <cellStyle name="40% - Accent5 4 7 3 3 2" xfId="27006"/>
    <cellStyle name="40% - Accent5 4 7 3 3 3" xfId="27007"/>
    <cellStyle name="40% - Accent5 4 7 3 4" xfId="27008"/>
    <cellStyle name="40% - Accent5 4 7 3 4 2" xfId="27009"/>
    <cellStyle name="40% - Accent5 4 7 3 5" xfId="27010"/>
    <cellStyle name="40% - Accent5 4 7 3 6" xfId="27011"/>
    <cellStyle name="40% - Accent5 4 7 4" xfId="27012"/>
    <cellStyle name="40% - Accent5 4 7 4 2" xfId="27013"/>
    <cellStyle name="40% - Accent5 4 7 4 2 2" xfId="27014"/>
    <cellStyle name="40% - Accent5 4 7 4 2 3" xfId="27015"/>
    <cellStyle name="40% - Accent5 4 7 4 3" xfId="27016"/>
    <cellStyle name="40% - Accent5 4 7 4 3 2" xfId="27017"/>
    <cellStyle name="40% - Accent5 4 7 4 4" xfId="27018"/>
    <cellStyle name="40% - Accent5 4 7 4 5" xfId="27019"/>
    <cellStyle name="40% - Accent5 4 7 5" xfId="27020"/>
    <cellStyle name="40% - Accent5 4 7 5 2" xfId="27021"/>
    <cellStyle name="40% - Accent5 4 7 5 3" xfId="27022"/>
    <cellStyle name="40% - Accent5 4 7 6" xfId="27023"/>
    <cellStyle name="40% - Accent5 4 7 6 2" xfId="27024"/>
    <cellStyle name="40% - Accent5 4 7 6 3" xfId="27025"/>
    <cellStyle name="40% - Accent5 4 7 7" xfId="27026"/>
    <cellStyle name="40% - Accent5 4 7 7 2" xfId="27027"/>
    <cellStyle name="40% - Accent5 4 7 8" xfId="27028"/>
    <cellStyle name="40% - Accent5 4 7 9" xfId="27029"/>
    <cellStyle name="40% - Accent5 4 8" xfId="27030"/>
    <cellStyle name="40% - Accent5 4 8 2" xfId="27031"/>
    <cellStyle name="40% - Accent5 4 8 2 2" xfId="27032"/>
    <cellStyle name="40% - Accent5 4 8 2 3" xfId="27033"/>
    <cellStyle name="40% - Accent5 4 8 3" xfId="27034"/>
    <cellStyle name="40% - Accent5 4 8 3 2" xfId="27035"/>
    <cellStyle name="40% - Accent5 4 8 3 3" xfId="27036"/>
    <cellStyle name="40% - Accent5 4 8 4" xfId="27037"/>
    <cellStyle name="40% - Accent5 4 8 4 2" xfId="27038"/>
    <cellStyle name="40% - Accent5 4 8 5" xfId="27039"/>
    <cellStyle name="40% - Accent5 4 8 6" xfId="27040"/>
    <cellStyle name="40% - Accent5 4 9" xfId="27041"/>
    <cellStyle name="40% - Accent5 4 9 2" xfId="27042"/>
    <cellStyle name="40% - Accent5 4 9 2 2" xfId="27043"/>
    <cellStyle name="40% - Accent5 4 9 2 3" xfId="27044"/>
    <cellStyle name="40% - Accent5 4 9 3" xfId="27045"/>
    <cellStyle name="40% - Accent5 4 9 3 2" xfId="27046"/>
    <cellStyle name="40% - Accent5 4 9 3 3" xfId="27047"/>
    <cellStyle name="40% - Accent5 4 9 4" xfId="27048"/>
    <cellStyle name="40% - Accent5 4 9 4 2" xfId="27049"/>
    <cellStyle name="40% - Accent5 4 9 5" xfId="27050"/>
    <cellStyle name="40% - Accent5 4 9 6" xfId="27051"/>
    <cellStyle name="40% - Accent5 5" xfId="2462"/>
    <cellStyle name="40% - Accent5 5 2" xfId="2463"/>
    <cellStyle name="40% - Accent5 5 2 2" xfId="2464"/>
    <cellStyle name="40% - Accent5 5 2 2 2" xfId="2465"/>
    <cellStyle name="40% - Accent5 5 2 2 2 2" xfId="2466"/>
    <cellStyle name="40% - Accent5 5 2 2 3" xfId="2467"/>
    <cellStyle name="40% - Accent5 5 2 3" xfId="2468"/>
    <cellStyle name="40% - Accent5 5 2 3 2" xfId="2469"/>
    <cellStyle name="40% - Accent5 5 2 4" xfId="2470"/>
    <cellStyle name="40% - Accent5 5 2 5" xfId="58278"/>
    <cellStyle name="40% - Accent5 5 3" xfId="2471"/>
    <cellStyle name="40% - Accent5 5 3 2" xfId="2472"/>
    <cellStyle name="40% - Accent5 5 3 2 2" xfId="2473"/>
    <cellStyle name="40% - Accent5 5 3 3" xfId="2474"/>
    <cellStyle name="40% - Accent5 5 4" xfId="2475"/>
    <cellStyle name="40% - Accent5 5 4 2" xfId="2476"/>
    <cellStyle name="40% - Accent5 5 5" xfId="2477"/>
    <cellStyle name="40% - Accent5 5 6" xfId="9034"/>
    <cellStyle name="40% - Accent5 6" xfId="2478"/>
    <cellStyle name="40% - Accent5 6 2" xfId="2479"/>
    <cellStyle name="40% - Accent5 6 2 2" xfId="2480"/>
    <cellStyle name="40% - Accent5 6 2 2 2" xfId="2481"/>
    <cellStyle name="40% - Accent5 6 2 3" xfId="2482"/>
    <cellStyle name="40% - Accent5 6 2 4" xfId="58279"/>
    <cellStyle name="40% - Accent5 6 2 5" xfId="58280"/>
    <cellStyle name="40% - Accent5 6 3" xfId="2483"/>
    <cellStyle name="40% - Accent5 6 3 2" xfId="2484"/>
    <cellStyle name="40% - Accent5 6 4" xfId="2485"/>
    <cellStyle name="40% - Accent5 6 5" xfId="58281"/>
    <cellStyle name="40% - Accent5 7" xfId="2486"/>
    <cellStyle name="40% - Accent5 7 2" xfId="2487"/>
    <cellStyle name="40% - Accent5 7 2 2" xfId="2488"/>
    <cellStyle name="40% - Accent5 7 2 2 2" xfId="2489"/>
    <cellStyle name="40% - Accent5 7 2 3" xfId="2490"/>
    <cellStyle name="40% - Accent5 7 3" xfId="2491"/>
    <cellStyle name="40% - Accent5 7 3 2" xfId="2492"/>
    <cellStyle name="40% - Accent5 7 4" xfId="2493"/>
    <cellStyle name="40% - Accent5 7 5" xfId="58282"/>
    <cellStyle name="40% - Accent5 8" xfId="2494"/>
    <cellStyle name="40% - Accent5 8 2" xfId="2495"/>
    <cellStyle name="40% - Accent5 8 2 2" xfId="2496"/>
    <cellStyle name="40% - Accent5 8 2 2 2" xfId="2497"/>
    <cellStyle name="40% - Accent5 8 2 3" xfId="2498"/>
    <cellStyle name="40% - Accent5 8 3" xfId="2499"/>
    <cellStyle name="40% - Accent5 8 3 2" xfId="2500"/>
    <cellStyle name="40% - Accent5 8 4" xfId="2501"/>
    <cellStyle name="40% - Accent5 8 5" xfId="58283"/>
    <cellStyle name="40% - Accent5 9" xfId="2502"/>
    <cellStyle name="40% - Accent5 9 2" xfId="2503"/>
    <cellStyle name="40% - Accent5 9 2 2" xfId="2504"/>
    <cellStyle name="40% - Accent5 9 3" xfId="2505"/>
    <cellStyle name="40% - Accent5 9 4" xfId="58284"/>
    <cellStyle name="40% - Accent6 10" xfId="2506"/>
    <cellStyle name="40% - Accent6 10 2" xfId="2507"/>
    <cellStyle name="40% - Accent6 10 2 2" xfId="2508"/>
    <cellStyle name="40% - Accent6 10 3" xfId="2509"/>
    <cellStyle name="40% - Accent6 10 4" xfId="58285"/>
    <cellStyle name="40% - Accent6 11" xfId="2510"/>
    <cellStyle name="40% - Accent6 11 2" xfId="2511"/>
    <cellStyle name="40% - Accent6 11 2 2" xfId="2512"/>
    <cellStyle name="40% - Accent6 11 3" xfId="2513"/>
    <cellStyle name="40% - Accent6 11 4" xfId="58286"/>
    <cellStyle name="40% - Accent6 12" xfId="2514"/>
    <cellStyle name="40% - Accent6 12 2" xfId="2515"/>
    <cellStyle name="40% - Accent6 12 3" xfId="58287"/>
    <cellStyle name="40% - Accent6 13" xfId="2516"/>
    <cellStyle name="40% - Accent6 13 2" xfId="58288"/>
    <cellStyle name="40% - Accent6 14" xfId="9035"/>
    <cellStyle name="40% - Accent6 15" xfId="27052"/>
    <cellStyle name="40% - Accent6 16" xfId="27053"/>
    <cellStyle name="40% - Accent6 17" xfId="27054"/>
    <cellStyle name="40% - Accent6 17 2" xfId="58289"/>
    <cellStyle name="40% - Accent6 18" xfId="58290"/>
    <cellStyle name="40% - Accent6 19" xfId="58291"/>
    <cellStyle name="40% - Accent6 2" xfId="2517"/>
    <cellStyle name="40% - Accent6 2 2" xfId="2518"/>
    <cellStyle name="40% - Accent6 2 2 2" xfId="2519"/>
    <cellStyle name="40% - Accent6 2 2 2 2" xfId="2520"/>
    <cellStyle name="40% - Accent6 2 2 2 2 2" xfId="2521"/>
    <cellStyle name="40% - Accent6 2 2 2 2 2 2" xfId="2522"/>
    <cellStyle name="40% - Accent6 2 2 2 2 2 2 2" xfId="2523"/>
    <cellStyle name="40% - Accent6 2 2 2 2 2 3" xfId="2524"/>
    <cellStyle name="40% - Accent6 2 2 2 2 3" xfId="2525"/>
    <cellStyle name="40% - Accent6 2 2 2 2 3 2" xfId="2526"/>
    <cellStyle name="40% - Accent6 2 2 2 2 4" xfId="2527"/>
    <cellStyle name="40% - Accent6 2 2 2 2 5" xfId="58292"/>
    <cellStyle name="40% - Accent6 2 2 2 3" xfId="2528"/>
    <cellStyle name="40% - Accent6 2 2 2 3 2" xfId="2529"/>
    <cellStyle name="40% - Accent6 2 2 2 3 2 2" xfId="2530"/>
    <cellStyle name="40% - Accent6 2 2 2 3 3" xfId="2531"/>
    <cellStyle name="40% - Accent6 2 2 2 4" xfId="2532"/>
    <cellStyle name="40% - Accent6 2 2 2 4 2" xfId="2533"/>
    <cellStyle name="40% - Accent6 2 2 2 5" xfId="2534"/>
    <cellStyle name="40% - Accent6 2 2 2 6" xfId="58293"/>
    <cellStyle name="40% - Accent6 2 2 3" xfId="2535"/>
    <cellStyle name="40% - Accent6 2 2 3 2" xfId="2536"/>
    <cellStyle name="40% - Accent6 2 2 3 2 2" xfId="2537"/>
    <cellStyle name="40% - Accent6 2 2 3 2 2 2" xfId="2538"/>
    <cellStyle name="40% - Accent6 2 2 3 2 3" xfId="2539"/>
    <cellStyle name="40% - Accent6 2 2 3 3" xfId="2540"/>
    <cellStyle name="40% - Accent6 2 2 3 3 2" xfId="2541"/>
    <cellStyle name="40% - Accent6 2 2 3 4" xfId="2542"/>
    <cellStyle name="40% - Accent6 2 2 3 5" xfId="58294"/>
    <cellStyle name="40% - Accent6 2 2 4" xfId="2543"/>
    <cellStyle name="40% - Accent6 2 2 4 2" xfId="2544"/>
    <cellStyle name="40% - Accent6 2 2 4 2 2" xfId="2545"/>
    <cellStyle name="40% - Accent6 2 2 4 3" xfId="2546"/>
    <cellStyle name="40% - Accent6 2 2 5" xfId="2547"/>
    <cellStyle name="40% - Accent6 2 2 5 2" xfId="2548"/>
    <cellStyle name="40% - Accent6 2 2 6" xfId="2549"/>
    <cellStyle name="40% - Accent6 2 2 7" xfId="58295"/>
    <cellStyle name="40% - Accent6 2 3" xfId="2550"/>
    <cellStyle name="40% - Accent6 2 3 2" xfId="2551"/>
    <cellStyle name="40% - Accent6 2 3 2 2" xfId="2552"/>
    <cellStyle name="40% - Accent6 2 3 2 2 2" xfId="2553"/>
    <cellStyle name="40% - Accent6 2 3 2 2 2 2" xfId="2554"/>
    <cellStyle name="40% - Accent6 2 3 2 2 3" xfId="2555"/>
    <cellStyle name="40% - Accent6 2 3 2 3" xfId="2556"/>
    <cellStyle name="40% - Accent6 2 3 2 3 2" xfId="2557"/>
    <cellStyle name="40% - Accent6 2 3 2 4" xfId="2558"/>
    <cellStyle name="40% - Accent6 2 3 3" xfId="2559"/>
    <cellStyle name="40% - Accent6 2 3 3 2" xfId="2560"/>
    <cellStyle name="40% - Accent6 2 3 3 2 2" xfId="2561"/>
    <cellStyle name="40% - Accent6 2 3 3 3" xfId="2562"/>
    <cellStyle name="40% - Accent6 2 3 4" xfId="2563"/>
    <cellStyle name="40% - Accent6 2 3 4 2" xfId="2564"/>
    <cellStyle name="40% - Accent6 2 3 5" xfId="2565"/>
    <cellStyle name="40% - Accent6 2 3 6" xfId="58296"/>
    <cellStyle name="40% - Accent6 2 4" xfId="2566"/>
    <cellStyle name="40% - Accent6 2 4 2" xfId="2567"/>
    <cellStyle name="40% - Accent6 2 4 2 2" xfId="2568"/>
    <cellStyle name="40% - Accent6 2 4 2 2 2" xfId="2569"/>
    <cellStyle name="40% - Accent6 2 4 2 3" xfId="2570"/>
    <cellStyle name="40% - Accent6 2 4 3" xfId="2571"/>
    <cellStyle name="40% - Accent6 2 4 3 2" xfId="2572"/>
    <cellStyle name="40% - Accent6 2 4 4" xfId="2573"/>
    <cellStyle name="40% - Accent6 2 4 5" xfId="58297"/>
    <cellStyle name="40% - Accent6 2 5" xfId="2574"/>
    <cellStyle name="40% - Accent6 2 5 2" xfId="2575"/>
    <cellStyle name="40% - Accent6 2 5 2 2" xfId="2576"/>
    <cellStyle name="40% - Accent6 2 5 3" xfId="2577"/>
    <cellStyle name="40% - Accent6 2 5 4" xfId="58298"/>
    <cellStyle name="40% - Accent6 2 6" xfId="2578"/>
    <cellStyle name="40% - Accent6 2 6 2" xfId="2579"/>
    <cellStyle name="40% - Accent6 2 6 3" xfId="58299"/>
    <cellStyle name="40% - Accent6 2 7" xfId="2580"/>
    <cellStyle name="40% - Accent6 2 8" xfId="2581"/>
    <cellStyle name="40% - Accent6 2 9" xfId="58300"/>
    <cellStyle name="40% - Accent6 20" xfId="58301"/>
    <cellStyle name="40% - Accent6 21" xfId="58302"/>
    <cellStyle name="40% - Accent6 3" xfId="2582"/>
    <cellStyle name="40% - Accent6 3 2" xfId="2583"/>
    <cellStyle name="40% - Accent6 3 2 2" xfId="2584"/>
    <cellStyle name="40% - Accent6 3 2 2 2" xfId="2585"/>
    <cellStyle name="40% - Accent6 3 2 2 2 2" xfId="2586"/>
    <cellStyle name="40% - Accent6 3 2 2 2 2 2" xfId="2587"/>
    <cellStyle name="40% - Accent6 3 2 2 2 2 2 2" xfId="2588"/>
    <cellStyle name="40% - Accent6 3 2 2 2 2 3" xfId="2589"/>
    <cellStyle name="40% - Accent6 3 2 2 2 3" xfId="2590"/>
    <cellStyle name="40% - Accent6 3 2 2 2 3 2" xfId="2591"/>
    <cellStyle name="40% - Accent6 3 2 2 2 4" xfId="2592"/>
    <cellStyle name="40% - Accent6 3 2 2 2 5" xfId="9036"/>
    <cellStyle name="40% - Accent6 3 2 2 3" xfId="2593"/>
    <cellStyle name="40% - Accent6 3 2 2 3 2" xfId="2594"/>
    <cellStyle name="40% - Accent6 3 2 2 3 2 2" xfId="2595"/>
    <cellStyle name="40% - Accent6 3 2 2 3 3" xfId="2596"/>
    <cellStyle name="40% - Accent6 3 2 2 4" xfId="2597"/>
    <cellStyle name="40% - Accent6 3 2 2 4 2" xfId="2598"/>
    <cellStyle name="40% - Accent6 3 2 2 5" xfId="2599"/>
    <cellStyle name="40% - Accent6 3 2 2 6" xfId="9037"/>
    <cellStyle name="40% - Accent6 3 2 3" xfId="2600"/>
    <cellStyle name="40% - Accent6 3 2 3 2" xfId="2601"/>
    <cellStyle name="40% - Accent6 3 2 3 2 2" xfId="2602"/>
    <cellStyle name="40% - Accent6 3 2 3 2 2 2" xfId="2603"/>
    <cellStyle name="40% - Accent6 3 2 3 2 3" xfId="2604"/>
    <cellStyle name="40% - Accent6 3 2 3 3" xfId="2605"/>
    <cellStyle name="40% - Accent6 3 2 3 3 2" xfId="2606"/>
    <cellStyle name="40% - Accent6 3 2 3 4" xfId="2607"/>
    <cellStyle name="40% - Accent6 3 2 3 5" xfId="9038"/>
    <cellStyle name="40% - Accent6 3 2 4" xfId="2608"/>
    <cellStyle name="40% - Accent6 3 2 4 2" xfId="2609"/>
    <cellStyle name="40% - Accent6 3 2 4 2 2" xfId="2610"/>
    <cellStyle name="40% - Accent6 3 2 4 3" xfId="2611"/>
    <cellStyle name="40% - Accent6 3 2 5" xfId="2612"/>
    <cellStyle name="40% - Accent6 3 2 5 2" xfId="2613"/>
    <cellStyle name="40% - Accent6 3 2 6" xfId="2614"/>
    <cellStyle name="40% - Accent6 3 2 7" xfId="9039"/>
    <cellStyle name="40% - Accent6 3 3" xfId="2615"/>
    <cellStyle name="40% - Accent6 3 3 2" xfId="2616"/>
    <cellStyle name="40% - Accent6 3 3 2 2" xfId="2617"/>
    <cellStyle name="40% - Accent6 3 3 2 2 2" xfId="2618"/>
    <cellStyle name="40% - Accent6 3 3 2 2 2 2" xfId="2619"/>
    <cellStyle name="40% - Accent6 3 3 2 2 3" xfId="2620"/>
    <cellStyle name="40% - Accent6 3 3 2 3" xfId="2621"/>
    <cellStyle name="40% - Accent6 3 3 2 3 2" xfId="2622"/>
    <cellStyle name="40% - Accent6 3 3 2 4" xfId="2623"/>
    <cellStyle name="40% - Accent6 3 3 2 5" xfId="9040"/>
    <cellStyle name="40% - Accent6 3 3 3" xfId="2624"/>
    <cellStyle name="40% - Accent6 3 3 3 2" xfId="2625"/>
    <cellStyle name="40% - Accent6 3 3 3 2 2" xfId="2626"/>
    <cellStyle name="40% - Accent6 3 3 3 3" xfId="2627"/>
    <cellStyle name="40% - Accent6 3 3 4" xfId="2628"/>
    <cellStyle name="40% - Accent6 3 3 4 2" xfId="2629"/>
    <cellStyle name="40% - Accent6 3 3 5" xfId="2630"/>
    <cellStyle name="40% - Accent6 3 3 6" xfId="9041"/>
    <cellStyle name="40% - Accent6 3 4" xfId="2631"/>
    <cellStyle name="40% - Accent6 3 4 2" xfId="2632"/>
    <cellStyle name="40% - Accent6 3 4 2 2" xfId="2633"/>
    <cellStyle name="40% - Accent6 3 4 2 2 2" xfId="2634"/>
    <cellStyle name="40% - Accent6 3 4 2 3" xfId="2635"/>
    <cellStyle name="40% - Accent6 3 4 3" xfId="2636"/>
    <cellStyle name="40% - Accent6 3 4 3 2" xfId="2637"/>
    <cellStyle name="40% - Accent6 3 4 4" xfId="2638"/>
    <cellStyle name="40% - Accent6 3 4 5" xfId="9042"/>
    <cellStyle name="40% - Accent6 3 5" xfId="2639"/>
    <cellStyle name="40% - Accent6 3 5 2" xfId="2640"/>
    <cellStyle name="40% - Accent6 3 5 2 2" xfId="2641"/>
    <cellStyle name="40% - Accent6 3 5 3" xfId="2642"/>
    <cellStyle name="40% - Accent6 3 6" xfId="2643"/>
    <cellStyle name="40% - Accent6 3 6 2" xfId="2644"/>
    <cellStyle name="40% - Accent6 3 7" xfId="2645"/>
    <cellStyle name="40% - Accent6 3 8" xfId="2646"/>
    <cellStyle name="40% - Accent6 3 9" xfId="9043"/>
    <cellStyle name="40% - Accent6 4" xfId="2647"/>
    <cellStyle name="40% - Accent6 4 10" xfId="27055"/>
    <cellStyle name="40% - Accent6 4 10 2" xfId="27056"/>
    <cellStyle name="40% - Accent6 4 10 2 2" xfId="27057"/>
    <cellStyle name="40% - Accent6 4 10 2 3" xfId="27058"/>
    <cellStyle name="40% - Accent6 4 10 3" xfId="27059"/>
    <cellStyle name="40% - Accent6 4 10 3 2" xfId="27060"/>
    <cellStyle name="40% - Accent6 4 10 4" xfId="27061"/>
    <cellStyle name="40% - Accent6 4 10 5" xfId="27062"/>
    <cellStyle name="40% - Accent6 4 11" xfId="27063"/>
    <cellStyle name="40% - Accent6 4 11 2" xfId="27064"/>
    <cellStyle name="40% - Accent6 4 11 3" xfId="27065"/>
    <cellStyle name="40% - Accent6 4 12" xfId="27066"/>
    <cellStyle name="40% - Accent6 4 12 2" xfId="27067"/>
    <cellStyle name="40% - Accent6 4 12 3" xfId="27068"/>
    <cellStyle name="40% - Accent6 4 13" xfId="27069"/>
    <cellStyle name="40% - Accent6 4 13 2" xfId="27070"/>
    <cellStyle name="40% - Accent6 4 14" xfId="27071"/>
    <cellStyle name="40% - Accent6 4 15" xfId="27072"/>
    <cellStyle name="40% - Accent6 4 16" xfId="27073"/>
    <cellStyle name="40% - Accent6 4 2" xfId="2648"/>
    <cellStyle name="40% - Accent6 4 2 10" xfId="27074"/>
    <cellStyle name="40% - Accent6 4 2 10 2" xfId="27075"/>
    <cellStyle name="40% - Accent6 4 2 10 3" xfId="27076"/>
    <cellStyle name="40% - Accent6 4 2 11" xfId="27077"/>
    <cellStyle name="40% - Accent6 4 2 11 2" xfId="27078"/>
    <cellStyle name="40% - Accent6 4 2 11 3" xfId="27079"/>
    <cellStyle name="40% - Accent6 4 2 12" xfId="27080"/>
    <cellStyle name="40% - Accent6 4 2 12 2" xfId="27081"/>
    <cellStyle name="40% - Accent6 4 2 13" xfId="27082"/>
    <cellStyle name="40% - Accent6 4 2 14" xfId="27083"/>
    <cellStyle name="40% - Accent6 4 2 15" xfId="27084"/>
    <cellStyle name="40% - Accent6 4 2 2" xfId="2649"/>
    <cellStyle name="40% - Accent6 4 2 2 10" xfId="27085"/>
    <cellStyle name="40% - Accent6 4 2 2 10 2" xfId="27086"/>
    <cellStyle name="40% - Accent6 4 2 2 10 3" xfId="27087"/>
    <cellStyle name="40% - Accent6 4 2 2 11" xfId="27088"/>
    <cellStyle name="40% - Accent6 4 2 2 11 2" xfId="27089"/>
    <cellStyle name="40% - Accent6 4 2 2 12" xfId="27090"/>
    <cellStyle name="40% - Accent6 4 2 2 13" xfId="27091"/>
    <cellStyle name="40% - Accent6 4 2 2 2" xfId="2650"/>
    <cellStyle name="40% - Accent6 4 2 2 2 10" xfId="27092"/>
    <cellStyle name="40% - Accent6 4 2 2 2 10 2" xfId="27093"/>
    <cellStyle name="40% - Accent6 4 2 2 2 11" xfId="27094"/>
    <cellStyle name="40% - Accent6 4 2 2 2 12" xfId="27095"/>
    <cellStyle name="40% - Accent6 4 2 2 2 2" xfId="2651"/>
    <cellStyle name="40% - Accent6 4 2 2 2 2 10" xfId="27096"/>
    <cellStyle name="40% - Accent6 4 2 2 2 2 2" xfId="2652"/>
    <cellStyle name="40% - Accent6 4 2 2 2 2 2 2" xfId="27097"/>
    <cellStyle name="40% - Accent6 4 2 2 2 2 2 2 2" xfId="27098"/>
    <cellStyle name="40% - Accent6 4 2 2 2 2 2 2 2 2" xfId="27099"/>
    <cellStyle name="40% - Accent6 4 2 2 2 2 2 2 2 3" xfId="27100"/>
    <cellStyle name="40% - Accent6 4 2 2 2 2 2 2 3" xfId="27101"/>
    <cellStyle name="40% - Accent6 4 2 2 2 2 2 2 3 2" xfId="27102"/>
    <cellStyle name="40% - Accent6 4 2 2 2 2 2 2 3 3" xfId="27103"/>
    <cellStyle name="40% - Accent6 4 2 2 2 2 2 2 4" xfId="27104"/>
    <cellStyle name="40% - Accent6 4 2 2 2 2 2 2 4 2" xfId="27105"/>
    <cellStyle name="40% - Accent6 4 2 2 2 2 2 2 5" xfId="27106"/>
    <cellStyle name="40% - Accent6 4 2 2 2 2 2 2 6" xfId="27107"/>
    <cellStyle name="40% - Accent6 4 2 2 2 2 2 3" xfId="27108"/>
    <cellStyle name="40% - Accent6 4 2 2 2 2 2 3 2" xfId="27109"/>
    <cellStyle name="40% - Accent6 4 2 2 2 2 2 3 2 2" xfId="27110"/>
    <cellStyle name="40% - Accent6 4 2 2 2 2 2 3 2 3" xfId="27111"/>
    <cellStyle name="40% - Accent6 4 2 2 2 2 2 3 3" xfId="27112"/>
    <cellStyle name="40% - Accent6 4 2 2 2 2 2 3 3 2" xfId="27113"/>
    <cellStyle name="40% - Accent6 4 2 2 2 2 2 3 3 3" xfId="27114"/>
    <cellStyle name="40% - Accent6 4 2 2 2 2 2 3 4" xfId="27115"/>
    <cellStyle name="40% - Accent6 4 2 2 2 2 2 3 4 2" xfId="27116"/>
    <cellStyle name="40% - Accent6 4 2 2 2 2 2 3 5" xfId="27117"/>
    <cellStyle name="40% - Accent6 4 2 2 2 2 2 3 6" xfId="27118"/>
    <cellStyle name="40% - Accent6 4 2 2 2 2 2 4" xfId="27119"/>
    <cellStyle name="40% - Accent6 4 2 2 2 2 2 4 2" xfId="27120"/>
    <cellStyle name="40% - Accent6 4 2 2 2 2 2 4 2 2" xfId="27121"/>
    <cellStyle name="40% - Accent6 4 2 2 2 2 2 4 2 3" xfId="27122"/>
    <cellStyle name="40% - Accent6 4 2 2 2 2 2 4 3" xfId="27123"/>
    <cellStyle name="40% - Accent6 4 2 2 2 2 2 4 3 2" xfId="27124"/>
    <cellStyle name="40% - Accent6 4 2 2 2 2 2 4 4" xfId="27125"/>
    <cellStyle name="40% - Accent6 4 2 2 2 2 2 4 5" xfId="27126"/>
    <cellStyle name="40% - Accent6 4 2 2 2 2 2 5" xfId="27127"/>
    <cellStyle name="40% - Accent6 4 2 2 2 2 2 5 2" xfId="27128"/>
    <cellStyle name="40% - Accent6 4 2 2 2 2 2 5 3" xfId="27129"/>
    <cellStyle name="40% - Accent6 4 2 2 2 2 2 6" xfId="27130"/>
    <cellStyle name="40% - Accent6 4 2 2 2 2 2 6 2" xfId="27131"/>
    <cellStyle name="40% - Accent6 4 2 2 2 2 2 6 3" xfId="27132"/>
    <cellStyle name="40% - Accent6 4 2 2 2 2 2 7" xfId="27133"/>
    <cellStyle name="40% - Accent6 4 2 2 2 2 2 7 2" xfId="27134"/>
    <cellStyle name="40% - Accent6 4 2 2 2 2 2 8" xfId="27135"/>
    <cellStyle name="40% - Accent6 4 2 2 2 2 2 9" xfId="27136"/>
    <cellStyle name="40% - Accent6 4 2 2 2 2 3" xfId="27137"/>
    <cellStyle name="40% - Accent6 4 2 2 2 2 3 2" xfId="27138"/>
    <cellStyle name="40% - Accent6 4 2 2 2 2 3 2 2" xfId="27139"/>
    <cellStyle name="40% - Accent6 4 2 2 2 2 3 2 3" xfId="27140"/>
    <cellStyle name="40% - Accent6 4 2 2 2 2 3 3" xfId="27141"/>
    <cellStyle name="40% - Accent6 4 2 2 2 2 3 3 2" xfId="27142"/>
    <cellStyle name="40% - Accent6 4 2 2 2 2 3 3 3" xfId="27143"/>
    <cellStyle name="40% - Accent6 4 2 2 2 2 3 4" xfId="27144"/>
    <cellStyle name="40% - Accent6 4 2 2 2 2 3 4 2" xfId="27145"/>
    <cellStyle name="40% - Accent6 4 2 2 2 2 3 5" xfId="27146"/>
    <cellStyle name="40% - Accent6 4 2 2 2 2 3 6" xfId="27147"/>
    <cellStyle name="40% - Accent6 4 2 2 2 2 4" xfId="27148"/>
    <cellStyle name="40% - Accent6 4 2 2 2 2 4 2" xfId="27149"/>
    <cellStyle name="40% - Accent6 4 2 2 2 2 4 2 2" xfId="27150"/>
    <cellStyle name="40% - Accent6 4 2 2 2 2 4 2 3" xfId="27151"/>
    <cellStyle name="40% - Accent6 4 2 2 2 2 4 3" xfId="27152"/>
    <cellStyle name="40% - Accent6 4 2 2 2 2 4 3 2" xfId="27153"/>
    <cellStyle name="40% - Accent6 4 2 2 2 2 4 3 3" xfId="27154"/>
    <cellStyle name="40% - Accent6 4 2 2 2 2 4 4" xfId="27155"/>
    <cellStyle name="40% - Accent6 4 2 2 2 2 4 4 2" xfId="27156"/>
    <cellStyle name="40% - Accent6 4 2 2 2 2 4 5" xfId="27157"/>
    <cellStyle name="40% - Accent6 4 2 2 2 2 4 6" xfId="27158"/>
    <cellStyle name="40% - Accent6 4 2 2 2 2 5" xfId="27159"/>
    <cellStyle name="40% - Accent6 4 2 2 2 2 5 2" xfId="27160"/>
    <cellStyle name="40% - Accent6 4 2 2 2 2 5 2 2" xfId="27161"/>
    <cellStyle name="40% - Accent6 4 2 2 2 2 5 2 3" xfId="27162"/>
    <cellStyle name="40% - Accent6 4 2 2 2 2 5 3" xfId="27163"/>
    <cellStyle name="40% - Accent6 4 2 2 2 2 5 3 2" xfId="27164"/>
    <cellStyle name="40% - Accent6 4 2 2 2 2 5 4" xfId="27165"/>
    <cellStyle name="40% - Accent6 4 2 2 2 2 5 5" xfId="27166"/>
    <cellStyle name="40% - Accent6 4 2 2 2 2 6" xfId="27167"/>
    <cellStyle name="40% - Accent6 4 2 2 2 2 6 2" xfId="27168"/>
    <cellStyle name="40% - Accent6 4 2 2 2 2 6 3" xfId="27169"/>
    <cellStyle name="40% - Accent6 4 2 2 2 2 7" xfId="27170"/>
    <cellStyle name="40% - Accent6 4 2 2 2 2 7 2" xfId="27171"/>
    <cellStyle name="40% - Accent6 4 2 2 2 2 7 3" xfId="27172"/>
    <cellStyle name="40% - Accent6 4 2 2 2 2 8" xfId="27173"/>
    <cellStyle name="40% - Accent6 4 2 2 2 2 8 2" xfId="27174"/>
    <cellStyle name="40% - Accent6 4 2 2 2 2 9" xfId="27175"/>
    <cellStyle name="40% - Accent6 4 2 2 2 3" xfId="2653"/>
    <cellStyle name="40% - Accent6 4 2 2 2 3 2" xfId="27176"/>
    <cellStyle name="40% - Accent6 4 2 2 2 3 2 2" xfId="27177"/>
    <cellStyle name="40% - Accent6 4 2 2 2 3 2 2 2" xfId="27178"/>
    <cellStyle name="40% - Accent6 4 2 2 2 3 2 2 3" xfId="27179"/>
    <cellStyle name="40% - Accent6 4 2 2 2 3 2 3" xfId="27180"/>
    <cellStyle name="40% - Accent6 4 2 2 2 3 2 3 2" xfId="27181"/>
    <cellStyle name="40% - Accent6 4 2 2 2 3 2 3 3" xfId="27182"/>
    <cellStyle name="40% - Accent6 4 2 2 2 3 2 4" xfId="27183"/>
    <cellStyle name="40% - Accent6 4 2 2 2 3 2 4 2" xfId="27184"/>
    <cellStyle name="40% - Accent6 4 2 2 2 3 2 5" xfId="27185"/>
    <cellStyle name="40% - Accent6 4 2 2 2 3 2 6" xfId="27186"/>
    <cellStyle name="40% - Accent6 4 2 2 2 3 3" xfId="27187"/>
    <cellStyle name="40% - Accent6 4 2 2 2 3 3 2" xfId="27188"/>
    <cellStyle name="40% - Accent6 4 2 2 2 3 3 2 2" xfId="27189"/>
    <cellStyle name="40% - Accent6 4 2 2 2 3 3 2 3" xfId="27190"/>
    <cellStyle name="40% - Accent6 4 2 2 2 3 3 3" xfId="27191"/>
    <cellStyle name="40% - Accent6 4 2 2 2 3 3 3 2" xfId="27192"/>
    <cellStyle name="40% - Accent6 4 2 2 2 3 3 3 3" xfId="27193"/>
    <cellStyle name="40% - Accent6 4 2 2 2 3 3 4" xfId="27194"/>
    <cellStyle name="40% - Accent6 4 2 2 2 3 3 4 2" xfId="27195"/>
    <cellStyle name="40% - Accent6 4 2 2 2 3 3 5" xfId="27196"/>
    <cellStyle name="40% - Accent6 4 2 2 2 3 3 6" xfId="27197"/>
    <cellStyle name="40% - Accent6 4 2 2 2 3 4" xfId="27198"/>
    <cellStyle name="40% - Accent6 4 2 2 2 3 4 2" xfId="27199"/>
    <cellStyle name="40% - Accent6 4 2 2 2 3 4 2 2" xfId="27200"/>
    <cellStyle name="40% - Accent6 4 2 2 2 3 4 2 3" xfId="27201"/>
    <cellStyle name="40% - Accent6 4 2 2 2 3 4 3" xfId="27202"/>
    <cellStyle name="40% - Accent6 4 2 2 2 3 4 3 2" xfId="27203"/>
    <cellStyle name="40% - Accent6 4 2 2 2 3 4 4" xfId="27204"/>
    <cellStyle name="40% - Accent6 4 2 2 2 3 4 5" xfId="27205"/>
    <cellStyle name="40% - Accent6 4 2 2 2 3 5" xfId="27206"/>
    <cellStyle name="40% - Accent6 4 2 2 2 3 5 2" xfId="27207"/>
    <cellStyle name="40% - Accent6 4 2 2 2 3 5 3" xfId="27208"/>
    <cellStyle name="40% - Accent6 4 2 2 2 3 6" xfId="27209"/>
    <cellStyle name="40% - Accent6 4 2 2 2 3 6 2" xfId="27210"/>
    <cellStyle name="40% - Accent6 4 2 2 2 3 6 3" xfId="27211"/>
    <cellStyle name="40% - Accent6 4 2 2 2 3 7" xfId="27212"/>
    <cellStyle name="40% - Accent6 4 2 2 2 3 7 2" xfId="27213"/>
    <cellStyle name="40% - Accent6 4 2 2 2 3 8" xfId="27214"/>
    <cellStyle name="40% - Accent6 4 2 2 2 3 9" xfId="27215"/>
    <cellStyle name="40% - Accent6 4 2 2 2 4" xfId="27216"/>
    <cellStyle name="40% - Accent6 4 2 2 2 4 2" xfId="27217"/>
    <cellStyle name="40% - Accent6 4 2 2 2 4 2 2" xfId="27218"/>
    <cellStyle name="40% - Accent6 4 2 2 2 4 2 2 2" xfId="27219"/>
    <cellStyle name="40% - Accent6 4 2 2 2 4 2 2 3" xfId="27220"/>
    <cellStyle name="40% - Accent6 4 2 2 2 4 2 3" xfId="27221"/>
    <cellStyle name="40% - Accent6 4 2 2 2 4 2 3 2" xfId="27222"/>
    <cellStyle name="40% - Accent6 4 2 2 2 4 2 3 3" xfId="27223"/>
    <cellStyle name="40% - Accent6 4 2 2 2 4 2 4" xfId="27224"/>
    <cellStyle name="40% - Accent6 4 2 2 2 4 2 4 2" xfId="27225"/>
    <cellStyle name="40% - Accent6 4 2 2 2 4 2 5" xfId="27226"/>
    <cellStyle name="40% - Accent6 4 2 2 2 4 2 6" xfId="27227"/>
    <cellStyle name="40% - Accent6 4 2 2 2 4 3" xfId="27228"/>
    <cellStyle name="40% - Accent6 4 2 2 2 4 3 2" xfId="27229"/>
    <cellStyle name="40% - Accent6 4 2 2 2 4 3 2 2" xfId="27230"/>
    <cellStyle name="40% - Accent6 4 2 2 2 4 3 2 3" xfId="27231"/>
    <cellStyle name="40% - Accent6 4 2 2 2 4 3 3" xfId="27232"/>
    <cellStyle name="40% - Accent6 4 2 2 2 4 3 3 2" xfId="27233"/>
    <cellStyle name="40% - Accent6 4 2 2 2 4 3 3 3" xfId="27234"/>
    <cellStyle name="40% - Accent6 4 2 2 2 4 3 4" xfId="27235"/>
    <cellStyle name="40% - Accent6 4 2 2 2 4 3 4 2" xfId="27236"/>
    <cellStyle name="40% - Accent6 4 2 2 2 4 3 5" xfId="27237"/>
    <cellStyle name="40% - Accent6 4 2 2 2 4 3 6" xfId="27238"/>
    <cellStyle name="40% - Accent6 4 2 2 2 4 4" xfId="27239"/>
    <cellStyle name="40% - Accent6 4 2 2 2 4 4 2" xfId="27240"/>
    <cellStyle name="40% - Accent6 4 2 2 2 4 4 2 2" xfId="27241"/>
    <cellStyle name="40% - Accent6 4 2 2 2 4 4 2 3" xfId="27242"/>
    <cellStyle name="40% - Accent6 4 2 2 2 4 4 3" xfId="27243"/>
    <cellStyle name="40% - Accent6 4 2 2 2 4 4 3 2" xfId="27244"/>
    <cellStyle name="40% - Accent6 4 2 2 2 4 4 4" xfId="27245"/>
    <cellStyle name="40% - Accent6 4 2 2 2 4 4 5" xfId="27246"/>
    <cellStyle name="40% - Accent6 4 2 2 2 4 5" xfId="27247"/>
    <cellStyle name="40% - Accent6 4 2 2 2 4 5 2" xfId="27248"/>
    <cellStyle name="40% - Accent6 4 2 2 2 4 5 3" xfId="27249"/>
    <cellStyle name="40% - Accent6 4 2 2 2 4 6" xfId="27250"/>
    <cellStyle name="40% - Accent6 4 2 2 2 4 6 2" xfId="27251"/>
    <cellStyle name="40% - Accent6 4 2 2 2 4 6 3" xfId="27252"/>
    <cellStyle name="40% - Accent6 4 2 2 2 4 7" xfId="27253"/>
    <cellStyle name="40% - Accent6 4 2 2 2 4 7 2" xfId="27254"/>
    <cellStyle name="40% - Accent6 4 2 2 2 4 8" xfId="27255"/>
    <cellStyle name="40% - Accent6 4 2 2 2 4 9" xfId="27256"/>
    <cellStyle name="40% - Accent6 4 2 2 2 5" xfId="27257"/>
    <cellStyle name="40% - Accent6 4 2 2 2 5 2" xfId="27258"/>
    <cellStyle name="40% - Accent6 4 2 2 2 5 2 2" xfId="27259"/>
    <cellStyle name="40% - Accent6 4 2 2 2 5 2 3" xfId="27260"/>
    <cellStyle name="40% - Accent6 4 2 2 2 5 3" xfId="27261"/>
    <cellStyle name="40% - Accent6 4 2 2 2 5 3 2" xfId="27262"/>
    <cellStyle name="40% - Accent6 4 2 2 2 5 3 3" xfId="27263"/>
    <cellStyle name="40% - Accent6 4 2 2 2 5 4" xfId="27264"/>
    <cellStyle name="40% - Accent6 4 2 2 2 5 4 2" xfId="27265"/>
    <cellStyle name="40% - Accent6 4 2 2 2 5 5" xfId="27266"/>
    <cellStyle name="40% - Accent6 4 2 2 2 5 6" xfId="27267"/>
    <cellStyle name="40% - Accent6 4 2 2 2 6" xfId="27268"/>
    <cellStyle name="40% - Accent6 4 2 2 2 6 2" xfId="27269"/>
    <cellStyle name="40% - Accent6 4 2 2 2 6 2 2" xfId="27270"/>
    <cellStyle name="40% - Accent6 4 2 2 2 6 2 3" xfId="27271"/>
    <cellStyle name="40% - Accent6 4 2 2 2 6 3" xfId="27272"/>
    <cellStyle name="40% - Accent6 4 2 2 2 6 3 2" xfId="27273"/>
    <cellStyle name="40% - Accent6 4 2 2 2 6 3 3" xfId="27274"/>
    <cellStyle name="40% - Accent6 4 2 2 2 6 4" xfId="27275"/>
    <cellStyle name="40% - Accent6 4 2 2 2 6 4 2" xfId="27276"/>
    <cellStyle name="40% - Accent6 4 2 2 2 6 5" xfId="27277"/>
    <cellStyle name="40% - Accent6 4 2 2 2 6 6" xfId="27278"/>
    <cellStyle name="40% - Accent6 4 2 2 2 7" xfId="27279"/>
    <cellStyle name="40% - Accent6 4 2 2 2 7 2" xfId="27280"/>
    <cellStyle name="40% - Accent6 4 2 2 2 7 2 2" xfId="27281"/>
    <cellStyle name="40% - Accent6 4 2 2 2 7 2 3" xfId="27282"/>
    <cellStyle name="40% - Accent6 4 2 2 2 7 3" xfId="27283"/>
    <cellStyle name="40% - Accent6 4 2 2 2 7 3 2" xfId="27284"/>
    <cellStyle name="40% - Accent6 4 2 2 2 7 4" xfId="27285"/>
    <cellStyle name="40% - Accent6 4 2 2 2 7 5" xfId="27286"/>
    <cellStyle name="40% - Accent6 4 2 2 2 8" xfId="27287"/>
    <cellStyle name="40% - Accent6 4 2 2 2 8 2" xfId="27288"/>
    <cellStyle name="40% - Accent6 4 2 2 2 8 3" xfId="27289"/>
    <cellStyle name="40% - Accent6 4 2 2 2 9" xfId="27290"/>
    <cellStyle name="40% - Accent6 4 2 2 2 9 2" xfId="27291"/>
    <cellStyle name="40% - Accent6 4 2 2 2 9 3" xfId="27292"/>
    <cellStyle name="40% - Accent6 4 2 2 3" xfId="2654"/>
    <cellStyle name="40% - Accent6 4 2 2 3 10" xfId="27293"/>
    <cellStyle name="40% - Accent6 4 2 2 3 2" xfId="2655"/>
    <cellStyle name="40% - Accent6 4 2 2 3 2 2" xfId="27294"/>
    <cellStyle name="40% - Accent6 4 2 2 3 2 2 2" xfId="27295"/>
    <cellStyle name="40% - Accent6 4 2 2 3 2 2 2 2" xfId="27296"/>
    <cellStyle name="40% - Accent6 4 2 2 3 2 2 2 3" xfId="27297"/>
    <cellStyle name="40% - Accent6 4 2 2 3 2 2 3" xfId="27298"/>
    <cellStyle name="40% - Accent6 4 2 2 3 2 2 3 2" xfId="27299"/>
    <cellStyle name="40% - Accent6 4 2 2 3 2 2 3 3" xfId="27300"/>
    <cellStyle name="40% - Accent6 4 2 2 3 2 2 4" xfId="27301"/>
    <cellStyle name="40% - Accent6 4 2 2 3 2 2 4 2" xfId="27302"/>
    <cellStyle name="40% - Accent6 4 2 2 3 2 2 5" xfId="27303"/>
    <cellStyle name="40% - Accent6 4 2 2 3 2 2 6" xfId="27304"/>
    <cellStyle name="40% - Accent6 4 2 2 3 2 3" xfId="27305"/>
    <cellStyle name="40% - Accent6 4 2 2 3 2 3 2" xfId="27306"/>
    <cellStyle name="40% - Accent6 4 2 2 3 2 3 2 2" xfId="27307"/>
    <cellStyle name="40% - Accent6 4 2 2 3 2 3 2 3" xfId="27308"/>
    <cellStyle name="40% - Accent6 4 2 2 3 2 3 3" xfId="27309"/>
    <cellStyle name="40% - Accent6 4 2 2 3 2 3 3 2" xfId="27310"/>
    <cellStyle name="40% - Accent6 4 2 2 3 2 3 3 3" xfId="27311"/>
    <cellStyle name="40% - Accent6 4 2 2 3 2 3 4" xfId="27312"/>
    <cellStyle name="40% - Accent6 4 2 2 3 2 3 4 2" xfId="27313"/>
    <cellStyle name="40% - Accent6 4 2 2 3 2 3 5" xfId="27314"/>
    <cellStyle name="40% - Accent6 4 2 2 3 2 3 6" xfId="27315"/>
    <cellStyle name="40% - Accent6 4 2 2 3 2 4" xfId="27316"/>
    <cellStyle name="40% - Accent6 4 2 2 3 2 4 2" xfId="27317"/>
    <cellStyle name="40% - Accent6 4 2 2 3 2 4 2 2" xfId="27318"/>
    <cellStyle name="40% - Accent6 4 2 2 3 2 4 2 3" xfId="27319"/>
    <cellStyle name="40% - Accent6 4 2 2 3 2 4 3" xfId="27320"/>
    <cellStyle name="40% - Accent6 4 2 2 3 2 4 3 2" xfId="27321"/>
    <cellStyle name="40% - Accent6 4 2 2 3 2 4 4" xfId="27322"/>
    <cellStyle name="40% - Accent6 4 2 2 3 2 4 5" xfId="27323"/>
    <cellStyle name="40% - Accent6 4 2 2 3 2 5" xfId="27324"/>
    <cellStyle name="40% - Accent6 4 2 2 3 2 5 2" xfId="27325"/>
    <cellStyle name="40% - Accent6 4 2 2 3 2 5 3" xfId="27326"/>
    <cellStyle name="40% - Accent6 4 2 2 3 2 6" xfId="27327"/>
    <cellStyle name="40% - Accent6 4 2 2 3 2 6 2" xfId="27328"/>
    <cellStyle name="40% - Accent6 4 2 2 3 2 6 3" xfId="27329"/>
    <cellStyle name="40% - Accent6 4 2 2 3 2 7" xfId="27330"/>
    <cellStyle name="40% - Accent6 4 2 2 3 2 7 2" xfId="27331"/>
    <cellStyle name="40% - Accent6 4 2 2 3 2 8" xfId="27332"/>
    <cellStyle name="40% - Accent6 4 2 2 3 2 9" xfId="27333"/>
    <cellStyle name="40% - Accent6 4 2 2 3 3" xfId="27334"/>
    <cellStyle name="40% - Accent6 4 2 2 3 3 2" xfId="27335"/>
    <cellStyle name="40% - Accent6 4 2 2 3 3 2 2" xfId="27336"/>
    <cellStyle name="40% - Accent6 4 2 2 3 3 2 3" xfId="27337"/>
    <cellStyle name="40% - Accent6 4 2 2 3 3 3" xfId="27338"/>
    <cellStyle name="40% - Accent6 4 2 2 3 3 3 2" xfId="27339"/>
    <cellStyle name="40% - Accent6 4 2 2 3 3 3 3" xfId="27340"/>
    <cellStyle name="40% - Accent6 4 2 2 3 3 4" xfId="27341"/>
    <cellStyle name="40% - Accent6 4 2 2 3 3 4 2" xfId="27342"/>
    <cellStyle name="40% - Accent6 4 2 2 3 3 5" xfId="27343"/>
    <cellStyle name="40% - Accent6 4 2 2 3 3 6" xfId="27344"/>
    <cellStyle name="40% - Accent6 4 2 2 3 4" xfId="27345"/>
    <cellStyle name="40% - Accent6 4 2 2 3 4 2" xfId="27346"/>
    <cellStyle name="40% - Accent6 4 2 2 3 4 2 2" xfId="27347"/>
    <cellStyle name="40% - Accent6 4 2 2 3 4 2 3" xfId="27348"/>
    <cellStyle name="40% - Accent6 4 2 2 3 4 3" xfId="27349"/>
    <cellStyle name="40% - Accent6 4 2 2 3 4 3 2" xfId="27350"/>
    <cellStyle name="40% - Accent6 4 2 2 3 4 3 3" xfId="27351"/>
    <cellStyle name="40% - Accent6 4 2 2 3 4 4" xfId="27352"/>
    <cellStyle name="40% - Accent6 4 2 2 3 4 4 2" xfId="27353"/>
    <cellStyle name="40% - Accent6 4 2 2 3 4 5" xfId="27354"/>
    <cellStyle name="40% - Accent6 4 2 2 3 4 6" xfId="27355"/>
    <cellStyle name="40% - Accent6 4 2 2 3 5" xfId="27356"/>
    <cellStyle name="40% - Accent6 4 2 2 3 5 2" xfId="27357"/>
    <cellStyle name="40% - Accent6 4 2 2 3 5 2 2" xfId="27358"/>
    <cellStyle name="40% - Accent6 4 2 2 3 5 2 3" xfId="27359"/>
    <cellStyle name="40% - Accent6 4 2 2 3 5 3" xfId="27360"/>
    <cellStyle name="40% - Accent6 4 2 2 3 5 3 2" xfId="27361"/>
    <cellStyle name="40% - Accent6 4 2 2 3 5 4" xfId="27362"/>
    <cellStyle name="40% - Accent6 4 2 2 3 5 5" xfId="27363"/>
    <cellStyle name="40% - Accent6 4 2 2 3 6" xfId="27364"/>
    <cellStyle name="40% - Accent6 4 2 2 3 6 2" xfId="27365"/>
    <cellStyle name="40% - Accent6 4 2 2 3 6 3" xfId="27366"/>
    <cellStyle name="40% - Accent6 4 2 2 3 7" xfId="27367"/>
    <cellStyle name="40% - Accent6 4 2 2 3 7 2" xfId="27368"/>
    <cellStyle name="40% - Accent6 4 2 2 3 7 3" xfId="27369"/>
    <cellStyle name="40% - Accent6 4 2 2 3 8" xfId="27370"/>
    <cellStyle name="40% - Accent6 4 2 2 3 8 2" xfId="27371"/>
    <cellStyle name="40% - Accent6 4 2 2 3 9" xfId="27372"/>
    <cellStyle name="40% - Accent6 4 2 2 4" xfId="2656"/>
    <cellStyle name="40% - Accent6 4 2 2 4 2" xfId="27373"/>
    <cellStyle name="40% - Accent6 4 2 2 4 2 2" xfId="27374"/>
    <cellStyle name="40% - Accent6 4 2 2 4 2 2 2" xfId="27375"/>
    <cellStyle name="40% - Accent6 4 2 2 4 2 2 3" xfId="27376"/>
    <cellStyle name="40% - Accent6 4 2 2 4 2 3" xfId="27377"/>
    <cellStyle name="40% - Accent6 4 2 2 4 2 3 2" xfId="27378"/>
    <cellStyle name="40% - Accent6 4 2 2 4 2 3 3" xfId="27379"/>
    <cellStyle name="40% - Accent6 4 2 2 4 2 4" xfId="27380"/>
    <cellStyle name="40% - Accent6 4 2 2 4 2 4 2" xfId="27381"/>
    <cellStyle name="40% - Accent6 4 2 2 4 2 5" xfId="27382"/>
    <cellStyle name="40% - Accent6 4 2 2 4 2 6" xfId="27383"/>
    <cellStyle name="40% - Accent6 4 2 2 4 3" xfId="27384"/>
    <cellStyle name="40% - Accent6 4 2 2 4 3 2" xfId="27385"/>
    <cellStyle name="40% - Accent6 4 2 2 4 3 2 2" xfId="27386"/>
    <cellStyle name="40% - Accent6 4 2 2 4 3 2 3" xfId="27387"/>
    <cellStyle name="40% - Accent6 4 2 2 4 3 3" xfId="27388"/>
    <cellStyle name="40% - Accent6 4 2 2 4 3 3 2" xfId="27389"/>
    <cellStyle name="40% - Accent6 4 2 2 4 3 3 3" xfId="27390"/>
    <cellStyle name="40% - Accent6 4 2 2 4 3 4" xfId="27391"/>
    <cellStyle name="40% - Accent6 4 2 2 4 3 4 2" xfId="27392"/>
    <cellStyle name="40% - Accent6 4 2 2 4 3 5" xfId="27393"/>
    <cellStyle name="40% - Accent6 4 2 2 4 3 6" xfId="27394"/>
    <cellStyle name="40% - Accent6 4 2 2 4 4" xfId="27395"/>
    <cellStyle name="40% - Accent6 4 2 2 4 4 2" xfId="27396"/>
    <cellStyle name="40% - Accent6 4 2 2 4 4 2 2" xfId="27397"/>
    <cellStyle name="40% - Accent6 4 2 2 4 4 2 3" xfId="27398"/>
    <cellStyle name="40% - Accent6 4 2 2 4 4 3" xfId="27399"/>
    <cellStyle name="40% - Accent6 4 2 2 4 4 3 2" xfId="27400"/>
    <cellStyle name="40% - Accent6 4 2 2 4 4 4" xfId="27401"/>
    <cellStyle name="40% - Accent6 4 2 2 4 4 5" xfId="27402"/>
    <cellStyle name="40% - Accent6 4 2 2 4 5" xfId="27403"/>
    <cellStyle name="40% - Accent6 4 2 2 4 5 2" xfId="27404"/>
    <cellStyle name="40% - Accent6 4 2 2 4 5 3" xfId="27405"/>
    <cellStyle name="40% - Accent6 4 2 2 4 6" xfId="27406"/>
    <cellStyle name="40% - Accent6 4 2 2 4 6 2" xfId="27407"/>
    <cellStyle name="40% - Accent6 4 2 2 4 6 3" xfId="27408"/>
    <cellStyle name="40% - Accent6 4 2 2 4 7" xfId="27409"/>
    <cellStyle name="40% - Accent6 4 2 2 4 7 2" xfId="27410"/>
    <cellStyle name="40% - Accent6 4 2 2 4 8" xfId="27411"/>
    <cellStyle name="40% - Accent6 4 2 2 4 9" xfId="27412"/>
    <cellStyle name="40% - Accent6 4 2 2 5" xfId="27413"/>
    <cellStyle name="40% - Accent6 4 2 2 5 2" xfId="27414"/>
    <cellStyle name="40% - Accent6 4 2 2 5 2 2" xfId="27415"/>
    <cellStyle name="40% - Accent6 4 2 2 5 2 2 2" xfId="27416"/>
    <cellStyle name="40% - Accent6 4 2 2 5 2 2 3" xfId="27417"/>
    <cellStyle name="40% - Accent6 4 2 2 5 2 3" xfId="27418"/>
    <cellStyle name="40% - Accent6 4 2 2 5 2 3 2" xfId="27419"/>
    <cellStyle name="40% - Accent6 4 2 2 5 2 3 3" xfId="27420"/>
    <cellStyle name="40% - Accent6 4 2 2 5 2 4" xfId="27421"/>
    <cellStyle name="40% - Accent6 4 2 2 5 2 4 2" xfId="27422"/>
    <cellStyle name="40% - Accent6 4 2 2 5 2 5" xfId="27423"/>
    <cellStyle name="40% - Accent6 4 2 2 5 2 6" xfId="27424"/>
    <cellStyle name="40% - Accent6 4 2 2 5 3" xfId="27425"/>
    <cellStyle name="40% - Accent6 4 2 2 5 3 2" xfId="27426"/>
    <cellStyle name="40% - Accent6 4 2 2 5 3 2 2" xfId="27427"/>
    <cellStyle name="40% - Accent6 4 2 2 5 3 2 3" xfId="27428"/>
    <cellStyle name="40% - Accent6 4 2 2 5 3 3" xfId="27429"/>
    <cellStyle name="40% - Accent6 4 2 2 5 3 3 2" xfId="27430"/>
    <cellStyle name="40% - Accent6 4 2 2 5 3 3 3" xfId="27431"/>
    <cellStyle name="40% - Accent6 4 2 2 5 3 4" xfId="27432"/>
    <cellStyle name="40% - Accent6 4 2 2 5 3 4 2" xfId="27433"/>
    <cellStyle name="40% - Accent6 4 2 2 5 3 5" xfId="27434"/>
    <cellStyle name="40% - Accent6 4 2 2 5 3 6" xfId="27435"/>
    <cellStyle name="40% - Accent6 4 2 2 5 4" xfId="27436"/>
    <cellStyle name="40% - Accent6 4 2 2 5 4 2" xfId="27437"/>
    <cellStyle name="40% - Accent6 4 2 2 5 4 2 2" xfId="27438"/>
    <cellStyle name="40% - Accent6 4 2 2 5 4 2 3" xfId="27439"/>
    <cellStyle name="40% - Accent6 4 2 2 5 4 3" xfId="27440"/>
    <cellStyle name="40% - Accent6 4 2 2 5 4 3 2" xfId="27441"/>
    <cellStyle name="40% - Accent6 4 2 2 5 4 4" xfId="27442"/>
    <cellStyle name="40% - Accent6 4 2 2 5 4 5" xfId="27443"/>
    <cellStyle name="40% - Accent6 4 2 2 5 5" xfId="27444"/>
    <cellStyle name="40% - Accent6 4 2 2 5 5 2" xfId="27445"/>
    <cellStyle name="40% - Accent6 4 2 2 5 5 3" xfId="27446"/>
    <cellStyle name="40% - Accent6 4 2 2 5 6" xfId="27447"/>
    <cellStyle name="40% - Accent6 4 2 2 5 6 2" xfId="27448"/>
    <cellStyle name="40% - Accent6 4 2 2 5 6 3" xfId="27449"/>
    <cellStyle name="40% - Accent6 4 2 2 5 7" xfId="27450"/>
    <cellStyle name="40% - Accent6 4 2 2 5 7 2" xfId="27451"/>
    <cellStyle name="40% - Accent6 4 2 2 5 8" xfId="27452"/>
    <cellStyle name="40% - Accent6 4 2 2 5 9" xfId="27453"/>
    <cellStyle name="40% - Accent6 4 2 2 6" xfId="27454"/>
    <cellStyle name="40% - Accent6 4 2 2 6 2" xfId="27455"/>
    <cellStyle name="40% - Accent6 4 2 2 6 2 2" xfId="27456"/>
    <cellStyle name="40% - Accent6 4 2 2 6 2 3" xfId="27457"/>
    <cellStyle name="40% - Accent6 4 2 2 6 3" xfId="27458"/>
    <cellStyle name="40% - Accent6 4 2 2 6 3 2" xfId="27459"/>
    <cellStyle name="40% - Accent6 4 2 2 6 3 3" xfId="27460"/>
    <cellStyle name="40% - Accent6 4 2 2 6 4" xfId="27461"/>
    <cellStyle name="40% - Accent6 4 2 2 6 4 2" xfId="27462"/>
    <cellStyle name="40% - Accent6 4 2 2 6 5" xfId="27463"/>
    <cellStyle name="40% - Accent6 4 2 2 6 6" xfId="27464"/>
    <cellStyle name="40% - Accent6 4 2 2 7" xfId="27465"/>
    <cellStyle name="40% - Accent6 4 2 2 7 2" xfId="27466"/>
    <cellStyle name="40% - Accent6 4 2 2 7 2 2" xfId="27467"/>
    <cellStyle name="40% - Accent6 4 2 2 7 2 3" xfId="27468"/>
    <cellStyle name="40% - Accent6 4 2 2 7 3" xfId="27469"/>
    <cellStyle name="40% - Accent6 4 2 2 7 3 2" xfId="27470"/>
    <cellStyle name="40% - Accent6 4 2 2 7 3 3" xfId="27471"/>
    <cellStyle name="40% - Accent6 4 2 2 7 4" xfId="27472"/>
    <cellStyle name="40% - Accent6 4 2 2 7 4 2" xfId="27473"/>
    <cellStyle name="40% - Accent6 4 2 2 7 5" xfId="27474"/>
    <cellStyle name="40% - Accent6 4 2 2 7 6" xfId="27475"/>
    <cellStyle name="40% - Accent6 4 2 2 8" xfId="27476"/>
    <cellStyle name="40% - Accent6 4 2 2 8 2" xfId="27477"/>
    <cellStyle name="40% - Accent6 4 2 2 8 2 2" xfId="27478"/>
    <cellStyle name="40% - Accent6 4 2 2 8 2 3" xfId="27479"/>
    <cellStyle name="40% - Accent6 4 2 2 8 3" xfId="27480"/>
    <cellStyle name="40% - Accent6 4 2 2 8 3 2" xfId="27481"/>
    <cellStyle name="40% - Accent6 4 2 2 8 4" xfId="27482"/>
    <cellStyle name="40% - Accent6 4 2 2 8 5" xfId="27483"/>
    <cellStyle name="40% - Accent6 4 2 2 9" xfId="27484"/>
    <cellStyle name="40% - Accent6 4 2 2 9 2" xfId="27485"/>
    <cellStyle name="40% - Accent6 4 2 2 9 3" xfId="27486"/>
    <cellStyle name="40% - Accent6 4 2 3" xfId="2657"/>
    <cellStyle name="40% - Accent6 4 2 3 10" xfId="27487"/>
    <cellStyle name="40% - Accent6 4 2 3 10 2" xfId="27488"/>
    <cellStyle name="40% - Accent6 4 2 3 11" xfId="27489"/>
    <cellStyle name="40% - Accent6 4 2 3 12" xfId="27490"/>
    <cellStyle name="40% - Accent6 4 2 3 2" xfId="2658"/>
    <cellStyle name="40% - Accent6 4 2 3 2 10" xfId="27491"/>
    <cellStyle name="40% - Accent6 4 2 3 2 2" xfId="2659"/>
    <cellStyle name="40% - Accent6 4 2 3 2 2 2" xfId="27492"/>
    <cellStyle name="40% - Accent6 4 2 3 2 2 2 2" xfId="27493"/>
    <cellStyle name="40% - Accent6 4 2 3 2 2 2 2 2" xfId="27494"/>
    <cellStyle name="40% - Accent6 4 2 3 2 2 2 2 3" xfId="27495"/>
    <cellStyle name="40% - Accent6 4 2 3 2 2 2 3" xfId="27496"/>
    <cellStyle name="40% - Accent6 4 2 3 2 2 2 3 2" xfId="27497"/>
    <cellStyle name="40% - Accent6 4 2 3 2 2 2 3 3" xfId="27498"/>
    <cellStyle name="40% - Accent6 4 2 3 2 2 2 4" xfId="27499"/>
    <cellStyle name="40% - Accent6 4 2 3 2 2 2 4 2" xfId="27500"/>
    <cellStyle name="40% - Accent6 4 2 3 2 2 2 5" xfId="27501"/>
    <cellStyle name="40% - Accent6 4 2 3 2 2 2 6" xfId="27502"/>
    <cellStyle name="40% - Accent6 4 2 3 2 2 3" xfId="27503"/>
    <cellStyle name="40% - Accent6 4 2 3 2 2 3 2" xfId="27504"/>
    <cellStyle name="40% - Accent6 4 2 3 2 2 3 2 2" xfId="27505"/>
    <cellStyle name="40% - Accent6 4 2 3 2 2 3 2 3" xfId="27506"/>
    <cellStyle name="40% - Accent6 4 2 3 2 2 3 3" xfId="27507"/>
    <cellStyle name="40% - Accent6 4 2 3 2 2 3 3 2" xfId="27508"/>
    <cellStyle name="40% - Accent6 4 2 3 2 2 3 3 3" xfId="27509"/>
    <cellStyle name="40% - Accent6 4 2 3 2 2 3 4" xfId="27510"/>
    <cellStyle name="40% - Accent6 4 2 3 2 2 3 4 2" xfId="27511"/>
    <cellStyle name="40% - Accent6 4 2 3 2 2 3 5" xfId="27512"/>
    <cellStyle name="40% - Accent6 4 2 3 2 2 3 6" xfId="27513"/>
    <cellStyle name="40% - Accent6 4 2 3 2 2 4" xfId="27514"/>
    <cellStyle name="40% - Accent6 4 2 3 2 2 4 2" xfId="27515"/>
    <cellStyle name="40% - Accent6 4 2 3 2 2 4 2 2" xfId="27516"/>
    <cellStyle name="40% - Accent6 4 2 3 2 2 4 2 3" xfId="27517"/>
    <cellStyle name="40% - Accent6 4 2 3 2 2 4 3" xfId="27518"/>
    <cellStyle name="40% - Accent6 4 2 3 2 2 4 3 2" xfId="27519"/>
    <cellStyle name="40% - Accent6 4 2 3 2 2 4 4" xfId="27520"/>
    <cellStyle name="40% - Accent6 4 2 3 2 2 4 5" xfId="27521"/>
    <cellStyle name="40% - Accent6 4 2 3 2 2 5" xfId="27522"/>
    <cellStyle name="40% - Accent6 4 2 3 2 2 5 2" xfId="27523"/>
    <cellStyle name="40% - Accent6 4 2 3 2 2 5 3" xfId="27524"/>
    <cellStyle name="40% - Accent6 4 2 3 2 2 6" xfId="27525"/>
    <cellStyle name="40% - Accent6 4 2 3 2 2 6 2" xfId="27526"/>
    <cellStyle name="40% - Accent6 4 2 3 2 2 6 3" xfId="27527"/>
    <cellStyle name="40% - Accent6 4 2 3 2 2 7" xfId="27528"/>
    <cellStyle name="40% - Accent6 4 2 3 2 2 7 2" xfId="27529"/>
    <cellStyle name="40% - Accent6 4 2 3 2 2 8" xfId="27530"/>
    <cellStyle name="40% - Accent6 4 2 3 2 2 9" xfId="27531"/>
    <cellStyle name="40% - Accent6 4 2 3 2 3" xfId="27532"/>
    <cellStyle name="40% - Accent6 4 2 3 2 3 2" xfId="27533"/>
    <cellStyle name="40% - Accent6 4 2 3 2 3 2 2" xfId="27534"/>
    <cellStyle name="40% - Accent6 4 2 3 2 3 2 3" xfId="27535"/>
    <cellStyle name="40% - Accent6 4 2 3 2 3 3" xfId="27536"/>
    <cellStyle name="40% - Accent6 4 2 3 2 3 3 2" xfId="27537"/>
    <cellStyle name="40% - Accent6 4 2 3 2 3 3 3" xfId="27538"/>
    <cellStyle name="40% - Accent6 4 2 3 2 3 4" xfId="27539"/>
    <cellStyle name="40% - Accent6 4 2 3 2 3 4 2" xfId="27540"/>
    <cellStyle name="40% - Accent6 4 2 3 2 3 5" xfId="27541"/>
    <cellStyle name="40% - Accent6 4 2 3 2 3 6" xfId="27542"/>
    <cellStyle name="40% - Accent6 4 2 3 2 4" xfId="27543"/>
    <cellStyle name="40% - Accent6 4 2 3 2 4 2" xfId="27544"/>
    <cellStyle name="40% - Accent6 4 2 3 2 4 2 2" xfId="27545"/>
    <cellStyle name="40% - Accent6 4 2 3 2 4 2 3" xfId="27546"/>
    <cellStyle name="40% - Accent6 4 2 3 2 4 3" xfId="27547"/>
    <cellStyle name="40% - Accent6 4 2 3 2 4 3 2" xfId="27548"/>
    <cellStyle name="40% - Accent6 4 2 3 2 4 3 3" xfId="27549"/>
    <cellStyle name="40% - Accent6 4 2 3 2 4 4" xfId="27550"/>
    <cellStyle name="40% - Accent6 4 2 3 2 4 4 2" xfId="27551"/>
    <cellStyle name="40% - Accent6 4 2 3 2 4 5" xfId="27552"/>
    <cellStyle name="40% - Accent6 4 2 3 2 4 6" xfId="27553"/>
    <cellStyle name="40% - Accent6 4 2 3 2 5" xfId="27554"/>
    <cellStyle name="40% - Accent6 4 2 3 2 5 2" xfId="27555"/>
    <cellStyle name="40% - Accent6 4 2 3 2 5 2 2" xfId="27556"/>
    <cellStyle name="40% - Accent6 4 2 3 2 5 2 3" xfId="27557"/>
    <cellStyle name="40% - Accent6 4 2 3 2 5 3" xfId="27558"/>
    <cellStyle name="40% - Accent6 4 2 3 2 5 3 2" xfId="27559"/>
    <cellStyle name="40% - Accent6 4 2 3 2 5 4" xfId="27560"/>
    <cellStyle name="40% - Accent6 4 2 3 2 5 5" xfId="27561"/>
    <cellStyle name="40% - Accent6 4 2 3 2 6" xfId="27562"/>
    <cellStyle name="40% - Accent6 4 2 3 2 6 2" xfId="27563"/>
    <cellStyle name="40% - Accent6 4 2 3 2 6 3" xfId="27564"/>
    <cellStyle name="40% - Accent6 4 2 3 2 7" xfId="27565"/>
    <cellStyle name="40% - Accent6 4 2 3 2 7 2" xfId="27566"/>
    <cellStyle name="40% - Accent6 4 2 3 2 7 3" xfId="27567"/>
    <cellStyle name="40% - Accent6 4 2 3 2 8" xfId="27568"/>
    <cellStyle name="40% - Accent6 4 2 3 2 8 2" xfId="27569"/>
    <cellStyle name="40% - Accent6 4 2 3 2 9" xfId="27570"/>
    <cellStyle name="40% - Accent6 4 2 3 3" xfId="2660"/>
    <cellStyle name="40% - Accent6 4 2 3 3 2" xfId="27571"/>
    <cellStyle name="40% - Accent6 4 2 3 3 2 2" xfId="27572"/>
    <cellStyle name="40% - Accent6 4 2 3 3 2 2 2" xfId="27573"/>
    <cellStyle name="40% - Accent6 4 2 3 3 2 2 3" xfId="27574"/>
    <cellStyle name="40% - Accent6 4 2 3 3 2 3" xfId="27575"/>
    <cellStyle name="40% - Accent6 4 2 3 3 2 3 2" xfId="27576"/>
    <cellStyle name="40% - Accent6 4 2 3 3 2 3 3" xfId="27577"/>
    <cellStyle name="40% - Accent6 4 2 3 3 2 4" xfId="27578"/>
    <cellStyle name="40% - Accent6 4 2 3 3 2 4 2" xfId="27579"/>
    <cellStyle name="40% - Accent6 4 2 3 3 2 5" xfId="27580"/>
    <cellStyle name="40% - Accent6 4 2 3 3 2 6" xfId="27581"/>
    <cellStyle name="40% - Accent6 4 2 3 3 3" xfId="27582"/>
    <cellStyle name="40% - Accent6 4 2 3 3 3 2" xfId="27583"/>
    <cellStyle name="40% - Accent6 4 2 3 3 3 2 2" xfId="27584"/>
    <cellStyle name="40% - Accent6 4 2 3 3 3 2 3" xfId="27585"/>
    <cellStyle name="40% - Accent6 4 2 3 3 3 3" xfId="27586"/>
    <cellStyle name="40% - Accent6 4 2 3 3 3 3 2" xfId="27587"/>
    <cellStyle name="40% - Accent6 4 2 3 3 3 3 3" xfId="27588"/>
    <cellStyle name="40% - Accent6 4 2 3 3 3 4" xfId="27589"/>
    <cellStyle name="40% - Accent6 4 2 3 3 3 4 2" xfId="27590"/>
    <cellStyle name="40% - Accent6 4 2 3 3 3 5" xfId="27591"/>
    <cellStyle name="40% - Accent6 4 2 3 3 3 6" xfId="27592"/>
    <cellStyle name="40% - Accent6 4 2 3 3 4" xfId="27593"/>
    <cellStyle name="40% - Accent6 4 2 3 3 4 2" xfId="27594"/>
    <cellStyle name="40% - Accent6 4 2 3 3 4 2 2" xfId="27595"/>
    <cellStyle name="40% - Accent6 4 2 3 3 4 2 3" xfId="27596"/>
    <cellStyle name="40% - Accent6 4 2 3 3 4 3" xfId="27597"/>
    <cellStyle name="40% - Accent6 4 2 3 3 4 3 2" xfId="27598"/>
    <cellStyle name="40% - Accent6 4 2 3 3 4 4" xfId="27599"/>
    <cellStyle name="40% - Accent6 4 2 3 3 4 5" xfId="27600"/>
    <cellStyle name="40% - Accent6 4 2 3 3 5" xfId="27601"/>
    <cellStyle name="40% - Accent6 4 2 3 3 5 2" xfId="27602"/>
    <cellStyle name="40% - Accent6 4 2 3 3 5 3" xfId="27603"/>
    <cellStyle name="40% - Accent6 4 2 3 3 6" xfId="27604"/>
    <cellStyle name="40% - Accent6 4 2 3 3 6 2" xfId="27605"/>
    <cellStyle name="40% - Accent6 4 2 3 3 6 3" xfId="27606"/>
    <cellStyle name="40% - Accent6 4 2 3 3 7" xfId="27607"/>
    <cellStyle name="40% - Accent6 4 2 3 3 7 2" xfId="27608"/>
    <cellStyle name="40% - Accent6 4 2 3 3 8" xfId="27609"/>
    <cellStyle name="40% - Accent6 4 2 3 3 9" xfId="27610"/>
    <cellStyle name="40% - Accent6 4 2 3 4" xfId="27611"/>
    <cellStyle name="40% - Accent6 4 2 3 4 2" xfId="27612"/>
    <cellStyle name="40% - Accent6 4 2 3 4 2 2" xfId="27613"/>
    <cellStyle name="40% - Accent6 4 2 3 4 2 2 2" xfId="27614"/>
    <cellStyle name="40% - Accent6 4 2 3 4 2 2 3" xfId="27615"/>
    <cellStyle name="40% - Accent6 4 2 3 4 2 3" xfId="27616"/>
    <cellStyle name="40% - Accent6 4 2 3 4 2 3 2" xfId="27617"/>
    <cellStyle name="40% - Accent6 4 2 3 4 2 3 3" xfId="27618"/>
    <cellStyle name="40% - Accent6 4 2 3 4 2 4" xfId="27619"/>
    <cellStyle name="40% - Accent6 4 2 3 4 2 4 2" xfId="27620"/>
    <cellStyle name="40% - Accent6 4 2 3 4 2 5" xfId="27621"/>
    <cellStyle name="40% - Accent6 4 2 3 4 2 6" xfId="27622"/>
    <cellStyle name="40% - Accent6 4 2 3 4 3" xfId="27623"/>
    <cellStyle name="40% - Accent6 4 2 3 4 3 2" xfId="27624"/>
    <cellStyle name="40% - Accent6 4 2 3 4 3 2 2" xfId="27625"/>
    <cellStyle name="40% - Accent6 4 2 3 4 3 2 3" xfId="27626"/>
    <cellStyle name="40% - Accent6 4 2 3 4 3 3" xfId="27627"/>
    <cellStyle name="40% - Accent6 4 2 3 4 3 3 2" xfId="27628"/>
    <cellStyle name="40% - Accent6 4 2 3 4 3 3 3" xfId="27629"/>
    <cellStyle name="40% - Accent6 4 2 3 4 3 4" xfId="27630"/>
    <cellStyle name="40% - Accent6 4 2 3 4 3 4 2" xfId="27631"/>
    <cellStyle name="40% - Accent6 4 2 3 4 3 5" xfId="27632"/>
    <cellStyle name="40% - Accent6 4 2 3 4 3 6" xfId="27633"/>
    <cellStyle name="40% - Accent6 4 2 3 4 4" xfId="27634"/>
    <cellStyle name="40% - Accent6 4 2 3 4 4 2" xfId="27635"/>
    <cellStyle name="40% - Accent6 4 2 3 4 4 2 2" xfId="27636"/>
    <cellStyle name="40% - Accent6 4 2 3 4 4 2 3" xfId="27637"/>
    <cellStyle name="40% - Accent6 4 2 3 4 4 3" xfId="27638"/>
    <cellStyle name="40% - Accent6 4 2 3 4 4 3 2" xfId="27639"/>
    <cellStyle name="40% - Accent6 4 2 3 4 4 4" xfId="27640"/>
    <cellStyle name="40% - Accent6 4 2 3 4 4 5" xfId="27641"/>
    <cellStyle name="40% - Accent6 4 2 3 4 5" xfId="27642"/>
    <cellStyle name="40% - Accent6 4 2 3 4 5 2" xfId="27643"/>
    <cellStyle name="40% - Accent6 4 2 3 4 5 3" xfId="27644"/>
    <cellStyle name="40% - Accent6 4 2 3 4 6" xfId="27645"/>
    <cellStyle name="40% - Accent6 4 2 3 4 6 2" xfId="27646"/>
    <cellStyle name="40% - Accent6 4 2 3 4 6 3" xfId="27647"/>
    <cellStyle name="40% - Accent6 4 2 3 4 7" xfId="27648"/>
    <cellStyle name="40% - Accent6 4 2 3 4 7 2" xfId="27649"/>
    <cellStyle name="40% - Accent6 4 2 3 4 8" xfId="27650"/>
    <cellStyle name="40% - Accent6 4 2 3 4 9" xfId="27651"/>
    <cellStyle name="40% - Accent6 4 2 3 5" xfId="27652"/>
    <cellStyle name="40% - Accent6 4 2 3 5 2" xfId="27653"/>
    <cellStyle name="40% - Accent6 4 2 3 5 2 2" xfId="27654"/>
    <cellStyle name="40% - Accent6 4 2 3 5 2 3" xfId="27655"/>
    <cellStyle name="40% - Accent6 4 2 3 5 3" xfId="27656"/>
    <cellStyle name="40% - Accent6 4 2 3 5 3 2" xfId="27657"/>
    <cellStyle name="40% - Accent6 4 2 3 5 3 3" xfId="27658"/>
    <cellStyle name="40% - Accent6 4 2 3 5 4" xfId="27659"/>
    <cellStyle name="40% - Accent6 4 2 3 5 4 2" xfId="27660"/>
    <cellStyle name="40% - Accent6 4 2 3 5 5" xfId="27661"/>
    <cellStyle name="40% - Accent6 4 2 3 5 6" xfId="27662"/>
    <cellStyle name="40% - Accent6 4 2 3 6" xfId="27663"/>
    <cellStyle name="40% - Accent6 4 2 3 6 2" xfId="27664"/>
    <cellStyle name="40% - Accent6 4 2 3 6 2 2" xfId="27665"/>
    <cellStyle name="40% - Accent6 4 2 3 6 2 3" xfId="27666"/>
    <cellStyle name="40% - Accent6 4 2 3 6 3" xfId="27667"/>
    <cellStyle name="40% - Accent6 4 2 3 6 3 2" xfId="27668"/>
    <cellStyle name="40% - Accent6 4 2 3 6 3 3" xfId="27669"/>
    <cellStyle name="40% - Accent6 4 2 3 6 4" xfId="27670"/>
    <cellStyle name="40% - Accent6 4 2 3 6 4 2" xfId="27671"/>
    <cellStyle name="40% - Accent6 4 2 3 6 5" xfId="27672"/>
    <cellStyle name="40% - Accent6 4 2 3 6 6" xfId="27673"/>
    <cellStyle name="40% - Accent6 4 2 3 7" xfId="27674"/>
    <cellStyle name="40% - Accent6 4 2 3 7 2" xfId="27675"/>
    <cellStyle name="40% - Accent6 4 2 3 7 2 2" xfId="27676"/>
    <cellStyle name="40% - Accent6 4 2 3 7 2 3" xfId="27677"/>
    <cellStyle name="40% - Accent6 4 2 3 7 3" xfId="27678"/>
    <cellStyle name="40% - Accent6 4 2 3 7 3 2" xfId="27679"/>
    <cellStyle name="40% - Accent6 4 2 3 7 4" xfId="27680"/>
    <cellStyle name="40% - Accent6 4 2 3 7 5" xfId="27681"/>
    <cellStyle name="40% - Accent6 4 2 3 8" xfId="27682"/>
    <cellStyle name="40% - Accent6 4 2 3 8 2" xfId="27683"/>
    <cellStyle name="40% - Accent6 4 2 3 8 3" xfId="27684"/>
    <cellStyle name="40% - Accent6 4 2 3 9" xfId="27685"/>
    <cellStyle name="40% - Accent6 4 2 3 9 2" xfId="27686"/>
    <cellStyle name="40% - Accent6 4 2 3 9 3" xfId="27687"/>
    <cellStyle name="40% - Accent6 4 2 4" xfId="2661"/>
    <cellStyle name="40% - Accent6 4 2 4 10" xfId="27688"/>
    <cellStyle name="40% - Accent6 4 2 4 2" xfId="2662"/>
    <cellStyle name="40% - Accent6 4 2 4 2 2" xfId="27689"/>
    <cellStyle name="40% - Accent6 4 2 4 2 2 2" xfId="27690"/>
    <cellStyle name="40% - Accent6 4 2 4 2 2 2 2" xfId="27691"/>
    <cellStyle name="40% - Accent6 4 2 4 2 2 2 3" xfId="27692"/>
    <cellStyle name="40% - Accent6 4 2 4 2 2 3" xfId="27693"/>
    <cellStyle name="40% - Accent6 4 2 4 2 2 3 2" xfId="27694"/>
    <cellStyle name="40% - Accent6 4 2 4 2 2 3 3" xfId="27695"/>
    <cellStyle name="40% - Accent6 4 2 4 2 2 4" xfId="27696"/>
    <cellStyle name="40% - Accent6 4 2 4 2 2 4 2" xfId="27697"/>
    <cellStyle name="40% - Accent6 4 2 4 2 2 5" xfId="27698"/>
    <cellStyle name="40% - Accent6 4 2 4 2 2 6" xfId="27699"/>
    <cellStyle name="40% - Accent6 4 2 4 2 3" xfId="27700"/>
    <cellStyle name="40% - Accent6 4 2 4 2 3 2" xfId="27701"/>
    <cellStyle name="40% - Accent6 4 2 4 2 3 2 2" xfId="27702"/>
    <cellStyle name="40% - Accent6 4 2 4 2 3 2 3" xfId="27703"/>
    <cellStyle name="40% - Accent6 4 2 4 2 3 3" xfId="27704"/>
    <cellStyle name="40% - Accent6 4 2 4 2 3 3 2" xfId="27705"/>
    <cellStyle name="40% - Accent6 4 2 4 2 3 3 3" xfId="27706"/>
    <cellStyle name="40% - Accent6 4 2 4 2 3 4" xfId="27707"/>
    <cellStyle name="40% - Accent6 4 2 4 2 3 4 2" xfId="27708"/>
    <cellStyle name="40% - Accent6 4 2 4 2 3 5" xfId="27709"/>
    <cellStyle name="40% - Accent6 4 2 4 2 3 6" xfId="27710"/>
    <cellStyle name="40% - Accent6 4 2 4 2 4" xfId="27711"/>
    <cellStyle name="40% - Accent6 4 2 4 2 4 2" xfId="27712"/>
    <cellStyle name="40% - Accent6 4 2 4 2 4 2 2" xfId="27713"/>
    <cellStyle name="40% - Accent6 4 2 4 2 4 2 3" xfId="27714"/>
    <cellStyle name="40% - Accent6 4 2 4 2 4 3" xfId="27715"/>
    <cellStyle name="40% - Accent6 4 2 4 2 4 3 2" xfId="27716"/>
    <cellStyle name="40% - Accent6 4 2 4 2 4 4" xfId="27717"/>
    <cellStyle name="40% - Accent6 4 2 4 2 4 5" xfId="27718"/>
    <cellStyle name="40% - Accent6 4 2 4 2 5" xfId="27719"/>
    <cellStyle name="40% - Accent6 4 2 4 2 5 2" xfId="27720"/>
    <cellStyle name="40% - Accent6 4 2 4 2 5 3" xfId="27721"/>
    <cellStyle name="40% - Accent6 4 2 4 2 6" xfId="27722"/>
    <cellStyle name="40% - Accent6 4 2 4 2 6 2" xfId="27723"/>
    <cellStyle name="40% - Accent6 4 2 4 2 6 3" xfId="27724"/>
    <cellStyle name="40% - Accent6 4 2 4 2 7" xfId="27725"/>
    <cellStyle name="40% - Accent6 4 2 4 2 7 2" xfId="27726"/>
    <cellStyle name="40% - Accent6 4 2 4 2 8" xfId="27727"/>
    <cellStyle name="40% - Accent6 4 2 4 2 9" xfId="27728"/>
    <cellStyle name="40% - Accent6 4 2 4 3" xfId="27729"/>
    <cellStyle name="40% - Accent6 4 2 4 3 2" xfId="27730"/>
    <cellStyle name="40% - Accent6 4 2 4 3 2 2" xfId="27731"/>
    <cellStyle name="40% - Accent6 4 2 4 3 2 3" xfId="27732"/>
    <cellStyle name="40% - Accent6 4 2 4 3 3" xfId="27733"/>
    <cellStyle name="40% - Accent6 4 2 4 3 3 2" xfId="27734"/>
    <cellStyle name="40% - Accent6 4 2 4 3 3 3" xfId="27735"/>
    <cellStyle name="40% - Accent6 4 2 4 3 4" xfId="27736"/>
    <cellStyle name="40% - Accent6 4 2 4 3 4 2" xfId="27737"/>
    <cellStyle name="40% - Accent6 4 2 4 3 5" xfId="27738"/>
    <cellStyle name="40% - Accent6 4 2 4 3 6" xfId="27739"/>
    <cellStyle name="40% - Accent6 4 2 4 4" xfId="27740"/>
    <cellStyle name="40% - Accent6 4 2 4 4 2" xfId="27741"/>
    <cellStyle name="40% - Accent6 4 2 4 4 2 2" xfId="27742"/>
    <cellStyle name="40% - Accent6 4 2 4 4 2 3" xfId="27743"/>
    <cellStyle name="40% - Accent6 4 2 4 4 3" xfId="27744"/>
    <cellStyle name="40% - Accent6 4 2 4 4 3 2" xfId="27745"/>
    <cellStyle name="40% - Accent6 4 2 4 4 3 3" xfId="27746"/>
    <cellStyle name="40% - Accent6 4 2 4 4 4" xfId="27747"/>
    <cellStyle name="40% - Accent6 4 2 4 4 4 2" xfId="27748"/>
    <cellStyle name="40% - Accent6 4 2 4 4 5" xfId="27749"/>
    <cellStyle name="40% - Accent6 4 2 4 4 6" xfId="27750"/>
    <cellStyle name="40% - Accent6 4 2 4 5" xfId="27751"/>
    <cellStyle name="40% - Accent6 4 2 4 5 2" xfId="27752"/>
    <cellStyle name="40% - Accent6 4 2 4 5 2 2" xfId="27753"/>
    <cellStyle name="40% - Accent6 4 2 4 5 2 3" xfId="27754"/>
    <cellStyle name="40% - Accent6 4 2 4 5 3" xfId="27755"/>
    <cellStyle name="40% - Accent6 4 2 4 5 3 2" xfId="27756"/>
    <cellStyle name="40% - Accent6 4 2 4 5 4" xfId="27757"/>
    <cellStyle name="40% - Accent6 4 2 4 5 5" xfId="27758"/>
    <cellStyle name="40% - Accent6 4 2 4 6" xfId="27759"/>
    <cellStyle name="40% - Accent6 4 2 4 6 2" xfId="27760"/>
    <cellStyle name="40% - Accent6 4 2 4 6 3" xfId="27761"/>
    <cellStyle name="40% - Accent6 4 2 4 7" xfId="27762"/>
    <cellStyle name="40% - Accent6 4 2 4 7 2" xfId="27763"/>
    <cellStyle name="40% - Accent6 4 2 4 7 3" xfId="27764"/>
    <cellStyle name="40% - Accent6 4 2 4 8" xfId="27765"/>
    <cellStyle name="40% - Accent6 4 2 4 8 2" xfId="27766"/>
    <cellStyle name="40% - Accent6 4 2 4 9" xfId="27767"/>
    <cellStyle name="40% - Accent6 4 2 5" xfId="2663"/>
    <cellStyle name="40% - Accent6 4 2 5 2" xfId="27768"/>
    <cellStyle name="40% - Accent6 4 2 5 2 2" xfId="27769"/>
    <cellStyle name="40% - Accent6 4 2 5 2 2 2" xfId="27770"/>
    <cellStyle name="40% - Accent6 4 2 5 2 2 3" xfId="27771"/>
    <cellStyle name="40% - Accent6 4 2 5 2 3" xfId="27772"/>
    <cellStyle name="40% - Accent6 4 2 5 2 3 2" xfId="27773"/>
    <cellStyle name="40% - Accent6 4 2 5 2 3 3" xfId="27774"/>
    <cellStyle name="40% - Accent6 4 2 5 2 4" xfId="27775"/>
    <cellStyle name="40% - Accent6 4 2 5 2 4 2" xfId="27776"/>
    <cellStyle name="40% - Accent6 4 2 5 2 5" xfId="27777"/>
    <cellStyle name="40% - Accent6 4 2 5 2 6" xfId="27778"/>
    <cellStyle name="40% - Accent6 4 2 5 3" xfId="27779"/>
    <cellStyle name="40% - Accent6 4 2 5 3 2" xfId="27780"/>
    <cellStyle name="40% - Accent6 4 2 5 3 2 2" xfId="27781"/>
    <cellStyle name="40% - Accent6 4 2 5 3 2 3" xfId="27782"/>
    <cellStyle name="40% - Accent6 4 2 5 3 3" xfId="27783"/>
    <cellStyle name="40% - Accent6 4 2 5 3 3 2" xfId="27784"/>
    <cellStyle name="40% - Accent6 4 2 5 3 3 3" xfId="27785"/>
    <cellStyle name="40% - Accent6 4 2 5 3 4" xfId="27786"/>
    <cellStyle name="40% - Accent6 4 2 5 3 4 2" xfId="27787"/>
    <cellStyle name="40% - Accent6 4 2 5 3 5" xfId="27788"/>
    <cellStyle name="40% - Accent6 4 2 5 3 6" xfId="27789"/>
    <cellStyle name="40% - Accent6 4 2 5 4" xfId="27790"/>
    <cellStyle name="40% - Accent6 4 2 5 4 2" xfId="27791"/>
    <cellStyle name="40% - Accent6 4 2 5 4 2 2" xfId="27792"/>
    <cellStyle name="40% - Accent6 4 2 5 4 2 3" xfId="27793"/>
    <cellStyle name="40% - Accent6 4 2 5 4 3" xfId="27794"/>
    <cellStyle name="40% - Accent6 4 2 5 4 3 2" xfId="27795"/>
    <cellStyle name="40% - Accent6 4 2 5 4 4" xfId="27796"/>
    <cellStyle name="40% - Accent6 4 2 5 4 5" xfId="27797"/>
    <cellStyle name="40% - Accent6 4 2 5 5" xfId="27798"/>
    <cellStyle name="40% - Accent6 4 2 5 5 2" xfId="27799"/>
    <cellStyle name="40% - Accent6 4 2 5 5 3" xfId="27800"/>
    <cellStyle name="40% - Accent6 4 2 5 6" xfId="27801"/>
    <cellStyle name="40% - Accent6 4 2 5 6 2" xfId="27802"/>
    <cellStyle name="40% - Accent6 4 2 5 6 3" xfId="27803"/>
    <cellStyle name="40% - Accent6 4 2 5 7" xfId="27804"/>
    <cellStyle name="40% - Accent6 4 2 5 7 2" xfId="27805"/>
    <cellStyle name="40% - Accent6 4 2 5 8" xfId="27806"/>
    <cellStyle name="40% - Accent6 4 2 5 9" xfId="27807"/>
    <cellStyle name="40% - Accent6 4 2 6" xfId="27808"/>
    <cellStyle name="40% - Accent6 4 2 6 2" xfId="27809"/>
    <cellStyle name="40% - Accent6 4 2 6 2 2" xfId="27810"/>
    <cellStyle name="40% - Accent6 4 2 6 2 2 2" xfId="27811"/>
    <cellStyle name="40% - Accent6 4 2 6 2 2 3" xfId="27812"/>
    <cellStyle name="40% - Accent6 4 2 6 2 3" xfId="27813"/>
    <cellStyle name="40% - Accent6 4 2 6 2 3 2" xfId="27814"/>
    <cellStyle name="40% - Accent6 4 2 6 2 3 3" xfId="27815"/>
    <cellStyle name="40% - Accent6 4 2 6 2 4" xfId="27816"/>
    <cellStyle name="40% - Accent6 4 2 6 2 4 2" xfId="27817"/>
    <cellStyle name="40% - Accent6 4 2 6 2 5" xfId="27818"/>
    <cellStyle name="40% - Accent6 4 2 6 2 6" xfId="27819"/>
    <cellStyle name="40% - Accent6 4 2 6 3" xfId="27820"/>
    <cellStyle name="40% - Accent6 4 2 6 3 2" xfId="27821"/>
    <cellStyle name="40% - Accent6 4 2 6 3 2 2" xfId="27822"/>
    <cellStyle name="40% - Accent6 4 2 6 3 2 3" xfId="27823"/>
    <cellStyle name="40% - Accent6 4 2 6 3 3" xfId="27824"/>
    <cellStyle name="40% - Accent6 4 2 6 3 3 2" xfId="27825"/>
    <cellStyle name="40% - Accent6 4 2 6 3 3 3" xfId="27826"/>
    <cellStyle name="40% - Accent6 4 2 6 3 4" xfId="27827"/>
    <cellStyle name="40% - Accent6 4 2 6 3 4 2" xfId="27828"/>
    <cellStyle name="40% - Accent6 4 2 6 3 5" xfId="27829"/>
    <cellStyle name="40% - Accent6 4 2 6 3 6" xfId="27830"/>
    <cellStyle name="40% - Accent6 4 2 6 4" xfId="27831"/>
    <cellStyle name="40% - Accent6 4 2 6 4 2" xfId="27832"/>
    <cellStyle name="40% - Accent6 4 2 6 4 2 2" xfId="27833"/>
    <cellStyle name="40% - Accent6 4 2 6 4 2 3" xfId="27834"/>
    <cellStyle name="40% - Accent6 4 2 6 4 3" xfId="27835"/>
    <cellStyle name="40% - Accent6 4 2 6 4 3 2" xfId="27836"/>
    <cellStyle name="40% - Accent6 4 2 6 4 4" xfId="27837"/>
    <cellStyle name="40% - Accent6 4 2 6 4 5" xfId="27838"/>
    <cellStyle name="40% - Accent6 4 2 6 5" xfId="27839"/>
    <cellStyle name="40% - Accent6 4 2 6 5 2" xfId="27840"/>
    <cellStyle name="40% - Accent6 4 2 6 5 3" xfId="27841"/>
    <cellStyle name="40% - Accent6 4 2 6 6" xfId="27842"/>
    <cellStyle name="40% - Accent6 4 2 6 6 2" xfId="27843"/>
    <cellStyle name="40% - Accent6 4 2 6 6 3" xfId="27844"/>
    <cellStyle name="40% - Accent6 4 2 6 7" xfId="27845"/>
    <cellStyle name="40% - Accent6 4 2 6 7 2" xfId="27846"/>
    <cellStyle name="40% - Accent6 4 2 6 8" xfId="27847"/>
    <cellStyle name="40% - Accent6 4 2 6 9" xfId="27848"/>
    <cellStyle name="40% - Accent6 4 2 7" xfId="27849"/>
    <cellStyle name="40% - Accent6 4 2 7 2" xfId="27850"/>
    <cellStyle name="40% - Accent6 4 2 7 2 2" xfId="27851"/>
    <cellStyle name="40% - Accent6 4 2 7 2 3" xfId="27852"/>
    <cellStyle name="40% - Accent6 4 2 7 3" xfId="27853"/>
    <cellStyle name="40% - Accent6 4 2 7 3 2" xfId="27854"/>
    <cellStyle name="40% - Accent6 4 2 7 3 3" xfId="27855"/>
    <cellStyle name="40% - Accent6 4 2 7 4" xfId="27856"/>
    <cellStyle name="40% - Accent6 4 2 7 4 2" xfId="27857"/>
    <cellStyle name="40% - Accent6 4 2 7 5" xfId="27858"/>
    <cellStyle name="40% - Accent6 4 2 7 6" xfId="27859"/>
    <cellStyle name="40% - Accent6 4 2 8" xfId="27860"/>
    <cellStyle name="40% - Accent6 4 2 8 2" xfId="27861"/>
    <cellStyle name="40% - Accent6 4 2 8 2 2" xfId="27862"/>
    <cellStyle name="40% - Accent6 4 2 8 2 3" xfId="27863"/>
    <cellStyle name="40% - Accent6 4 2 8 3" xfId="27864"/>
    <cellStyle name="40% - Accent6 4 2 8 3 2" xfId="27865"/>
    <cellStyle name="40% - Accent6 4 2 8 3 3" xfId="27866"/>
    <cellStyle name="40% - Accent6 4 2 8 4" xfId="27867"/>
    <cellStyle name="40% - Accent6 4 2 8 4 2" xfId="27868"/>
    <cellStyle name="40% - Accent6 4 2 8 5" xfId="27869"/>
    <cellStyle name="40% - Accent6 4 2 8 6" xfId="27870"/>
    <cellStyle name="40% - Accent6 4 2 9" xfId="27871"/>
    <cellStyle name="40% - Accent6 4 2 9 2" xfId="27872"/>
    <cellStyle name="40% - Accent6 4 2 9 2 2" xfId="27873"/>
    <cellStyle name="40% - Accent6 4 2 9 2 3" xfId="27874"/>
    <cellStyle name="40% - Accent6 4 2 9 3" xfId="27875"/>
    <cellStyle name="40% - Accent6 4 2 9 3 2" xfId="27876"/>
    <cellStyle name="40% - Accent6 4 2 9 4" xfId="27877"/>
    <cellStyle name="40% - Accent6 4 2 9 5" xfId="27878"/>
    <cellStyle name="40% - Accent6 4 3" xfId="2664"/>
    <cellStyle name="40% - Accent6 4 3 10" xfId="27879"/>
    <cellStyle name="40% - Accent6 4 3 10 2" xfId="27880"/>
    <cellStyle name="40% - Accent6 4 3 10 3" xfId="27881"/>
    <cellStyle name="40% - Accent6 4 3 11" xfId="27882"/>
    <cellStyle name="40% - Accent6 4 3 11 2" xfId="27883"/>
    <cellStyle name="40% - Accent6 4 3 12" xfId="27884"/>
    <cellStyle name="40% - Accent6 4 3 13" xfId="27885"/>
    <cellStyle name="40% - Accent6 4 3 14" xfId="27886"/>
    <cellStyle name="40% - Accent6 4 3 2" xfId="2665"/>
    <cellStyle name="40% - Accent6 4 3 2 10" xfId="27887"/>
    <cellStyle name="40% - Accent6 4 3 2 10 2" xfId="27888"/>
    <cellStyle name="40% - Accent6 4 3 2 11" xfId="27889"/>
    <cellStyle name="40% - Accent6 4 3 2 12" xfId="27890"/>
    <cellStyle name="40% - Accent6 4 3 2 2" xfId="2666"/>
    <cellStyle name="40% - Accent6 4 3 2 2 10" xfId="27891"/>
    <cellStyle name="40% - Accent6 4 3 2 2 2" xfId="2667"/>
    <cellStyle name="40% - Accent6 4 3 2 2 2 2" xfId="27892"/>
    <cellStyle name="40% - Accent6 4 3 2 2 2 2 2" xfId="27893"/>
    <cellStyle name="40% - Accent6 4 3 2 2 2 2 2 2" xfId="27894"/>
    <cellStyle name="40% - Accent6 4 3 2 2 2 2 2 3" xfId="27895"/>
    <cellStyle name="40% - Accent6 4 3 2 2 2 2 3" xfId="27896"/>
    <cellStyle name="40% - Accent6 4 3 2 2 2 2 3 2" xfId="27897"/>
    <cellStyle name="40% - Accent6 4 3 2 2 2 2 3 3" xfId="27898"/>
    <cellStyle name="40% - Accent6 4 3 2 2 2 2 4" xfId="27899"/>
    <cellStyle name="40% - Accent6 4 3 2 2 2 2 4 2" xfId="27900"/>
    <cellStyle name="40% - Accent6 4 3 2 2 2 2 5" xfId="27901"/>
    <cellStyle name="40% - Accent6 4 3 2 2 2 2 6" xfId="27902"/>
    <cellStyle name="40% - Accent6 4 3 2 2 2 3" xfId="27903"/>
    <cellStyle name="40% - Accent6 4 3 2 2 2 3 2" xfId="27904"/>
    <cellStyle name="40% - Accent6 4 3 2 2 2 3 2 2" xfId="27905"/>
    <cellStyle name="40% - Accent6 4 3 2 2 2 3 2 3" xfId="27906"/>
    <cellStyle name="40% - Accent6 4 3 2 2 2 3 3" xfId="27907"/>
    <cellStyle name="40% - Accent6 4 3 2 2 2 3 3 2" xfId="27908"/>
    <cellStyle name="40% - Accent6 4 3 2 2 2 3 3 3" xfId="27909"/>
    <cellStyle name="40% - Accent6 4 3 2 2 2 3 4" xfId="27910"/>
    <cellStyle name="40% - Accent6 4 3 2 2 2 3 4 2" xfId="27911"/>
    <cellStyle name="40% - Accent6 4 3 2 2 2 3 5" xfId="27912"/>
    <cellStyle name="40% - Accent6 4 3 2 2 2 3 6" xfId="27913"/>
    <cellStyle name="40% - Accent6 4 3 2 2 2 4" xfId="27914"/>
    <cellStyle name="40% - Accent6 4 3 2 2 2 4 2" xfId="27915"/>
    <cellStyle name="40% - Accent6 4 3 2 2 2 4 2 2" xfId="27916"/>
    <cellStyle name="40% - Accent6 4 3 2 2 2 4 2 3" xfId="27917"/>
    <cellStyle name="40% - Accent6 4 3 2 2 2 4 3" xfId="27918"/>
    <cellStyle name="40% - Accent6 4 3 2 2 2 4 3 2" xfId="27919"/>
    <cellStyle name="40% - Accent6 4 3 2 2 2 4 4" xfId="27920"/>
    <cellStyle name="40% - Accent6 4 3 2 2 2 4 5" xfId="27921"/>
    <cellStyle name="40% - Accent6 4 3 2 2 2 5" xfId="27922"/>
    <cellStyle name="40% - Accent6 4 3 2 2 2 5 2" xfId="27923"/>
    <cellStyle name="40% - Accent6 4 3 2 2 2 5 3" xfId="27924"/>
    <cellStyle name="40% - Accent6 4 3 2 2 2 6" xfId="27925"/>
    <cellStyle name="40% - Accent6 4 3 2 2 2 6 2" xfId="27926"/>
    <cellStyle name="40% - Accent6 4 3 2 2 2 6 3" xfId="27927"/>
    <cellStyle name="40% - Accent6 4 3 2 2 2 7" xfId="27928"/>
    <cellStyle name="40% - Accent6 4 3 2 2 2 7 2" xfId="27929"/>
    <cellStyle name="40% - Accent6 4 3 2 2 2 8" xfId="27930"/>
    <cellStyle name="40% - Accent6 4 3 2 2 2 9" xfId="27931"/>
    <cellStyle name="40% - Accent6 4 3 2 2 3" xfId="27932"/>
    <cellStyle name="40% - Accent6 4 3 2 2 3 2" xfId="27933"/>
    <cellStyle name="40% - Accent6 4 3 2 2 3 2 2" xfId="27934"/>
    <cellStyle name="40% - Accent6 4 3 2 2 3 2 3" xfId="27935"/>
    <cellStyle name="40% - Accent6 4 3 2 2 3 3" xfId="27936"/>
    <cellStyle name="40% - Accent6 4 3 2 2 3 3 2" xfId="27937"/>
    <cellStyle name="40% - Accent6 4 3 2 2 3 3 3" xfId="27938"/>
    <cellStyle name="40% - Accent6 4 3 2 2 3 4" xfId="27939"/>
    <cellStyle name="40% - Accent6 4 3 2 2 3 4 2" xfId="27940"/>
    <cellStyle name="40% - Accent6 4 3 2 2 3 5" xfId="27941"/>
    <cellStyle name="40% - Accent6 4 3 2 2 3 6" xfId="27942"/>
    <cellStyle name="40% - Accent6 4 3 2 2 4" xfId="27943"/>
    <cellStyle name="40% - Accent6 4 3 2 2 4 2" xfId="27944"/>
    <cellStyle name="40% - Accent6 4 3 2 2 4 2 2" xfId="27945"/>
    <cellStyle name="40% - Accent6 4 3 2 2 4 2 3" xfId="27946"/>
    <cellStyle name="40% - Accent6 4 3 2 2 4 3" xfId="27947"/>
    <cellStyle name="40% - Accent6 4 3 2 2 4 3 2" xfId="27948"/>
    <cellStyle name="40% - Accent6 4 3 2 2 4 3 3" xfId="27949"/>
    <cellStyle name="40% - Accent6 4 3 2 2 4 4" xfId="27950"/>
    <cellStyle name="40% - Accent6 4 3 2 2 4 4 2" xfId="27951"/>
    <cellStyle name="40% - Accent6 4 3 2 2 4 5" xfId="27952"/>
    <cellStyle name="40% - Accent6 4 3 2 2 4 6" xfId="27953"/>
    <cellStyle name="40% - Accent6 4 3 2 2 5" xfId="27954"/>
    <cellStyle name="40% - Accent6 4 3 2 2 5 2" xfId="27955"/>
    <cellStyle name="40% - Accent6 4 3 2 2 5 2 2" xfId="27956"/>
    <cellStyle name="40% - Accent6 4 3 2 2 5 2 3" xfId="27957"/>
    <cellStyle name="40% - Accent6 4 3 2 2 5 3" xfId="27958"/>
    <cellStyle name="40% - Accent6 4 3 2 2 5 3 2" xfId="27959"/>
    <cellStyle name="40% - Accent6 4 3 2 2 5 4" xfId="27960"/>
    <cellStyle name="40% - Accent6 4 3 2 2 5 5" xfId="27961"/>
    <cellStyle name="40% - Accent6 4 3 2 2 6" xfId="27962"/>
    <cellStyle name="40% - Accent6 4 3 2 2 6 2" xfId="27963"/>
    <cellStyle name="40% - Accent6 4 3 2 2 6 3" xfId="27964"/>
    <cellStyle name="40% - Accent6 4 3 2 2 7" xfId="27965"/>
    <cellStyle name="40% - Accent6 4 3 2 2 7 2" xfId="27966"/>
    <cellStyle name="40% - Accent6 4 3 2 2 7 3" xfId="27967"/>
    <cellStyle name="40% - Accent6 4 3 2 2 8" xfId="27968"/>
    <cellStyle name="40% - Accent6 4 3 2 2 8 2" xfId="27969"/>
    <cellStyle name="40% - Accent6 4 3 2 2 9" xfId="27970"/>
    <cellStyle name="40% - Accent6 4 3 2 3" xfId="2668"/>
    <cellStyle name="40% - Accent6 4 3 2 3 2" xfId="27971"/>
    <cellStyle name="40% - Accent6 4 3 2 3 2 2" xfId="27972"/>
    <cellStyle name="40% - Accent6 4 3 2 3 2 2 2" xfId="27973"/>
    <cellStyle name="40% - Accent6 4 3 2 3 2 2 3" xfId="27974"/>
    <cellStyle name="40% - Accent6 4 3 2 3 2 3" xfId="27975"/>
    <cellStyle name="40% - Accent6 4 3 2 3 2 3 2" xfId="27976"/>
    <cellStyle name="40% - Accent6 4 3 2 3 2 3 3" xfId="27977"/>
    <cellStyle name="40% - Accent6 4 3 2 3 2 4" xfId="27978"/>
    <cellStyle name="40% - Accent6 4 3 2 3 2 4 2" xfId="27979"/>
    <cellStyle name="40% - Accent6 4 3 2 3 2 5" xfId="27980"/>
    <cellStyle name="40% - Accent6 4 3 2 3 2 6" xfId="27981"/>
    <cellStyle name="40% - Accent6 4 3 2 3 3" xfId="27982"/>
    <cellStyle name="40% - Accent6 4 3 2 3 3 2" xfId="27983"/>
    <cellStyle name="40% - Accent6 4 3 2 3 3 2 2" xfId="27984"/>
    <cellStyle name="40% - Accent6 4 3 2 3 3 2 3" xfId="27985"/>
    <cellStyle name="40% - Accent6 4 3 2 3 3 3" xfId="27986"/>
    <cellStyle name="40% - Accent6 4 3 2 3 3 3 2" xfId="27987"/>
    <cellStyle name="40% - Accent6 4 3 2 3 3 3 3" xfId="27988"/>
    <cellStyle name="40% - Accent6 4 3 2 3 3 4" xfId="27989"/>
    <cellStyle name="40% - Accent6 4 3 2 3 3 4 2" xfId="27990"/>
    <cellStyle name="40% - Accent6 4 3 2 3 3 5" xfId="27991"/>
    <cellStyle name="40% - Accent6 4 3 2 3 3 6" xfId="27992"/>
    <cellStyle name="40% - Accent6 4 3 2 3 4" xfId="27993"/>
    <cellStyle name="40% - Accent6 4 3 2 3 4 2" xfId="27994"/>
    <cellStyle name="40% - Accent6 4 3 2 3 4 2 2" xfId="27995"/>
    <cellStyle name="40% - Accent6 4 3 2 3 4 2 3" xfId="27996"/>
    <cellStyle name="40% - Accent6 4 3 2 3 4 3" xfId="27997"/>
    <cellStyle name="40% - Accent6 4 3 2 3 4 3 2" xfId="27998"/>
    <cellStyle name="40% - Accent6 4 3 2 3 4 4" xfId="27999"/>
    <cellStyle name="40% - Accent6 4 3 2 3 4 5" xfId="28000"/>
    <cellStyle name="40% - Accent6 4 3 2 3 5" xfId="28001"/>
    <cellStyle name="40% - Accent6 4 3 2 3 5 2" xfId="28002"/>
    <cellStyle name="40% - Accent6 4 3 2 3 5 3" xfId="28003"/>
    <cellStyle name="40% - Accent6 4 3 2 3 6" xfId="28004"/>
    <cellStyle name="40% - Accent6 4 3 2 3 6 2" xfId="28005"/>
    <cellStyle name="40% - Accent6 4 3 2 3 6 3" xfId="28006"/>
    <cellStyle name="40% - Accent6 4 3 2 3 7" xfId="28007"/>
    <cellStyle name="40% - Accent6 4 3 2 3 7 2" xfId="28008"/>
    <cellStyle name="40% - Accent6 4 3 2 3 8" xfId="28009"/>
    <cellStyle name="40% - Accent6 4 3 2 3 9" xfId="28010"/>
    <cellStyle name="40% - Accent6 4 3 2 4" xfId="28011"/>
    <cellStyle name="40% - Accent6 4 3 2 4 2" xfId="28012"/>
    <cellStyle name="40% - Accent6 4 3 2 4 2 2" xfId="28013"/>
    <cellStyle name="40% - Accent6 4 3 2 4 2 2 2" xfId="28014"/>
    <cellStyle name="40% - Accent6 4 3 2 4 2 2 3" xfId="28015"/>
    <cellStyle name="40% - Accent6 4 3 2 4 2 3" xfId="28016"/>
    <cellStyle name="40% - Accent6 4 3 2 4 2 3 2" xfId="28017"/>
    <cellStyle name="40% - Accent6 4 3 2 4 2 3 3" xfId="28018"/>
    <cellStyle name="40% - Accent6 4 3 2 4 2 4" xfId="28019"/>
    <cellStyle name="40% - Accent6 4 3 2 4 2 4 2" xfId="28020"/>
    <cellStyle name="40% - Accent6 4 3 2 4 2 5" xfId="28021"/>
    <cellStyle name="40% - Accent6 4 3 2 4 2 6" xfId="28022"/>
    <cellStyle name="40% - Accent6 4 3 2 4 3" xfId="28023"/>
    <cellStyle name="40% - Accent6 4 3 2 4 3 2" xfId="28024"/>
    <cellStyle name="40% - Accent6 4 3 2 4 3 2 2" xfId="28025"/>
    <cellStyle name="40% - Accent6 4 3 2 4 3 2 3" xfId="28026"/>
    <cellStyle name="40% - Accent6 4 3 2 4 3 3" xfId="28027"/>
    <cellStyle name="40% - Accent6 4 3 2 4 3 3 2" xfId="28028"/>
    <cellStyle name="40% - Accent6 4 3 2 4 3 3 3" xfId="28029"/>
    <cellStyle name="40% - Accent6 4 3 2 4 3 4" xfId="28030"/>
    <cellStyle name="40% - Accent6 4 3 2 4 3 4 2" xfId="28031"/>
    <cellStyle name="40% - Accent6 4 3 2 4 3 5" xfId="28032"/>
    <cellStyle name="40% - Accent6 4 3 2 4 3 6" xfId="28033"/>
    <cellStyle name="40% - Accent6 4 3 2 4 4" xfId="28034"/>
    <cellStyle name="40% - Accent6 4 3 2 4 4 2" xfId="28035"/>
    <cellStyle name="40% - Accent6 4 3 2 4 4 2 2" xfId="28036"/>
    <cellStyle name="40% - Accent6 4 3 2 4 4 2 3" xfId="28037"/>
    <cellStyle name="40% - Accent6 4 3 2 4 4 3" xfId="28038"/>
    <cellStyle name="40% - Accent6 4 3 2 4 4 3 2" xfId="28039"/>
    <cellStyle name="40% - Accent6 4 3 2 4 4 4" xfId="28040"/>
    <cellStyle name="40% - Accent6 4 3 2 4 4 5" xfId="28041"/>
    <cellStyle name="40% - Accent6 4 3 2 4 5" xfId="28042"/>
    <cellStyle name="40% - Accent6 4 3 2 4 5 2" xfId="28043"/>
    <cellStyle name="40% - Accent6 4 3 2 4 5 3" xfId="28044"/>
    <cellStyle name="40% - Accent6 4 3 2 4 6" xfId="28045"/>
    <cellStyle name="40% - Accent6 4 3 2 4 6 2" xfId="28046"/>
    <cellStyle name="40% - Accent6 4 3 2 4 6 3" xfId="28047"/>
    <cellStyle name="40% - Accent6 4 3 2 4 7" xfId="28048"/>
    <cellStyle name="40% - Accent6 4 3 2 4 7 2" xfId="28049"/>
    <cellStyle name="40% - Accent6 4 3 2 4 8" xfId="28050"/>
    <cellStyle name="40% - Accent6 4 3 2 4 9" xfId="28051"/>
    <cellStyle name="40% - Accent6 4 3 2 5" xfId="28052"/>
    <cellStyle name="40% - Accent6 4 3 2 5 2" xfId="28053"/>
    <cellStyle name="40% - Accent6 4 3 2 5 2 2" xfId="28054"/>
    <cellStyle name="40% - Accent6 4 3 2 5 2 3" xfId="28055"/>
    <cellStyle name="40% - Accent6 4 3 2 5 3" xfId="28056"/>
    <cellStyle name="40% - Accent6 4 3 2 5 3 2" xfId="28057"/>
    <cellStyle name="40% - Accent6 4 3 2 5 3 3" xfId="28058"/>
    <cellStyle name="40% - Accent6 4 3 2 5 4" xfId="28059"/>
    <cellStyle name="40% - Accent6 4 3 2 5 4 2" xfId="28060"/>
    <cellStyle name="40% - Accent6 4 3 2 5 5" xfId="28061"/>
    <cellStyle name="40% - Accent6 4 3 2 5 6" xfId="28062"/>
    <cellStyle name="40% - Accent6 4 3 2 6" xfId="28063"/>
    <cellStyle name="40% - Accent6 4 3 2 6 2" xfId="28064"/>
    <cellStyle name="40% - Accent6 4 3 2 6 2 2" xfId="28065"/>
    <cellStyle name="40% - Accent6 4 3 2 6 2 3" xfId="28066"/>
    <cellStyle name="40% - Accent6 4 3 2 6 3" xfId="28067"/>
    <cellStyle name="40% - Accent6 4 3 2 6 3 2" xfId="28068"/>
    <cellStyle name="40% - Accent6 4 3 2 6 3 3" xfId="28069"/>
    <cellStyle name="40% - Accent6 4 3 2 6 4" xfId="28070"/>
    <cellStyle name="40% - Accent6 4 3 2 6 4 2" xfId="28071"/>
    <cellStyle name="40% - Accent6 4 3 2 6 5" xfId="28072"/>
    <cellStyle name="40% - Accent6 4 3 2 6 6" xfId="28073"/>
    <cellStyle name="40% - Accent6 4 3 2 7" xfId="28074"/>
    <cellStyle name="40% - Accent6 4 3 2 7 2" xfId="28075"/>
    <cellStyle name="40% - Accent6 4 3 2 7 2 2" xfId="28076"/>
    <cellStyle name="40% - Accent6 4 3 2 7 2 3" xfId="28077"/>
    <cellStyle name="40% - Accent6 4 3 2 7 3" xfId="28078"/>
    <cellStyle name="40% - Accent6 4 3 2 7 3 2" xfId="28079"/>
    <cellStyle name="40% - Accent6 4 3 2 7 4" xfId="28080"/>
    <cellStyle name="40% - Accent6 4 3 2 7 5" xfId="28081"/>
    <cellStyle name="40% - Accent6 4 3 2 8" xfId="28082"/>
    <cellStyle name="40% - Accent6 4 3 2 8 2" xfId="28083"/>
    <cellStyle name="40% - Accent6 4 3 2 8 3" xfId="28084"/>
    <cellStyle name="40% - Accent6 4 3 2 9" xfId="28085"/>
    <cellStyle name="40% - Accent6 4 3 2 9 2" xfId="28086"/>
    <cellStyle name="40% - Accent6 4 3 2 9 3" xfId="28087"/>
    <cellStyle name="40% - Accent6 4 3 3" xfId="2669"/>
    <cellStyle name="40% - Accent6 4 3 3 10" xfId="28088"/>
    <cellStyle name="40% - Accent6 4 3 3 2" xfId="2670"/>
    <cellStyle name="40% - Accent6 4 3 3 2 2" xfId="28089"/>
    <cellStyle name="40% - Accent6 4 3 3 2 2 2" xfId="28090"/>
    <cellStyle name="40% - Accent6 4 3 3 2 2 2 2" xfId="28091"/>
    <cellStyle name="40% - Accent6 4 3 3 2 2 2 3" xfId="28092"/>
    <cellStyle name="40% - Accent6 4 3 3 2 2 3" xfId="28093"/>
    <cellStyle name="40% - Accent6 4 3 3 2 2 3 2" xfId="28094"/>
    <cellStyle name="40% - Accent6 4 3 3 2 2 3 3" xfId="28095"/>
    <cellStyle name="40% - Accent6 4 3 3 2 2 4" xfId="28096"/>
    <cellStyle name="40% - Accent6 4 3 3 2 2 4 2" xfId="28097"/>
    <cellStyle name="40% - Accent6 4 3 3 2 2 5" xfId="28098"/>
    <cellStyle name="40% - Accent6 4 3 3 2 2 6" xfId="28099"/>
    <cellStyle name="40% - Accent6 4 3 3 2 3" xfId="28100"/>
    <cellStyle name="40% - Accent6 4 3 3 2 3 2" xfId="28101"/>
    <cellStyle name="40% - Accent6 4 3 3 2 3 2 2" xfId="28102"/>
    <cellStyle name="40% - Accent6 4 3 3 2 3 2 3" xfId="28103"/>
    <cellStyle name="40% - Accent6 4 3 3 2 3 3" xfId="28104"/>
    <cellStyle name="40% - Accent6 4 3 3 2 3 3 2" xfId="28105"/>
    <cellStyle name="40% - Accent6 4 3 3 2 3 3 3" xfId="28106"/>
    <cellStyle name="40% - Accent6 4 3 3 2 3 4" xfId="28107"/>
    <cellStyle name="40% - Accent6 4 3 3 2 3 4 2" xfId="28108"/>
    <cellStyle name="40% - Accent6 4 3 3 2 3 5" xfId="28109"/>
    <cellStyle name="40% - Accent6 4 3 3 2 3 6" xfId="28110"/>
    <cellStyle name="40% - Accent6 4 3 3 2 4" xfId="28111"/>
    <cellStyle name="40% - Accent6 4 3 3 2 4 2" xfId="28112"/>
    <cellStyle name="40% - Accent6 4 3 3 2 4 2 2" xfId="28113"/>
    <cellStyle name="40% - Accent6 4 3 3 2 4 2 3" xfId="28114"/>
    <cellStyle name="40% - Accent6 4 3 3 2 4 3" xfId="28115"/>
    <cellStyle name="40% - Accent6 4 3 3 2 4 3 2" xfId="28116"/>
    <cellStyle name="40% - Accent6 4 3 3 2 4 4" xfId="28117"/>
    <cellStyle name="40% - Accent6 4 3 3 2 4 5" xfId="28118"/>
    <cellStyle name="40% - Accent6 4 3 3 2 5" xfId="28119"/>
    <cellStyle name="40% - Accent6 4 3 3 2 5 2" xfId="28120"/>
    <cellStyle name="40% - Accent6 4 3 3 2 5 3" xfId="28121"/>
    <cellStyle name="40% - Accent6 4 3 3 2 6" xfId="28122"/>
    <cellStyle name="40% - Accent6 4 3 3 2 6 2" xfId="28123"/>
    <cellStyle name="40% - Accent6 4 3 3 2 6 3" xfId="28124"/>
    <cellStyle name="40% - Accent6 4 3 3 2 7" xfId="28125"/>
    <cellStyle name="40% - Accent6 4 3 3 2 7 2" xfId="28126"/>
    <cellStyle name="40% - Accent6 4 3 3 2 8" xfId="28127"/>
    <cellStyle name="40% - Accent6 4 3 3 2 9" xfId="28128"/>
    <cellStyle name="40% - Accent6 4 3 3 3" xfId="28129"/>
    <cellStyle name="40% - Accent6 4 3 3 3 2" xfId="28130"/>
    <cellStyle name="40% - Accent6 4 3 3 3 2 2" xfId="28131"/>
    <cellStyle name="40% - Accent6 4 3 3 3 2 3" xfId="28132"/>
    <cellStyle name="40% - Accent6 4 3 3 3 3" xfId="28133"/>
    <cellStyle name="40% - Accent6 4 3 3 3 3 2" xfId="28134"/>
    <cellStyle name="40% - Accent6 4 3 3 3 3 3" xfId="28135"/>
    <cellStyle name="40% - Accent6 4 3 3 3 4" xfId="28136"/>
    <cellStyle name="40% - Accent6 4 3 3 3 4 2" xfId="28137"/>
    <cellStyle name="40% - Accent6 4 3 3 3 5" xfId="28138"/>
    <cellStyle name="40% - Accent6 4 3 3 3 6" xfId="28139"/>
    <cellStyle name="40% - Accent6 4 3 3 4" xfId="28140"/>
    <cellStyle name="40% - Accent6 4 3 3 4 2" xfId="28141"/>
    <cellStyle name="40% - Accent6 4 3 3 4 2 2" xfId="28142"/>
    <cellStyle name="40% - Accent6 4 3 3 4 2 3" xfId="28143"/>
    <cellStyle name="40% - Accent6 4 3 3 4 3" xfId="28144"/>
    <cellStyle name="40% - Accent6 4 3 3 4 3 2" xfId="28145"/>
    <cellStyle name="40% - Accent6 4 3 3 4 3 3" xfId="28146"/>
    <cellStyle name="40% - Accent6 4 3 3 4 4" xfId="28147"/>
    <cellStyle name="40% - Accent6 4 3 3 4 4 2" xfId="28148"/>
    <cellStyle name="40% - Accent6 4 3 3 4 5" xfId="28149"/>
    <cellStyle name="40% - Accent6 4 3 3 4 6" xfId="28150"/>
    <cellStyle name="40% - Accent6 4 3 3 5" xfId="28151"/>
    <cellStyle name="40% - Accent6 4 3 3 5 2" xfId="28152"/>
    <cellStyle name="40% - Accent6 4 3 3 5 2 2" xfId="28153"/>
    <cellStyle name="40% - Accent6 4 3 3 5 2 3" xfId="28154"/>
    <cellStyle name="40% - Accent6 4 3 3 5 3" xfId="28155"/>
    <cellStyle name="40% - Accent6 4 3 3 5 3 2" xfId="28156"/>
    <cellStyle name="40% - Accent6 4 3 3 5 4" xfId="28157"/>
    <cellStyle name="40% - Accent6 4 3 3 5 5" xfId="28158"/>
    <cellStyle name="40% - Accent6 4 3 3 6" xfId="28159"/>
    <cellStyle name="40% - Accent6 4 3 3 6 2" xfId="28160"/>
    <cellStyle name="40% - Accent6 4 3 3 6 3" xfId="28161"/>
    <cellStyle name="40% - Accent6 4 3 3 7" xfId="28162"/>
    <cellStyle name="40% - Accent6 4 3 3 7 2" xfId="28163"/>
    <cellStyle name="40% - Accent6 4 3 3 7 3" xfId="28164"/>
    <cellStyle name="40% - Accent6 4 3 3 8" xfId="28165"/>
    <cellStyle name="40% - Accent6 4 3 3 8 2" xfId="28166"/>
    <cellStyle name="40% - Accent6 4 3 3 9" xfId="28167"/>
    <cellStyle name="40% - Accent6 4 3 4" xfId="2671"/>
    <cellStyle name="40% - Accent6 4 3 4 2" xfId="28168"/>
    <cellStyle name="40% - Accent6 4 3 4 2 2" xfId="28169"/>
    <cellStyle name="40% - Accent6 4 3 4 2 2 2" xfId="28170"/>
    <cellStyle name="40% - Accent6 4 3 4 2 2 3" xfId="28171"/>
    <cellStyle name="40% - Accent6 4 3 4 2 3" xfId="28172"/>
    <cellStyle name="40% - Accent6 4 3 4 2 3 2" xfId="28173"/>
    <cellStyle name="40% - Accent6 4 3 4 2 3 3" xfId="28174"/>
    <cellStyle name="40% - Accent6 4 3 4 2 4" xfId="28175"/>
    <cellStyle name="40% - Accent6 4 3 4 2 4 2" xfId="28176"/>
    <cellStyle name="40% - Accent6 4 3 4 2 5" xfId="28177"/>
    <cellStyle name="40% - Accent6 4 3 4 2 6" xfId="28178"/>
    <cellStyle name="40% - Accent6 4 3 4 3" xfId="28179"/>
    <cellStyle name="40% - Accent6 4 3 4 3 2" xfId="28180"/>
    <cellStyle name="40% - Accent6 4 3 4 3 2 2" xfId="28181"/>
    <cellStyle name="40% - Accent6 4 3 4 3 2 3" xfId="28182"/>
    <cellStyle name="40% - Accent6 4 3 4 3 3" xfId="28183"/>
    <cellStyle name="40% - Accent6 4 3 4 3 3 2" xfId="28184"/>
    <cellStyle name="40% - Accent6 4 3 4 3 3 3" xfId="28185"/>
    <cellStyle name="40% - Accent6 4 3 4 3 4" xfId="28186"/>
    <cellStyle name="40% - Accent6 4 3 4 3 4 2" xfId="28187"/>
    <cellStyle name="40% - Accent6 4 3 4 3 5" xfId="28188"/>
    <cellStyle name="40% - Accent6 4 3 4 3 6" xfId="28189"/>
    <cellStyle name="40% - Accent6 4 3 4 4" xfId="28190"/>
    <cellStyle name="40% - Accent6 4 3 4 4 2" xfId="28191"/>
    <cellStyle name="40% - Accent6 4 3 4 4 2 2" xfId="28192"/>
    <cellStyle name="40% - Accent6 4 3 4 4 2 3" xfId="28193"/>
    <cellStyle name="40% - Accent6 4 3 4 4 3" xfId="28194"/>
    <cellStyle name="40% - Accent6 4 3 4 4 3 2" xfId="28195"/>
    <cellStyle name="40% - Accent6 4 3 4 4 4" xfId="28196"/>
    <cellStyle name="40% - Accent6 4 3 4 4 5" xfId="28197"/>
    <cellStyle name="40% - Accent6 4 3 4 5" xfId="28198"/>
    <cellStyle name="40% - Accent6 4 3 4 5 2" xfId="28199"/>
    <cellStyle name="40% - Accent6 4 3 4 5 3" xfId="28200"/>
    <cellStyle name="40% - Accent6 4 3 4 6" xfId="28201"/>
    <cellStyle name="40% - Accent6 4 3 4 6 2" xfId="28202"/>
    <cellStyle name="40% - Accent6 4 3 4 6 3" xfId="28203"/>
    <cellStyle name="40% - Accent6 4 3 4 7" xfId="28204"/>
    <cellStyle name="40% - Accent6 4 3 4 7 2" xfId="28205"/>
    <cellStyle name="40% - Accent6 4 3 4 8" xfId="28206"/>
    <cellStyle name="40% - Accent6 4 3 4 9" xfId="28207"/>
    <cellStyle name="40% - Accent6 4 3 5" xfId="28208"/>
    <cellStyle name="40% - Accent6 4 3 5 2" xfId="28209"/>
    <cellStyle name="40% - Accent6 4 3 5 2 2" xfId="28210"/>
    <cellStyle name="40% - Accent6 4 3 5 2 2 2" xfId="28211"/>
    <cellStyle name="40% - Accent6 4 3 5 2 2 3" xfId="28212"/>
    <cellStyle name="40% - Accent6 4 3 5 2 3" xfId="28213"/>
    <cellStyle name="40% - Accent6 4 3 5 2 3 2" xfId="28214"/>
    <cellStyle name="40% - Accent6 4 3 5 2 3 3" xfId="28215"/>
    <cellStyle name="40% - Accent6 4 3 5 2 4" xfId="28216"/>
    <cellStyle name="40% - Accent6 4 3 5 2 4 2" xfId="28217"/>
    <cellStyle name="40% - Accent6 4 3 5 2 5" xfId="28218"/>
    <cellStyle name="40% - Accent6 4 3 5 2 6" xfId="28219"/>
    <cellStyle name="40% - Accent6 4 3 5 3" xfId="28220"/>
    <cellStyle name="40% - Accent6 4 3 5 3 2" xfId="28221"/>
    <cellStyle name="40% - Accent6 4 3 5 3 2 2" xfId="28222"/>
    <cellStyle name="40% - Accent6 4 3 5 3 2 3" xfId="28223"/>
    <cellStyle name="40% - Accent6 4 3 5 3 3" xfId="28224"/>
    <cellStyle name="40% - Accent6 4 3 5 3 3 2" xfId="28225"/>
    <cellStyle name="40% - Accent6 4 3 5 3 3 3" xfId="28226"/>
    <cellStyle name="40% - Accent6 4 3 5 3 4" xfId="28227"/>
    <cellStyle name="40% - Accent6 4 3 5 3 4 2" xfId="28228"/>
    <cellStyle name="40% - Accent6 4 3 5 3 5" xfId="28229"/>
    <cellStyle name="40% - Accent6 4 3 5 3 6" xfId="28230"/>
    <cellStyle name="40% - Accent6 4 3 5 4" xfId="28231"/>
    <cellStyle name="40% - Accent6 4 3 5 4 2" xfId="28232"/>
    <cellStyle name="40% - Accent6 4 3 5 4 2 2" xfId="28233"/>
    <cellStyle name="40% - Accent6 4 3 5 4 2 3" xfId="28234"/>
    <cellStyle name="40% - Accent6 4 3 5 4 3" xfId="28235"/>
    <cellStyle name="40% - Accent6 4 3 5 4 3 2" xfId="28236"/>
    <cellStyle name="40% - Accent6 4 3 5 4 4" xfId="28237"/>
    <cellStyle name="40% - Accent6 4 3 5 4 5" xfId="28238"/>
    <cellStyle name="40% - Accent6 4 3 5 5" xfId="28239"/>
    <cellStyle name="40% - Accent6 4 3 5 5 2" xfId="28240"/>
    <cellStyle name="40% - Accent6 4 3 5 5 3" xfId="28241"/>
    <cellStyle name="40% - Accent6 4 3 5 6" xfId="28242"/>
    <cellStyle name="40% - Accent6 4 3 5 6 2" xfId="28243"/>
    <cellStyle name="40% - Accent6 4 3 5 6 3" xfId="28244"/>
    <cellStyle name="40% - Accent6 4 3 5 7" xfId="28245"/>
    <cellStyle name="40% - Accent6 4 3 5 7 2" xfId="28246"/>
    <cellStyle name="40% - Accent6 4 3 5 8" xfId="28247"/>
    <cellStyle name="40% - Accent6 4 3 5 9" xfId="28248"/>
    <cellStyle name="40% - Accent6 4 3 6" xfId="28249"/>
    <cellStyle name="40% - Accent6 4 3 6 2" xfId="28250"/>
    <cellStyle name="40% - Accent6 4 3 6 2 2" xfId="28251"/>
    <cellStyle name="40% - Accent6 4 3 6 2 3" xfId="28252"/>
    <cellStyle name="40% - Accent6 4 3 6 3" xfId="28253"/>
    <cellStyle name="40% - Accent6 4 3 6 3 2" xfId="28254"/>
    <cellStyle name="40% - Accent6 4 3 6 3 3" xfId="28255"/>
    <cellStyle name="40% - Accent6 4 3 6 4" xfId="28256"/>
    <cellStyle name="40% - Accent6 4 3 6 4 2" xfId="28257"/>
    <cellStyle name="40% - Accent6 4 3 6 5" xfId="28258"/>
    <cellStyle name="40% - Accent6 4 3 6 6" xfId="28259"/>
    <cellStyle name="40% - Accent6 4 3 7" xfId="28260"/>
    <cellStyle name="40% - Accent6 4 3 7 2" xfId="28261"/>
    <cellStyle name="40% - Accent6 4 3 7 2 2" xfId="28262"/>
    <cellStyle name="40% - Accent6 4 3 7 2 3" xfId="28263"/>
    <cellStyle name="40% - Accent6 4 3 7 3" xfId="28264"/>
    <cellStyle name="40% - Accent6 4 3 7 3 2" xfId="28265"/>
    <cellStyle name="40% - Accent6 4 3 7 3 3" xfId="28266"/>
    <cellStyle name="40% - Accent6 4 3 7 4" xfId="28267"/>
    <cellStyle name="40% - Accent6 4 3 7 4 2" xfId="28268"/>
    <cellStyle name="40% - Accent6 4 3 7 5" xfId="28269"/>
    <cellStyle name="40% - Accent6 4 3 7 6" xfId="28270"/>
    <cellStyle name="40% - Accent6 4 3 8" xfId="28271"/>
    <cellStyle name="40% - Accent6 4 3 8 2" xfId="28272"/>
    <cellStyle name="40% - Accent6 4 3 8 2 2" xfId="28273"/>
    <cellStyle name="40% - Accent6 4 3 8 2 3" xfId="28274"/>
    <cellStyle name="40% - Accent6 4 3 8 3" xfId="28275"/>
    <cellStyle name="40% - Accent6 4 3 8 3 2" xfId="28276"/>
    <cellStyle name="40% - Accent6 4 3 8 4" xfId="28277"/>
    <cellStyle name="40% - Accent6 4 3 8 5" xfId="28278"/>
    <cellStyle name="40% - Accent6 4 3 9" xfId="28279"/>
    <cellStyle name="40% - Accent6 4 3 9 2" xfId="28280"/>
    <cellStyle name="40% - Accent6 4 3 9 3" xfId="28281"/>
    <cellStyle name="40% - Accent6 4 4" xfId="2672"/>
    <cellStyle name="40% - Accent6 4 4 10" xfId="28282"/>
    <cellStyle name="40% - Accent6 4 4 10 2" xfId="28283"/>
    <cellStyle name="40% - Accent6 4 4 11" xfId="28284"/>
    <cellStyle name="40% - Accent6 4 4 12" xfId="28285"/>
    <cellStyle name="40% - Accent6 4 4 2" xfId="2673"/>
    <cellStyle name="40% - Accent6 4 4 2 10" xfId="28286"/>
    <cellStyle name="40% - Accent6 4 4 2 2" xfId="2674"/>
    <cellStyle name="40% - Accent6 4 4 2 2 2" xfId="28287"/>
    <cellStyle name="40% - Accent6 4 4 2 2 2 2" xfId="28288"/>
    <cellStyle name="40% - Accent6 4 4 2 2 2 2 2" xfId="28289"/>
    <cellStyle name="40% - Accent6 4 4 2 2 2 2 3" xfId="28290"/>
    <cellStyle name="40% - Accent6 4 4 2 2 2 3" xfId="28291"/>
    <cellStyle name="40% - Accent6 4 4 2 2 2 3 2" xfId="28292"/>
    <cellStyle name="40% - Accent6 4 4 2 2 2 3 3" xfId="28293"/>
    <cellStyle name="40% - Accent6 4 4 2 2 2 4" xfId="28294"/>
    <cellStyle name="40% - Accent6 4 4 2 2 2 4 2" xfId="28295"/>
    <cellStyle name="40% - Accent6 4 4 2 2 2 5" xfId="28296"/>
    <cellStyle name="40% - Accent6 4 4 2 2 2 6" xfId="28297"/>
    <cellStyle name="40% - Accent6 4 4 2 2 3" xfId="28298"/>
    <cellStyle name="40% - Accent6 4 4 2 2 3 2" xfId="28299"/>
    <cellStyle name="40% - Accent6 4 4 2 2 3 2 2" xfId="28300"/>
    <cellStyle name="40% - Accent6 4 4 2 2 3 2 3" xfId="28301"/>
    <cellStyle name="40% - Accent6 4 4 2 2 3 3" xfId="28302"/>
    <cellStyle name="40% - Accent6 4 4 2 2 3 3 2" xfId="28303"/>
    <cellStyle name="40% - Accent6 4 4 2 2 3 3 3" xfId="28304"/>
    <cellStyle name="40% - Accent6 4 4 2 2 3 4" xfId="28305"/>
    <cellStyle name="40% - Accent6 4 4 2 2 3 4 2" xfId="28306"/>
    <cellStyle name="40% - Accent6 4 4 2 2 3 5" xfId="28307"/>
    <cellStyle name="40% - Accent6 4 4 2 2 3 6" xfId="28308"/>
    <cellStyle name="40% - Accent6 4 4 2 2 4" xfId="28309"/>
    <cellStyle name="40% - Accent6 4 4 2 2 4 2" xfId="28310"/>
    <cellStyle name="40% - Accent6 4 4 2 2 4 2 2" xfId="28311"/>
    <cellStyle name="40% - Accent6 4 4 2 2 4 2 3" xfId="28312"/>
    <cellStyle name="40% - Accent6 4 4 2 2 4 3" xfId="28313"/>
    <cellStyle name="40% - Accent6 4 4 2 2 4 3 2" xfId="28314"/>
    <cellStyle name="40% - Accent6 4 4 2 2 4 4" xfId="28315"/>
    <cellStyle name="40% - Accent6 4 4 2 2 4 5" xfId="28316"/>
    <cellStyle name="40% - Accent6 4 4 2 2 5" xfId="28317"/>
    <cellStyle name="40% - Accent6 4 4 2 2 5 2" xfId="28318"/>
    <cellStyle name="40% - Accent6 4 4 2 2 5 3" xfId="28319"/>
    <cellStyle name="40% - Accent6 4 4 2 2 6" xfId="28320"/>
    <cellStyle name="40% - Accent6 4 4 2 2 6 2" xfId="28321"/>
    <cellStyle name="40% - Accent6 4 4 2 2 6 3" xfId="28322"/>
    <cellStyle name="40% - Accent6 4 4 2 2 7" xfId="28323"/>
    <cellStyle name="40% - Accent6 4 4 2 2 7 2" xfId="28324"/>
    <cellStyle name="40% - Accent6 4 4 2 2 8" xfId="28325"/>
    <cellStyle name="40% - Accent6 4 4 2 2 9" xfId="28326"/>
    <cellStyle name="40% - Accent6 4 4 2 3" xfId="28327"/>
    <cellStyle name="40% - Accent6 4 4 2 3 2" xfId="28328"/>
    <cellStyle name="40% - Accent6 4 4 2 3 2 2" xfId="28329"/>
    <cellStyle name="40% - Accent6 4 4 2 3 2 3" xfId="28330"/>
    <cellStyle name="40% - Accent6 4 4 2 3 3" xfId="28331"/>
    <cellStyle name="40% - Accent6 4 4 2 3 3 2" xfId="28332"/>
    <cellStyle name="40% - Accent6 4 4 2 3 3 3" xfId="28333"/>
    <cellStyle name="40% - Accent6 4 4 2 3 4" xfId="28334"/>
    <cellStyle name="40% - Accent6 4 4 2 3 4 2" xfId="28335"/>
    <cellStyle name="40% - Accent6 4 4 2 3 5" xfId="28336"/>
    <cellStyle name="40% - Accent6 4 4 2 3 6" xfId="28337"/>
    <cellStyle name="40% - Accent6 4 4 2 4" xfId="28338"/>
    <cellStyle name="40% - Accent6 4 4 2 4 2" xfId="28339"/>
    <cellStyle name="40% - Accent6 4 4 2 4 2 2" xfId="28340"/>
    <cellStyle name="40% - Accent6 4 4 2 4 2 3" xfId="28341"/>
    <cellStyle name="40% - Accent6 4 4 2 4 3" xfId="28342"/>
    <cellStyle name="40% - Accent6 4 4 2 4 3 2" xfId="28343"/>
    <cellStyle name="40% - Accent6 4 4 2 4 3 3" xfId="28344"/>
    <cellStyle name="40% - Accent6 4 4 2 4 4" xfId="28345"/>
    <cellStyle name="40% - Accent6 4 4 2 4 4 2" xfId="28346"/>
    <cellStyle name="40% - Accent6 4 4 2 4 5" xfId="28347"/>
    <cellStyle name="40% - Accent6 4 4 2 4 6" xfId="28348"/>
    <cellStyle name="40% - Accent6 4 4 2 5" xfId="28349"/>
    <cellStyle name="40% - Accent6 4 4 2 5 2" xfId="28350"/>
    <cellStyle name="40% - Accent6 4 4 2 5 2 2" xfId="28351"/>
    <cellStyle name="40% - Accent6 4 4 2 5 2 3" xfId="28352"/>
    <cellStyle name="40% - Accent6 4 4 2 5 3" xfId="28353"/>
    <cellStyle name="40% - Accent6 4 4 2 5 3 2" xfId="28354"/>
    <cellStyle name="40% - Accent6 4 4 2 5 4" xfId="28355"/>
    <cellStyle name="40% - Accent6 4 4 2 5 5" xfId="28356"/>
    <cellStyle name="40% - Accent6 4 4 2 6" xfId="28357"/>
    <cellStyle name="40% - Accent6 4 4 2 6 2" xfId="28358"/>
    <cellStyle name="40% - Accent6 4 4 2 6 3" xfId="28359"/>
    <cellStyle name="40% - Accent6 4 4 2 7" xfId="28360"/>
    <cellStyle name="40% - Accent6 4 4 2 7 2" xfId="28361"/>
    <cellStyle name="40% - Accent6 4 4 2 7 3" xfId="28362"/>
    <cellStyle name="40% - Accent6 4 4 2 8" xfId="28363"/>
    <cellStyle name="40% - Accent6 4 4 2 8 2" xfId="28364"/>
    <cellStyle name="40% - Accent6 4 4 2 9" xfId="28365"/>
    <cellStyle name="40% - Accent6 4 4 3" xfId="2675"/>
    <cellStyle name="40% - Accent6 4 4 3 2" xfId="28366"/>
    <cellStyle name="40% - Accent6 4 4 3 2 2" xfId="28367"/>
    <cellStyle name="40% - Accent6 4 4 3 2 2 2" xfId="28368"/>
    <cellStyle name="40% - Accent6 4 4 3 2 2 3" xfId="28369"/>
    <cellStyle name="40% - Accent6 4 4 3 2 3" xfId="28370"/>
    <cellStyle name="40% - Accent6 4 4 3 2 3 2" xfId="28371"/>
    <cellStyle name="40% - Accent6 4 4 3 2 3 3" xfId="28372"/>
    <cellStyle name="40% - Accent6 4 4 3 2 4" xfId="28373"/>
    <cellStyle name="40% - Accent6 4 4 3 2 4 2" xfId="28374"/>
    <cellStyle name="40% - Accent6 4 4 3 2 5" xfId="28375"/>
    <cellStyle name="40% - Accent6 4 4 3 2 6" xfId="28376"/>
    <cellStyle name="40% - Accent6 4 4 3 3" xfId="28377"/>
    <cellStyle name="40% - Accent6 4 4 3 3 2" xfId="28378"/>
    <cellStyle name="40% - Accent6 4 4 3 3 2 2" xfId="28379"/>
    <cellStyle name="40% - Accent6 4 4 3 3 2 3" xfId="28380"/>
    <cellStyle name="40% - Accent6 4 4 3 3 3" xfId="28381"/>
    <cellStyle name="40% - Accent6 4 4 3 3 3 2" xfId="28382"/>
    <cellStyle name="40% - Accent6 4 4 3 3 3 3" xfId="28383"/>
    <cellStyle name="40% - Accent6 4 4 3 3 4" xfId="28384"/>
    <cellStyle name="40% - Accent6 4 4 3 3 4 2" xfId="28385"/>
    <cellStyle name="40% - Accent6 4 4 3 3 5" xfId="28386"/>
    <cellStyle name="40% - Accent6 4 4 3 3 6" xfId="28387"/>
    <cellStyle name="40% - Accent6 4 4 3 4" xfId="28388"/>
    <cellStyle name="40% - Accent6 4 4 3 4 2" xfId="28389"/>
    <cellStyle name="40% - Accent6 4 4 3 4 2 2" xfId="28390"/>
    <cellStyle name="40% - Accent6 4 4 3 4 2 3" xfId="28391"/>
    <cellStyle name="40% - Accent6 4 4 3 4 3" xfId="28392"/>
    <cellStyle name="40% - Accent6 4 4 3 4 3 2" xfId="28393"/>
    <cellStyle name="40% - Accent6 4 4 3 4 4" xfId="28394"/>
    <cellStyle name="40% - Accent6 4 4 3 4 5" xfId="28395"/>
    <cellStyle name="40% - Accent6 4 4 3 5" xfId="28396"/>
    <cellStyle name="40% - Accent6 4 4 3 5 2" xfId="28397"/>
    <cellStyle name="40% - Accent6 4 4 3 5 3" xfId="28398"/>
    <cellStyle name="40% - Accent6 4 4 3 6" xfId="28399"/>
    <cellStyle name="40% - Accent6 4 4 3 6 2" xfId="28400"/>
    <cellStyle name="40% - Accent6 4 4 3 6 3" xfId="28401"/>
    <cellStyle name="40% - Accent6 4 4 3 7" xfId="28402"/>
    <cellStyle name="40% - Accent6 4 4 3 7 2" xfId="28403"/>
    <cellStyle name="40% - Accent6 4 4 3 8" xfId="28404"/>
    <cellStyle name="40% - Accent6 4 4 3 9" xfId="28405"/>
    <cellStyle name="40% - Accent6 4 4 4" xfId="28406"/>
    <cellStyle name="40% - Accent6 4 4 4 2" xfId="28407"/>
    <cellStyle name="40% - Accent6 4 4 4 2 2" xfId="28408"/>
    <cellStyle name="40% - Accent6 4 4 4 2 2 2" xfId="28409"/>
    <cellStyle name="40% - Accent6 4 4 4 2 2 3" xfId="28410"/>
    <cellStyle name="40% - Accent6 4 4 4 2 3" xfId="28411"/>
    <cellStyle name="40% - Accent6 4 4 4 2 3 2" xfId="28412"/>
    <cellStyle name="40% - Accent6 4 4 4 2 3 3" xfId="28413"/>
    <cellStyle name="40% - Accent6 4 4 4 2 4" xfId="28414"/>
    <cellStyle name="40% - Accent6 4 4 4 2 4 2" xfId="28415"/>
    <cellStyle name="40% - Accent6 4 4 4 2 5" xfId="28416"/>
    <cellStyle name="40% - Accent6 4 4 4 2 6" xfId="28417"/>
    <cellStyle name="40% - Accent6 4 4 4 3" xfId="28418"/>
    <cellStyle name="40% - Accent6 4 4 4 3 2" xfId="28419"/>
    <cellStyle name="40% - Accent6 4 4 4 3 2 2" xfId="28420"/>
    <cellStyle name="40% - Accent6 4 4 4 3 2 3" xfId="28421"/>
    <cellStyle name="40% - Accent6 4 4 4 3 3" xfId="28422"/>
    <cellStyle name="40% - Accent6 4 4 4 3 3 2" xfId="28423"/>
    <cellStyle name="40% - Accent6 4 4 4 3 3 3" xfId="28424"/>
    <cellStyle name="40% - Accent6 4 4 4 3 4" xfId="28425"/>
    <cellStyle name="40% - Accent6 4 4 4 3 4 2" xfId="28426"/>
    <cellStyle name="40% - Accent6 4 4 4 3 5" xfId="28427"/>
    <cellStyle name="40% - Accent6 4 4 4 3 6" xfId="28428"/>
    <cellStyle name="40% - Accent6 4 4 4 4" xfId="28429"/>
    <cellStyle name="40% - Accent6 4 4 4 4 2" xfId="28430"/>
    <cellStyle name="40% - Accent6 4 4 4 4 2 2" xfId="28431"/>
    <cellStyle name="40% - Accent6 4 4 4 4 2 3" xfId="28432"/>
    <cellStyle name="40% - Accent6 4 4 4 4 3" xfId="28433"/>
    <cellStyle name="40% - Accent6 4 4 4 4 3 2" xfId="28434"/>
    <cellStyle name="40% - Accent6 4 4 4 4 4" xfId="28435"/>
    <cellStyle name="40% - Accent6 4 4 4 4 5" xfId="28436"/>
    <cellStyle name="40% - Accent6 4 4 4 5" xfId="28437"/>
    <cellStyle name="40% - Accent6 4 4 4 5 2" xfId="28438"/>
    <cellStyle name="40% - Accent6 4 4 4 5 3" xfId="28439"/>
    <cellStyle name="40% - Accent6 4 4 4 6" xfId="28440"/>
    <cellStyle name="40% - Accent6 4 4 4 6 2" xfId="28441"/>
    <cellStyle name="40% - Accent6 4 4 4 6 3" xfId="28442"/>
    <cellStyle name="40% - Accent6 4 4 4 7" xfId="28443"/>
    <cellStyle name="40% - Accent6 4 4 4 7 2" xfId="28444"/>
    <cellStyle name="40% - Accent6 4 4 4 8" xfId="28445"/>
    <cellStyle name="40% - Accent6 4 4 4 9" xfId="28446"/>
    <cellStyle name="40% - Accent6 4 4 5" xfId="28447"/>
    <cellStyle name="40% - Accent6 4 4 5 2" xfId="28448"/>
    <cellStyle name="40% - Accent6 4 4 5 2 2" xfId="28449"/>
    <cellStyle name="40% - Accent6 4 4 5 2 3" xfId="28450"/>
    <cellStyle name="40% - Accent6 4 4 5 3" xfId="28451"/>
    <cellStyle name="40% - Accent6 4 4 5 3 2" xfId="28452"/>
    <cellStyle name="40% - Accent6 4 4 5 3 3" xfId="28453"/>
    <cellStyle name="40% - Accent6 4 4 5 4" xfId="28454"/>
    <cellStyle name="40% - Accent6 4 4 5 4 2" xfId="28455"/>
    <cellStyle name="40% - Accent6 4 4 5 5" xfId="28456"/>
    <cellStyle name="40% - Accent6 4 4 5 6" xfId="28457"/>
    <cellStyle name="40% - Accent6 4 4 6" xfId="28458"/>
    <cellStyle name="40% - Accent6 4 4 6 2" xfId="28459"/>
    <cellStyle name="40% - Accent6 4 4 6 2 2" xfId="28460"/>
    <cellStyle name="40% - Accent6 4 4 6 2 3" xfId="28461"/>
    <cellStyle name="40% - Accent6 4 4 6 3" xfId="28462"/>
    <cellStyle name="40% - Accent6 4 4 6 3 2" xfId="28463"/>
    <cellStyle name="40% - Accent6 4 4 6 3 3" xfId="28464"/>
    <cellStyle name="40% - Accent6 4 4 6 4" xfId="28465"/>
    <cellStyle name="40% - Accent6 4 4 6 4 2" xfId="28466"/>
    <cellStyle name="40% - Accent6 4 4 6 5" xfId="28467"/>
    <cellStyle name="40% - Accent6 4 4 6 6" xfId="28468"/>
    <cellStyle name="40% - Accent6 4 4 7" xfId="28469"/>
    <cellStyle name="40% - Accent6 4 4 7 2" xfId="28470"/>
    <cellStyle name="40% - Accent6 4 4 7 2 2" xfId="28471"/>
    <cellStyle name="40% - Accent6 4 4 7 2 3" xfId="28472"/>
    <cellStyle name="40% - Accent6 4 4 7 3" xfId="28473"/>
    <cellStyle name="40% - Accent6 4 4 7 3 2" xfId="28474"/>
    <cellStyle name="40% - Accent6 4 4 7 4" xfId="28475"/>
    <cellStyle name="40% - Accent6 4 4 7 5" xfId="28476"/>
    <cellStyle name="40% - Accent6 4 4 8" xfId="28477"/>
    <cellStyle name="40% - Accent6 4 4 8 2" xfId="28478"/>
    <cellStyle name="40% - Accent6 4 4 8 3" xfId="28479"/>
    <cellStyle name="40% - Accent6 4 4 9" xfId="28480"/>
    <cellStyle name="40% - Accent6 4 4 9 2" xfId="28481"/>
    <cellStyle name="40% - Accent6 4 4 9 3" xfId="28482"/>
    <cellStyle name="40% - Accent6 4 5" xfId="2676"/>
    <cellStyle name="40% - Accent6 4 5 10" xfId="28483"/>
    <cellStyle name="40% - Accent6 4 5 2" xfId="2677"/>
    <cellStyle name="40% - Accent6 4 5 2 2" xfId="28484"/>
    <cellStyle name="40% - Accent6 4 5 2 2 2" xfId="28485"/>
    <cellStyle name="40% - Accent6 4 5 2 2 2 2" xfId="28486"/>
    <cellStyle name="40% - Accent6 4 5 2 2 2 3" xfId="28487"/>
    <cellStyle name="40% - Accent6 4 5 2 2 3" xfId="28488"/>
    <cellStyle name="40% - Accent6 4 5 2 2 3 2" xfId="28489"/>
    <cellStyle name="40% - Accent6 4 5 2 2 3 3" xfId="28490"/>
    <cellStyle name="40% - Accent6 4 5 2 2 4" xfId="28491"/>
    <cellStyle name="40% - Accent6 4 5 2 2 4 2" xfId="28492"/>
    <cellStyle name="40% - Accent6 4 5 2 2 5" xfId="28493"/>
    <cellStyle name="40% - Accent6 4 5 2 2 6" xfId="28494"/>
    <cellStyle name="40% - Accent6 4 5 2 3" xfId="28495"/>
    <cellStyle name="40% - Accent6 4 5 2 3 2" xfId="28496"/>
    <cellStyle name="40% - Accent6 4 5 2 3 2 2" xfId="28497"/>
    <cellStyle name="40% - Accent6 4 5 2 3 2 3" xfId="28498"/>
    <cellStyle name="40% - Accent6 4 5 2 3 3" xfId="28499"/>
    <cellStyle name="40% - Accent6 4 5 2 3 3 2" xfId="28500"/>
    <cellStyle name="40% - Accent6 4 5 2 3 3 3" xfId="28501"/>
    <cellStyle name="40% - Accent6 4 5 2 3 4" xfId="28502"/>
    <cellStyle name="40% - Accent6 4 5 2 3 4 2" xfId="28503"/>
    <cellStyle name="40% - Accent6 4 5 2 3 5" xfId="28504"/>
    <cellStyle name="40% - Accent6 4 5 2 3 6" xfId="28505"/>
    <cellStyle name="40% - Accent6 4 5 2 4" xfId="28506"/>
    <cellStyle name="40% - Accent6 4 5 2 4 2" xfId="28507"/>
    <cellStyle name="40% - Accent6 4 5 2 4 2 2" xfId="28508"/>
    <cellStyle name="40% - Accent6 4 5 2 4 2 3" xfId="28509"/>
    <cellStyle name="40% - Accent6 4 5 2 4 3" xfId="28510"/>
    <cellStyle name="40% - Accent6 4 5 2 4 3 2" xfId="28511"/>
    <cellStyle name="40% - Accent6 4 5 2 4 4" xfId="28512"/>
    <cellStyle name="40% - Accent6 4 5 2 4 5" xfId="28513"/>
    <cellStyle name="40% - Accent6 4 5 2 5" xfId="28514"/>
    <cellStyle name="40% - Accent6 4 5 2 5 2" xfId="28515"/>
    <cellStyle name="40% - Accent6 4 5 2 5 3" xfId="28516"/>
    <cellStyle name="40% - Accent6 4 5 2 6" xfId="28517"/>
    <cellStyle name="40% - Accent6 4 5 2 6 2" xfId="28518"/>
    <cellStyle name="40% - Accent6 4 5 2 6 3" xfId="28519"/>
    <cellStyle name="40% - Accent6 4 5 2 7" xfId="28520"/>
    <cellStyle name="40% - Accent6 4 5 2 7 2" xfId="28521"/>
    <cellStyle name="40% - Accent6 4 5 2 8" xfId="28522"/>
    <cellStyle name="40% - Accent6 4 5 2 9" xfId="28523"/>
    <cellStyle name="40% - Accent6 4 5 3" xfId="28524"/>
    <cellStyle name="40% - Accent6 4 5 3 2" xfId="28525"/>
    <cellStyle name="40% - Accent6 4 5 3 2 2" xfId="28526"/>
    <cellStyle name="40% - Accent6 4 5 3 2 3" xfId="28527"/>
    <cellStyle name="40% - Accent6 4 5 3 3" xfId="28528"/>
    <cellStyle name="40% - Accent6 4 5 3 3 2" xfId="28529"/>
    <cellStyle name="40% - Accent6 4 5 3 3 3" xfId="28530"/>
    <cellStyle name="40% - Accent6 4 5 3 4" xfId="28531"/>
    <cellStyle name="40% - Accent6 4 5 3 4 2" xfId="28532"/>
    <cellStyle name="40% - Accent6 4 5 3 5" xfId="28533"/>
    <cellStyle name="40% - Accent6 4 5 3 6" xfId="28534"/>
    <cellStyle name="40% - Accent6 4 5 4" xfId="28535"/>
    <cellStyle name="40% - Accent6 4 5 4 2" xfId="28536"/>
    <cellStyle name="40% - Accent6 4 5 4 2 2" xfId="28537"/>
    <cellStyle name="40% - Accent6 4 5 4 2 3" xfId="28538"/>
    <cellStyle name="40% - Accent6 4 5 4 3" xfId="28539"/>
    <cellStyle name="40% - Accent6 4 5 4 3 2" xfId="28540"/>
    <cellStyle name="40% - Accent6 4 5 4 3 3" xfId="28541"/>
    <cellStyle name="40% - Accent6 4 5 4 4" xfId="28542"/>
    <cellStyle name="40% - Accent6 4 5 4 4 2" xfId="28543"/>
    <cellStyle name="40% - Accent6 4 5 4 5" xfId="28544"/>
    <cellStyle name="40% - Accent6 4 5 4 6" xfId="28545"/>
    <cellStyle name="40% - Accent6 4 5 5" xfId="28546"/>
    <cellStyle name="40% - Accent6 4 5 5 2" xfId="28547"/>
    <cellStyle name="40% - Accent6 4 5 5 2 2" xfId="28548"/>
    <cellStyle name="40% - Accent6 4 5 5 2 3" xfId="28549"/>
    <cellStyle name="40% - Accent6 4 5 5 3" xfId="28550"/>
    <cellStyle name="40% - Accent6 4 5 5 3 2" xfId="28551"/>
    <cellStyle name="40% - Accent6 4 5 5 4" xfId="28552"/>
    <cellStyle name="40% - Accent6 4 5 5 5" xfId="28553"/>
    <cellStyle name="40% - Accent6 4 5 6" xfId="28554"/>
    <cellStyle name="40% - Accent6 4 5 6 2" xfId="28555"/>
    <cellStyle name="40% - Accent6 4 5 6 3" xfId="28556"/>
    <cellStyle name="40% - Accent6 4 5 7" xfId="28557"/>
    <cellStyle name="40% - Accent6 4 5 7 2" xfId="28558"/>
    <cellStyle name="40% - Accent6 4 5 7 3" xfId="28559"/>
    <cellStyle name="40% - Accent6 4 5 8" xfId="28560"/>
    <cellStyle name="40% - Accent6 4 5 8 2" xfId="28561"/>
    <cellStyle name="40% - Accent6 4 5 9" xfId="28562"/>
    <cellStyle name="40% - Accent6 4 6" xfId="2678"/>
    <cellStyle name="40% - Accent6 4 6 2" xfId="28563"/>
    <cellStyle name="40% - Accent6 4 6 2 2" xfId="28564"/>
    <cellStyle name="40% - Accent6 4 6 2 2 2" xfId="28565"/>
    <cellStyle name="40% - Accent6 4 6 2 2 3" xfId="28566"/>
    <cellStyle name="40% - Accent6 4 6 2 3" xfId="28567"/>
    <cellStyle name="40% - Accent6 4 6 2 3 2" xfId="28568"/>
    <cellStyle name="40% - Accent6 4 6 2 3 3" xfId="28569"/>
    <cellStyle name="40% - Accent6 4 6 2 4" xfId="28570"/>
    <cellStyle name="40% - Accent6 4 6 2 4 2" xfId="28571"/>
    <cellStyle name="40% - Accent6 4 6 2 5" xfId="28572"/>
    <cellStyle name="40% - Accent6 4 6 2 6" xfId="28573"/>
    <cellStyle name="40% - Accent6 4 6 3" xfId="28574"/>
    <cellStyle name="40% - Accent6 4 6 3 2" xfId="28575"/>
    <cellStyle name="40% - Accent6 4 6 3 2 2" xfId="28576"/>
    <cellStyle name="40% - Accent6 4 6 3 2 3" xfId="28577"/>
    <cellStyle name="40% - Accent6 4 6 3 3" xfId="28578"/>
    <cellStyle name="40% - Accent6 4 6 3 3 2" xfId="28579"/>
    <cellStyle name="40% - Accent6 4 6 3 3 3" xfId="28580"/>
    <cellStyle name="40% - Accent6 4 6 3 4" xfId="28581"/>
    <cellStyle name="40% - Accent6 4 6 3 4 2" xfId="28582"/>
    <cellStyle name="40% - Accent6 4 6 3 5" xfId="28583"/>
    <cellStyle name="40% - Accent6 4 6 3 6" xfId="28584"/>
    <cellStyle name="40% - Accent6 4 6 4" xfId="28585"/>
    <cellStyle name="40% - Accent6 4 6 4 2" xfId="28586"/>
    <cellStyle name="40% - Accent6 4 6 4 2 2" xfId="28587"/>
    <cellStyle name="40% - Accent6 4 6 4 2 3" xfId="28588"/>
    <cellStyle name="40% - Accent6 4 6 4 3" xfId="28589"/>
    <cellStyle name="40% - Accent6 4 6 4 3 2" xfId="28590"/>
    <cellStyle name="40% - Accent6 4 6 4 4" xfId="28591"/>
    <cellStyle name="40% - Accent6 4 6 4 5" xfId="28592"/>
    <cellStyle name="40% - Accent6 4 6 5" xfId="28593"/>
    <cellStyle name="40% - Accent6 4 6 5 2" xfId="28594"/>
    <cellStyle name="40% - Accent6 4 6 5 3" xfId="28595"/>
    <cellStyle name="40% - Accent6 4 6 6" xfId="28596"/>
    <cellStyle name="40% - Accent6 4 6 6 2" xfId="28597"/>
    <cellStyle name="40% - Accent6 4 6 6 3" xfId="28598"/>
    <cellStyle name="40% - Accent6 4 6 7" xfId="28599"/>
    <cellStyle name="40% - Accent6 4 6 7 2" xfId="28600"/>
    <cellStyle name="40% - Accent6 4 6 8" xfId="28601"/>
    <cellStyle name="40% - Accent6 4 6 9" xfId="28602"/>
    <cellStyle name="40% - Accent6 4 7" xfId="9044"/>
    <cellStyle name="40% - Accent6 4 7 2" xfId="28603"/>
    <cellStyle name="40% - Accent6 4 7 2 2" xfId="28604"/>
    <cellStyle name="40% - Accent6 4 7 2 2 2" xfId="28605"/>
    <cellStyle name="40% - Accent6 4 7 2 2 3" xfId="28606"/>
    <cellStyle name="40% - Accent6 4 7 2 3" xfId="28607"/>
    <cellStyle name="40% - Accent6 4 7 2 3 2" xfId="28608"/>
    <cellStyle name="40% - Accent6 4 7 2 3 3" xfId="28609"/>
    <cellStyle name="40% - Accent6 4 7 2 4" xfId="28610"/>
    <cellStyle name="40% - Accent6 4 7 2 4 2" xfId="28611"/>
    <cellStyle name="40% - Accent6 4 7 2 5" xfId="28612"/>
    <cellStyle name="40% - Accent6 4 7 2 6" xfId="28613"/>
    <cellStyle name="40% - Accent6 4 7 3" xfId="28614"/>
    <cellStyle name="40% - Accent6 4 7 3 2" xfId="28615"/>
    <cellStyle name="40% - Accent6 4 7 3 2 2" xfId="28616"/>
    <cellStyle name="40% - Accent6 4 7 3 2 3" xfId="28617"/>
    <cellStyle name="40% - Accent6 4 7 3 3" xfId="28618"/>
    <cellStyle name="40% - Accent6 4 7 3 3 2" xfId="28619"/>
    <cellStyle name="40% - Accent6 4 7 3 3 3" xfId="28620"/>
    <cellStyle name="40% - Accent6 4 7 3 4" xfId="28621"/>
    <cellStyle name="40% - Accent6 4 7 3 4 2" xfId="28622"/>
    <cellStyle name="40% - Accent6 4 7 3 5" xfId="28623"/>
    <cellStyle name="40% - Accent6 4 7 3 6" xfId="28624"/>
    <cellStyle name="40% - Accent6 4 7 4" xfId="28625"/>
    <cellStyle name="40% - Accent6 4 7 4 2" xfId="28626"/>
    <cellStyle name="40% - Accent6 4 7 4 2 2" xfId="28627"/>
    <cellStyle name="40% - Accent6 4 7 4 2 3" xfId="28628"/>
    <cellStyle name="40% - Accent6 4 7 4 3" xfId="28629"/>
    <cellStyle name="40% - Accent6 4 7 4 3 2" xfId="28630"/>
    <cellStyle name="40% - Accent6 4 7 4 4" xfId="28631"/>
    <cellStyle name="40% - Accent6 4 7 4 5" xfId="28632"/>
    <cellStyle name="40% - Accent6 4 7 5" xfId="28633"/>
    <cellStyle name="40% - Accent6 4 7 5 2" xfId="28634"/>
    <cellStyle name="40% - Accent6 4 7 5 3" xfId="28635"/>
    <cellStyle name="40% - Accent6 4 7 6" xfId="28636"/>
    <cellStyle name="40% - Accent6 4 7 6 2" xfId="28637"/>
    <cellStyle name="40% - Accent6 4 7 6 3" xfId="28638"/>
    <cellStyle name="40% - Accent6 4 7 7" xfId="28639"/>
    <cellStyle name="40% - Accent6 4 7 7 2" xfId="28640"/>
    <cellStyle name="40% - Accent6 4 7 8" xfId="28641"/>
    <cellStyle name="40% - Accent6 4 7 9" xfId="28642"/>
    <cellStyle name="40% - Accent6 4 8" xfId="28643"/>
    <cellStyle name="40% - Accent6 4 8 2" xfId="28644"/>
    <cellStyle name="40% - Accent6 4 8 2 2" xfId="28645"/>
    <cellStyle name="40% - Accent6 4 8 2 3" xfId="28646"/>
    <cellStyle name="40% - Accent6 4 8 3" xfId="28647"/>
    <cellStyle name="40% - Accent6 4 8 3 2" xfId="28648"/>
    <cellStyle name="40% - Accent6 4 8 3 3" xfId="28649"/>
    <cellStyle name="40% - Accent6 4 8 4" xfId="28650"/>
    <cellStyle name="40% - Accent6 4 8 4 2" xfId="28651"/>
    <cellStyle name="40% - Accent6 4 8 5" xfId="28652"/>
    <cellStyle name="40% - Accent6 4 8 6" xfId="28653"/>
    <cellStyle name="40% - Accent6 4 9" xfId="28654"/>
    <cellStyle name="40% - Accent6 4 9 2" xfId="28655"/>
    <cellStyle name="40% - Accent6 4 9 2 2" xfId="28656"/>
    <cellStyle name="40% - Accent6 4 9 2 3" xfId="28657"/>
    <cellStyle name="40% - Accent6 4 9 3" xfId="28658"/>
    <cellStyle name="40% - Accent6 4 9 3 2" xfId="28659"/>
    <cellStyle name="40% - Accent6 4 9 3 3" xfId="28660"/>
    <cellStyle name="40% - Accent6 4 9 4" xfId="28661"/>
    <cellStyle name="40% - Accent6 4 9 4 2" xfId="28662"/>
    <cellStyle name="40% - Accent6 4 9 5" xfId="28663"/>
    <cellStyle name="40% - Accent6 4 9 6" xfId="28664"/>
    <cellStyle name="40% - Accent6 5" xfId="2679"/>
    <cellStyle name="40% - Accent6 5 2" xfId="2680"/>
    <cellStyle name="40% - Accent6 5 2 2" xfId="2681"/>
    <cellStyle name="40% - Accent6 5 2 2 2" xfId="2682"/>
    <cellStyle name="40% - Accent6 5 2 2 2 2" xfId="2683"/>
    <cellStyle name="40% - Accent6 5 2 2 3" xfId="2684"/>
    <cellStyle name="40% - Accent6 5 2 3" xfId="2685"/>
    <cellStyle name="40% - Accent6 5 2 3 2" xfId="2686"/>
    <cellStyle name="40% - Accent6 5 2 4" xfId="2687"/>
    <cellStyle name="40% - Accent6 5 2 5" xfId="58303"/>
    <cellStyle name="40% - Accent6 5 3" xfId="2688"/>
    <cellStyle name="40% - Accent6 5 3 2" xfId="2689"/>
    <cellStyle name="40% - Accent6 5 3 2 2" xfId="2690"/>
    <cellStyle name="40% - Accent6 5 3 3" xfId="2691"/>
    <cellStyle name="40% - Accent6 5 4" xfId="2692"/>
    <cellStyle name="40% - Accent6 5 4 2" xfId="2693"/>
    <cellStyle name="40% - Accent6 5 5" xfId="2694"/>
    <cellStyle name="40% - Accent6 5 6" xfId="9045"/>
    <cellStyle name="40% - Accent6 6" xfId="2695"/>
    <cellStyle name="40% - Accent6 6 2" xfId="2696"/>
    <cellStyle name="40% - Accent6 6 2 2" xfId="2697"/>
    <cellStyle name="40% - Accent6 6 2 2 2" xfId="2698"/>
    <cellStyle name="40% - Accent6 6 2 3" xfId="2699"/>
    <cellStyle name="40% - Accent6 6 2 4" xfId="58304"/>
    <cellStyle name="40% - Accent6 6 2 5" xfId="58305"/>
    <cellStyle name="40% - Accent6 6 3" xfId="2700"/>
    <cellStyle name="40% - Accent6 6 3 2" xfId="2701"/>
    <cellStyle name="40% - Accent6 6 4" xfId="2702"/>
    <cellStyle name="40% - Accent6 6 5" xfId="58306"/>
    <cellStyle name="40% - Accent6 7" xfId="2703"/>
    <cellStyle name="40% - Accent6 7 2" xfId="2704"/>
    <cellStyle name="40% - Accent6 7 2 2" xfId="2705"/>
    <cellStyle name="40% - Accent6 7 2 2 2" xfId="2706"/>
    <cellStyle name="40% - Accent6 7 2 3" xfId="2707"/>
    <cellStyle name="40% - Accent6 7 3" xfId="2708"/>
    <cellStyle name="40% - Accent6 7 3 2" xfId="2709"/>
    <cellStyle name="40% - Accent6 7 4" xfId="2710"/>
    <cellStyle name="40% - Accent6 7 5" xfId="58307"/>
    <cellStyle name="40% - Accent6 8" xfId="2711"/>
    <cellStyle name="40% - Accent6 8 2" xfId="2712"/>
    <cellStyle name="40% - Accent6 8 2 2" xfId="2713"/>
    <cellStyle name="40% - Accent6 8 2 2 2" xfId="2714"/>
    <cellStyle name="40% - Accent6 8 2 3" xfId="2715"/>
    <cellStyle name="40% - Accent6 8 3" xfId="2716"/>
    <cellStyle name="40% - Accent6 8 3 2" xfId="2717"/>
    <cellStyle name="40% - Accent6 8 4" xfId="2718"/>
    <cellStyle name="40% - Accent6 8 5" xfId="58308"/>
    <cellStyle name="40% - Accent6 9" xfId="2719"/>
    <cellStyle name="40% - Accent6 9 2" xfId="2720"/>
    <cellStyle name="40% - Accent6 9 2 2" xfId="2721"/>
    <cellStyle name="40% - Accent6 9 3" xfId="2722"/>
    <cellStyle name="40% - Accent6 9 4" xfId="58309"/>
    <cellStyle name="60% - Accent1 10" xfId="28665"/>
    <cellStyle name="60% - Accent1 11" xfId="28666"/>
    <cellStyle name="60% - Accent1 12" xfId="28667"/>
    <cellStyle name="60% - Accent1 13" xfId="28668"/>
    <cellStyle name="60% - Accent1 14" xfId="28669"/>
    <cellStyle name="60% - Accent1 15" xfId="28670"/>
    <cellStyle name="60% - Accent1 16" xfId="28671"/>
    <cellStyle name="60% - Accent1 17" xfId="28672"/>
    <cellStyle name="60% - Accent1 17 2" xfId="58310"/>
    <cellStyle name="60% - Accent1 2" xfId="2723"/>
    <cellStyle name="60% - Accent1 2 2" xfId="2724"/>
    <cellStyle name="60% - Accent1 2 2 2" xfId="28673"/>
    <cellStyle name="60% - Accent1 2 3" xfId="28674"/>
    <cellStyle name="60% - Accent1 2 4" xfId="28675"/>
    <cellStyle name="60% - Accent1 2 5" xfId="28676"/>
    <cellStyle name="60% - Accent1 2 6" xfId="28677"/>
    <cellStyle name="60% - Accent1 3" xfId="2725"/>
    <cellStyle name="60% - Accent1 3 2" xfId="9046"/>
    <cellStyle name="60% - Accent1 3 3" xfId="28678"/>
    <cellStyle name="60% - Accent1 4" xfId="2726"/>
    <cellStyle name="60% - Accent1 4 2" xfId="28679"/>
    <cellStyle name="60% - Accent1 4 3" xfId="28680"/>
    <cellStyle name="60% - Accent1 5" xfId="9047"/>
    <cellStyle name="60% - Accent1 5 2" xfId="28681"/>
    <cellStyle name="60% - Accent1 6" xfId="28682"/>
    <cellStyle name="60% - Accent1 6 2" xfId="28683"/>
    <cellStyle name="60% - Accent1 7" xfId="28684"/>
    <cellStyle name="60% - Accent1 7 2" xfId="28685"/>
    <cellStyle name="60% - Accent1 8" xfId="28686"/>
    <cellStyle name="60% - Accent1 8 2" xfId="28687"/>
    <cellStyle name="60% - Accent1 9" xfId="28688"/>
    <cellStyle name="60% - Accent2 10" xfId="28689"/>
    <cellStyle name="60% - Accent2 11" xfId="28690"/>
    <cellStyle name="60% - Accent2 12" xfId="28691"/>
    <cellStyle name="60% - Accent2 13" xfId="28692"/>
    <cellStyle name="60% - Accent2 14" xfId="28693"/>
    <cellStyle name="60% - Accent2 15" xfId="28694"/>
    <cellStyle name="60% - Accent2 16" xfId="28695"/>
    <cellStyle name="60% - Accent2 17" xfId="28696"/>
    <cellStyle name="60% - Accent2 17 2" xfId="58311"/>
    <cellStyle name="60% - Accent2 2" xfId="2727"/>
    <cellStyle name="60% - Accent2 2 2" xfId="2728"/>
    <cellStyle name="60% - Accent2 2 2 2" xfId="28697"/>
    <cellStyle name="60% - Accent2 2 3" xfId="28698"/>
    <cellStyle name="60% - Accent2 2 4" xfId="28699"/>
    <cellStyle name="60% - Accent2 2 5" xfId="28700"/>
    <cellStyle name="60% - Accent2 2 6" xfId="28701"/>
    <cellStyle name="60% - Accent2 3" xfId="2729"/>
    <cellStyle name="60% - Accent2 3 2" xfId="9048"/>
    <cellStyle name="60% - Accent2 3 3" xfId="28702"/>
    <cellStyle name="60% - Accent2 4" xfId="2730"/>
    <cellStyle name="60% - Accent2 4 2" xfId="28703"/>
    <cellStyle name="60% - Accent2 4 3" xfId="28704"/>
    <cellStyle name="60% - Accent2 5" xfId="9049"/>
    <cellStyle name="60% - Accent2 5 2" xfId="28705"/>
    <cellStyle name="60% - Accent2 6" xfId="28706"/>
    <cellStyle name="60% - Accent2 6 2" xfId="28707"/>
    <cellStyle name="60% - Accent2 7" xfId="28708"/>
    <cellStyle name="60% - Accent2 7 2" xfId="28709"/>
    <cellStyle name="60% - Accent2 8" xfId="28710"/>
    <cellStyle name="60% - Accent2 8 2" xfId="28711"/>
    <cellStyle name="60% - Accent2 9" xfId="28712"/>
    <cellStyle name="60% - Accent3 10" xfId="28713"/>
    <cellStyle name="60% - Accent3 11" xfId="28714"/>
    <cellStyle name="60% - Accent3 12" xfId="28715"/>
    <cellStyle name="60% - Accent3 13" xfId="28716"/>
    <cellStyle name="60% - Accent3 14" xfId="28717"/>
    <cellStyle name="60% - Accent3 15" xfId="28718"/>
    <cellStyle name="60% - Accent3 16" xfId="28719"/>
    <cellStyle name="60% - Accent3 17" xfId="28720"/>
    <cellStyle name="60% - Accent3 17 2" xfId="58312"/>
    <cellStyle name="60% - Accent3 2" xfId="2731"/>
    <cellStyle name="60% - Accent3 2 2" xfId="2732"/>
    <cellStyle name="60% - Accent3 2 2 2" xfId="28721"/>
    <cellStyle name="60% - Accent3 2 3" xfId="28722"/>
    <cellStyle name="60% - Accent3 2 4" xfId="28723"/>
    <cellStyle name="60% - Accent3 2 5" xfId="28724"/>
    <cellStyle name="60% - Accent3 2 6" xfId="28725"/>
    <cellStyle name="60% - Accent3 3" xfId="2733"/>
    <cellStyle name="60% - Accent3 3 2" xfId="9050"/>
    <cellStyle name="60% - Accent3 3 3" xfId="28726"/>
    <cellStyle name="60% - Accent3 4" xfId="2734"/>
    <cellStyle name="60% - Accent3 4 2" xfId="28727"/>
    <cellStyle name="60% - Accent3 5" xfId="9051"/>
    <cellStyle name="60% - Accent3 5 2" xfId="28728"/>
    <cellStyle name="60% - Accent3 6" xfId="28729"/>
    <cellStyle name="60% - Accent3 6 2" xfId="28730"/>
    <cellStyle name="60% - Accent3 7" xfId="28731"/>
    <cellStyle name="60% - Accent3 7 2" xfId="28732"/>
    <cellStyle name="60% - Accent3 8" xfId="28733"/>
    <cellStyle name="60% - Accent3 8 2" xfId="28734"/>
    <cellStyle name="60% - Accent3 9" xfId="28735"/>
    <cellStyle name="60% - Accent4 10" xfId="28736"/>
    <cellStyle name="60% - Accent4 11" xfId="28737"/>
    <cellStyle name="60% - Accent4 12" xfId="28738"/>
    <cellStyle name="60% - Accent4 13" xfId="28739"/>
    <cellStyle name="60% - Accent4 14" xfId="28740"/>
    <cellStyle name="60% - Accent4 15" xfId="28741"/>
    <cellStyle name="60% - Accent4 16" xfId="28742"/>
    <cellStyle name="60% - Accent4 17" xfId="28743"/>
    <cellStyle name="60% - Accent4 17 2" xfId="58313"/>
    <cellStyle name="60% - Accent4 2" xfId="2735"/>
    <cellStyle name="60% - Accent4 2 2" xfId="2736"/>
    <cellStyle name="60% - Accent4 2 2 2" xfId="28744"/>
    <cellStyle name="60% - Accent4 2 3" xfId="28745"/>
    <cellStyle name="60% - Accent4 2 4" xfId="28746"/>
    <cellStyle name="60% - Accent4 2 5" xfId="28747"/>
    <cellStyle name="60% - Accent4 2 6" xfId="28748"/>
    <cellStyle name="60% - Accent4 3" xfId="2737"/>
    <cellStyle name="60% - Accent4 3 2" xfId="9052"/>
    <cellStyle name="60% - Accent4 3 3" xfId="28749"/>
    <cellStyle name="60% - Accent4 4" xfId="2738"/>
    <cellStyle name="60% - Accent4 4 2" xfId="28750"/>
    <cellStyle name="60% - Accent4 5" xfId="9053"/>
    <cellStyle name="60% - Accent4 5 2" xfId="28751"/>
    <cellStyle name="60% - Accent4 6" xfId="28752"/>
    <cellStyle name="60% - Accent4 6 2" xfId="28753"/>
    <cellStyle name="60% - Accent4 7" xfId="28754"/>
    <cellStyle name="60% - Accent4 7 2" xfId="28755"/>
    <cellStyle name="60% - Accent4 8" xfId="28756"/>
    <cellStyle name="60% - Accent4 8 2" xfId="28757"/>
    <cellStyle name="60% - Accent4 9" xfId="28758"/>
    <cellStyle name="60% - Accent5 10" xfId="28759"/>
    <cellStyle name="60% - Accent5 11" xfId="28760"/>
    <cellStyle name="60% - Accent5 12" xfId="28761"/>
    <cellStyle name="60% - Accent5 13" xfId="28762"/>
    <cellStyle name="60% - Accent5 14" xfId="28763"/>
    <cellStyle name="60% - Accent5 15" xfId="28764"/>
    <cellStyle name="60% - Accent5 16" xfId="28765"/>
    <cellStyle name="60% - Accent5 17" xfId="28766"/>
    <cellStyle name="60% - Accent5 17 2" xfId="58314"/>
    <cellStyle name="60% - Accent5 2" xfId="2739"/>
    <cellStyle name="60% - Accent5 2 2" xfId="2740"/>
    <cellStyle name="60% - Accent5 2 2 2" xfId="28767"/>
    <cellStyle name="60% - Accent5 2 3" xfId="28768"/>
    <cellStyle name="60% - Accent5 2 4" xfId="28769"/>
    <cellStyle name="60% - Accent5 2 5" xfId="28770"/>
    <cellStyle name="60% - Accent5 2 6" xfId="28771"/>
    <cellStyle name="60% - Accent5 3" xfId="2741"/>
    <cellStyle name="60% - Accent5 3 2" xfId="9054"/>
    <cellStyle name="60% - Accent5 3 3" xfId="28772"/>
    <cellStyle name="60% - Accent5 4" xfId="2742"/>
    <cellStyle name="60% - Accent5 4 2" xfId="28773"/>
    <cellStyle name="60% - Accent5 4 3" xfId="28774"/>
    <cellStyle name="60% - Accent5 5" xfId="9055"/>
    <cellStyle name="60% - Accent5 5 2" xfId="28775"/>
    <cellStyle name="60% - Accent5 6" xfId="28776"/>
    <cellStyle name="60% - Accent5 6 2" xfId="28777"/>
    <cellStyle name="60% - Accent5 7" xfId="28778"/>
    <cellStyle name="60% - Accent5 7 2" xfId="28779"/>
    <cellStyle name="60% - Accent5 8" xfId="28780"/>
    <cellStyle name="60% - Accent5 8 2" xfId="28781"/>
    <cellStyle name="60% - Accent5 9" xfId="28782"/>
    <cellStyle name="60% - Accent6 10" xfId="28783"/>
    <cellStyle name="60% - Accent6 11" xfId="28784"/>
    <cellStyle name="60% - Accent6 12" xfId="28785"/>
    <cellStyle name="60% - Accent6 13" xfId="28786"/>
    <cellStyle name="60% - Accent6 14" xfId="28787"/>
    <cellStyle name="60% - Accent6 15" xfId="28788"/>
    <cellStyle name="60% - Accent6 16" xfId="28789"/>
    <cellStyle name="60% - Accent6 17" xfId="28790"/>
    <cellStyle name="60% - Accent6 17 2" xfId="58315"/>
    <cellStyle name="60% - Accent6 2" xfId="2743"/>
    <cellStyle name="60% - Accent6 2 2" xfId="2744"/>
    <cellStyle name="60% - Accent6 2 2 2" xfId="28791"/>
    <cellStyle name="60% - Accent6 2 3" xfId="28792"/>
    <cellStyle name="60% - Accent6 2 4" xfId="28793"/>
    <cellStyle name="60% - Accent6 2 5" xfId="28794"/>
    <cellStyle name="60% - Accent6 2 6" xfId="28795"/>
    <cellStyle name="60% - Accent6 3" xfId="2745"/>
    <cellStyle name="60% - Accent6 3 2" xfId="9056"/>
    <cellStyle name="60% - Accent6 3 3" xfId="28796"/>
    <cellStyle name="60% - Accent6 4" xfId="2746"/>
    <cellStyle name="60% - Accent6 4 2" xfId="28797"/>
    <cellStyle name="60% - Accent6 5" xfId="9057"/>
    <cellStyle name="60% - Accent6 5 2" xfId="28798"/>
    <cellStyle name="60% - Accent6 6" xfId="28799"/>
    <cellStyle name="60% - Accent6 6 2" xfId="28800"/>
    <cellStyle name="60% - Accent6 7" xfId="28801"/>
    <cellStyle name="60% - Accent6 7 2" xfId="28802"/>
    <cellStyle name="60% - Accent6 8" xfId="28803"/>
    <cellStyle name="60% - Accent6 8 2" xfId="28804"/>
    <cellStyle name="60% - Accent6 9" xfId="28805"/>
    <cellStyle name="ac" xfId="28806"/>
    <cellStyle name="ac 2" xfId="28807"/>
    <cellStyle name="Accent1 10" xfId="28808"/>
    <cellStyle name="Accent1 11" xfId="28809"/>
    <cellStyle name="Accent1 12" xfId="28810"/>
    <cellStyle name="Accent1 13" xfId="28811"/>
    <cellStyle name="Accent1 14" xfId="28812"/>
    <cellStyle name="Accent1 15" xfId="28813"/>
    <cellStyle name="Accent1 16" xfId="28814"/>
    <cellStyle name="Accent1 17" xfId="28815"/>
    <cellStyle name="Accent1 17 2" xfId="58316"/>
    <cellStyle name="Accent1 2" xfId="2747"/>
    <cellStyle name="Accent1 2 2" xfId="2748"/>
    <cellStyle name="Accent1 2 2 2" xfId="28816"/>
    <cellStyle name="Accent1 2 3" xfId="28817"/>
    <cellStyle name="Accent1 2 4" xfId="28818"/>
    <cellStyle name="Accent1 2 5" xfId="28819"/>
    <cellStyle name="Accent1 2 6" xfId="28820"/>
    <cellStyle name="Accent1 3" xfId="2749"/>
    <cellStyle name="Accent1 3 2" xfId="9058"/>
    <cellStyle name="Accent1 3 3" xfId="28821"/>
    <cellStyle name="Accent1 4" xfId="2750"/>
    <cellStyle name="Accent1 4 2" xfId="28822"/>
    <cellStyle name="Accent1 5" xfId="9059"/>
    <cellStyle name="Accent1 5 2" xfId="28823"/>
    <cellStyle name="Accent1 6" xfId="28824"/>
    <cellStyle name="Accent1 6 2" xfId="28825"/>
    <cellStyle name="Accent1 7" xfId="28826"/>
    <cellStyle name="Accent1 7 2" xfId="28827"/>
    <cellStyle name="Accent1 8" xfId="28828"/>
    <cellStyle name="Accent1 8 2" xfId="28829"/>
    <cellStyle name="Accent1 9" xfId="28830"/>
    <cellStyle name="Accent2 10" xfId="28831"/>
    <cellStyle name="Accent2 11" xfId="28832"/>
    <cellStyle name="Accent2 12" xfId="28833"/>
    <cellStyle name="Accent2 13" xfId="28834"/>
    <cellStyle name="Accent2 14" xfId="28835"/>
    <cellStyle name="Accent2 15" xfId="28836"/>
    <cellStyle name="Accent2 16" xfId="28837"/>
    <cellStyle name="Accent2 17" xfId="28838"/>
    <cellStyle name="Accent2 17 2" xfId="58317"/>
    <cellStyle name="Accent2 2" xfId="2751"/>
    <cellStyle name="Accent2 2 2" xfId="2752"/>
    <cellStyle name="Accent2 2 2 2" xfId="28839"/>
    <cellStyle name="Accent2 2 3" xfId="28840"/>
    <cellStyle name="Accent2 2 4" xfId="28841"/>
    <cellStyle name="Accent2 2 5" xfId="28842"/>
    <cellStyle name="Accent2 2 6" xfId="28843"/>
    <cellStyle name="Accent2 3" xfId="2753"/>
    <cellStyle name="Accent2 3 2" xfId="9060"/>
    <cellStyle name="Accent2 3 3" xfId="28844"/>
    <cellStyle name="Accent2 4" xfId="2754"/>
    <cellStyle name="Accent2 4 2" xfId="28845"/>
    <cellStyle name="Accent2 5" xfId="9061"/>
    <cellStyle name="Accent2 5 2" xfId="28846"/>
    <cellStyle name="Accent2 6" xfId="28847"/>
    <cellStyle name="Accent2 6 2" xfId="28848"/>
    <cellStyle name="Accent2 7" xfId="28849"/>
    <cellStyle name="Accent2 7 2" xfId="28850"/>
    <cellStyle name="Accent2 8" xfId="28851"/>
    <cellStyle name="Accent2 8 2" xfId="28852"/>
    <cellStyle name="Accent2 9" xfId="28853"/>
    <cellStyle name="Accent3 10" xfId="28854"/>
    <cellStyle name="Accent3 11" xfId="28855"/>
    <cellStyle name="Accent3 12" xfId="28856"/>
    <cellStyle name="Accent3 13" xfId="28857"/>
    <cellStyle name="Accent3 14" xfId="28858"/>
    <cellStyle name="Accent3 15" xfId="28859"/>
    <cellStyle name="Accent3 16" xfId="28860"/>
    <cellStyle name="Accent3 17" xfId="28861"/>
    <cellStyle name="Accent3 17 2" xfId="58318"/>
    <cellStyle name="Accent3 2" xfId="2755"/>
    <cellStyle name="Accent3 2 2" xfId="2756"/>
    <cellStyle name="Accent3 2 2 2" xfId="28862"/>
    <cellStyle name="Accent3 2 3" xfId="28863"/>
    <cellStyle name="Accent3 2 4" xfId="28864"/>
    <cellStyle name="Accent3 2 5" xfId="28865"/>
    <cellStyle name="Accent3 2 6" xfId="28866"/>
    <cellStyle name="Accent3 3" xfId="2757"/>
    <cellStyle name="Accent3 3 2" xfId="9062"/>
    <cellStyle name="Accent3 3 3" xfId="28867"/>
    <cellStyle name="Accent3 4" xfId="2758"/>
    <cellStyle name="Accent3 4 2" xfId="28868"/>
    <cellStyle name="Accent3 5" xfId="9063"/>
    <cellStyle name="Accent3 5 2" xfId="28869"/>
    <cellStyle name="Accent3 6" xfId="28870"/>
    <cellStyle name="Accent3 6 2" xfId="28871"/>
    <cellStyle name="Accent3 7" xfId="28872"/>
    <cellStyle name="Accent3 7 2" xfId="28873"/>
    <cellStyle name="Accent3 8" xfId="28874"/>
    <cellStyle name="Accent3 8 2" xfId="28875"/>
    <cellStyle name="Accent3 9" xfId="28876"/>
    <cellStyle name="Accent4 10" xfId="28877"/>
    <cellStyle name="Accent4 11" xfId="28878"/>
    <cellStyle name="Accent4 12" xfId="28879"/>
    <cellStyle name="Accent4 13" xfId="28880"/>
    <cellStyle name="Accent4 14" xfId="28881"/>
    <cellStyle name="Accent4 15" xfId="28882"/>
    <cellStyle name="Accent4 16" xfId="28883"/>
    <cellStyle name="Accent4 17" xfId="28884"/>
    <cellStyle name="Accent4 17 2" xfId="58319"/>
    <cellStyle name="Accent4 2" xfId="2759"/>
    <cellStyle name="Accent4 2 2" xfId="2760"/>
    <cellStyle name="Accent4 2 2 2" xfId="28885"/>
    <cellStyle name="Accent4 2 3" xfId="28886"/>
    <cellStyle name="Accent4 2 4" xfId="28887"/>
    <cellStyle name="Accent4 2 5" xfId="28888"/>
    <cellStyle name="Accent4 2 6" xfId="28889"/>
    <cellStyle name="Accent4 3" xfId="2761"/>
    <cellStyle name="Accent4 3 2" xfId="9064"/>
    <cellStyle name="Accent4 3 3" xfId="28890"/>
    <cellStyle name="Accent4 4" xfId="2762"/>
    <cellStyle name="Accent4 4 2" xfId="28891"/>
    <cellStyle name="Accent4 5" xfId="9065"/>
    <cellStyle name="Accent4 5 2" xfId="28892"/>
    <cellStyle name="Accent4 6" xfId="28893"/>
    <cellStyle name="Accent4 6 2" xfId="28894"/>
    <cellStyle name="Accent4 7" xfId="28895"/>
    <cellStyle name="Accent4 7 2" xfId="28896"/>
    <cellStyle name="Accent4 8" xfId="28897"/>
    <cellStyle name="Accent4 8 2" xfId="28898"/>
    <cellStyle name="Accent4 9" xfId="28899"/>
    <cellStyle name="Accent5 10" xfId="28900"/>
    <cellStyle name="Accent5 11" xfId="28901"/>
    <cellStyle name="Accent5 12" xfId="28902"/>
    <cellStyle name="Accent5 13" xfId="28903"/>
    <cellStyle name="Accent5 14" xfId="28904"/>
    <cellStyle name="Accent5 15" xfId="28905"/>
    <cellStyle name="Accent5 16" xfId="28906"/>
    <cellStyle name="Accent5 17" xfId="28907"/>
    <cellStyle name="Accent5 2" xfId="2763"/>
    <cellStyle name="Accent5 2 2" xfId="2764"/>
    <cellStyle name="Accent5 2 2 2" xfId="58320"/>
    <cellStyle name="Accent5 2 3" xfId="28908"/>
    <cellStyle name="Accent5 2 4" xfId="28909"/>
    <cellStyle name="Accent5 2 5" xfId="28910"/>
    <cellStyle name="Accent5 2 6" xfId="28911"/>
    <cellStyle name="Accent5 3" xfId="2765"/>
    <cellStyle name="Accent5 3 2" xfId="9066"/>
    <cellStyle name="Accent5 3 3" xfId="28912"/>
    <cellStyle name="Accent5 4" xfId="2766"/>
    <cellStyle name="Accent5 4 2" xfId="28913"/>
    <cellStyle name="Accent5 5" xfId="9067"/>
    <cellStyle name="Accent5 5 2" xfId="28914"/>
    <cellStyle name="Accent5 6" xfId="28915"/>
    <cellStyle name="Accent5 6 2" xfId="28916"/>
    <cellStyle name="Accent5 7" xfId="28917"/>
    <cellStyle name="Accent5 7 2" xfId="28918"/>
    <cellStyle name="Accent5 8" xfId="28919"/>
    <cellStyle name="Accent5 8 2" xfId="28920"/>
    <cellStyle name="Accent5 9" xfId="28921"/>
    <cellStyle name="Accent6 10" xfId="28922"/>
    <cellStyle name="Accent6 11" xfId="28923"/>
    <cellStyle name="Accent6 12" xfId="28924"/>
    <cellStyle name="Accent6 13" xfId="28925"/>
    <cellStyle name="Accent6 14" xfId="28926"/>
    <cellStyle name="Accent6 15" xfId="28927"/>
    <cellStyle name="Accent6 16" xfId="28928"/>
    <cellStyle name="Accent6 17" xfId="28929"/>
    <cellStyle name="Accent6 17 2" xfId="58321"/>
    <cellStyle name="Accent6 2" xfId="2767"/>
    <cellStyle name="Accent6 2 2" xfId="2768"/>
    <cellStyle name="Accent6 2 2 2" xfId="28930"/>
    <cellStyle name="Accent6 2 3" xfId="28931"/>
    <cellStyle name="Accent6 2 4" xfId="28932"/>
    <cellStyle name="Accent6 2 5" xfId="28933"/>
    <cellStyle name="Accent6 2 6" xfId="28934"/>
    <cellStyle name="Accent6 3" xfId="2769"/>
    <cellStyle name="Accent6 3 2" xfId="9068"/>
    <cellStyle name="Accent6 3 3" xfId="28935"/>
    <cellStyle name="Accent6 4" xfId="2770"/>
    <cellStyle name="Accent6 4 2" xfId="28936"/>
    <cellStyle name="Accent6 5" xfId="9069"/>
    <cellStyle name="Accent6 5 2" xfId="28937"/>
    <cellStyle name="Accent6 6" xfId="28938"/>
    <cellStyle name="Accent6 6 2" xfId="28939"/>
    <cellStyle name="Accent6 7" xfId="28940"/>
    <cellStyle name="Accent6 7 2" xfId="28941"/>
    <cellStyle name="Accent6 8" xfId="28942"/>
    <cellStyle name="Accent6 8 2" xfId="28943"/>
    <cellStyle name="Accent6 9" xfId="28944"/>
    <cellStyle name="Bad 10" xfId="28945"/>
    <cellStyle name="Bad 11" xfId="28946"/>
    <cellStyle name="Bad 12" xfId="28947"/>
    <cellStyle name="Bad 13" xfId="28948"/>
    <cellStyle name="Bad 14" xfId="28949"/>
    <cellStyle name="Bad 15" xfId="28950"/>
    <cellStyle name="Bad 16" xfId="28951"/>
    <cellStyle name="Bad 17" xfId="28952"/>
    <cellStyle name="Bad 17 2" xfId="58322"/>
    <cellStyle name="Bad 2" xfId="2771"/>
    <cellStyle name="Bad 2 2" xfId="2772"/>
    <cellStyle name="Bad 2 2 2" xfId="28953"/>
    <cellStyle name="Bad 2 3" xfId="28954"/>
    <cellStyle name="Bad 2 4" xfId="28955"/>
    <cellStyle name="Bad 2 5" xfId="28956"/>
    <cellStyle name="Bad 3" xfId="2773"/>
    <cellStyle name="Bad 3 2" xfId="9070"/>
    <cellStyle name="Bad 4" xfId="9071"/>
    <cellStyle name="Bad 4 2" xfId="28957"/>
    <cellStyle name="Bad 5" xfId="28958"/>
    <cellStyle name="Bad 5 2" xfId="28959"/>
    <cellStyle name="Bad 6" xfId="28960"/>
    <cellStyle name="Bad 6 2" xfId="28961"/>
    <cellStyle name="Bad 7" xfId="28962"/>
    <cellStyle name="Bad 7 2" xfId="28963"/>
    <cellStyle name="Bad 8" xfId="28964"/>
    <cellStyle name="Bad 9" xfId="28965"/>
    <cellStyle name="c" xfId="28966"/>
    <cellStyle name="C00A" xfId="8683"/>
    <cellStyle name="C00B" xfId="8684"/>
    <cellStyle name="C00L" xfId="8685"/>
    <cellStyle name="C01A" xfId="8686"/>
    <cellStyle name="C01B" xfId="8687"/>
    <cellStyle name="C01H" xfId="8688"/>
    <cellStyle name="C01L" xfId="8689"/>
    <cellStyle name="C02A" xfId="8690"/>
    <cellStyle name="C02B" xfId="8691"/>
    <cellStyle name="C02H" xfId="8692"/>
    <cellStyle name="C02L" xfId="8693"/>
    <cellStyle name="C03A" xfId="8694"/>
    <cellStyle name="C03B" xfId="8695"/>
    <cellStyle name="C03H" xfId="8696"/>
    <cellStyle name="C03L" xfId="8697"/>
    <cellStyle name="C04A" xfId="8698"/>
    <cellStyle name="C04B" xfId="8699"/>
    <cellStyle name="C04H" xfId="8700"/>
    <cellStyle name="C04L" xfId="8701"/>
    <cellStyle name="C05A" xfId="8702"/>
    <cellStyle name="C05B" xfId="8703"/>
    <cellStyle name="C05H" xfId="8704"/>
    <cellStyle name="C05L" xfId="8705"/>
    <cellStyle name="C06A" xfId="8706"/>
    <cellStyle name="C06B" xfId="8707"/>
    <cellStyle name="C06H" xfId="8708"/>
    <cellStyle name="C06L" xfId="8709"/>
    <cellStyle name="C07A" xfId="8710"/>
    <cellStyle name="C07B" xfId="8711"/>
    <cellStyle name="C07H" xfId="8712"/>
    <cellStyle name="C07L" xfId="8713"/>
    <cellStyle name="Calculation 10" xfId="2774"/>
    <cellStyle name="Calculation 10 10" xfId="2775"/>
    <cellStyle name="Calculation 10 11" xfId="57812"/>
    <cellStyle name="Calculation 10 12" xfId="58323"/>
    <cellStyle name="Calculation 10 2" xfId="2776"/>
    <cellStyle name="Calculation 10 2 2" xfId="2777"/>
    <cellStyle name="Calculation 10 2 2 2" xfId="58324"/>
    <cellStyle name="Calculation 10 2 3" xfId="2778"/>
    <cellStyle name="Calculation 10 2 3 2" xfId="58325"/>
    <cellStyle name="Calculation 10 2 4" xfId="2779"/>
    <cellStyle name="Calculation 10 2 4 2" xfId="58326"/>
    <cellStyle name="Calculation 10 2 5" xfId="2780"/>
    <cellStyle name="Calculation 10 2 5 2" xfId="58327"/>
    <cellStyle name="Calculation 10 2 6" xfId="2781"/>
    <cellStyle name="Calculation 10 2 6 2" xfId="58328"/>
    <cellStyle name="Calculation 10 2 7" xfId="2782"/>
    <cellStyle name="Calculation 10 2 7 2" xfId="58329"/>
    <cellStyle name="Calculation 10 2 8" xfId="2783"/>
    <cellStyle name="Calculation 10 2 8 2" xfId="58330"/>
    <cellStyle name="Calculation 10 2 9" xfId="2784"/>
    <cellStyle name="Calculation 10 3" xfId="2785"/>
    <cellStyle name="Calculation 10 3 2" xfId="58331"/>
    <cellStyle name="Calculation 10 4" xfId="2786"/>
    <cellStyle name="Calculation 10 4 2" xfId="58332"/>
    <cellStyle name="Calculation 10 5" xfId="2787"/>
    <cellStyle name="Calculation 10 5 2" xfId="58333"/>
    <cellStyle name="Calculation 10 6" xfId="2788"/>
    <cellStyle name="Calculation 10 6 2" xfId="58334"/>
    <cellStyle name="Calculation 10 7" xfId="2789"/>
    <cellStyle name="Calculation 10 7 2" xfId="58335"/>
    <cellStyle name="Calculation 10 8" xfId="2790"/>
    <cellStyle name="Calculation 10 8 2" xfId="58336"/>
    <cellStyle name="Calculation 10 9" xfId="2791"/>
    <cellStyle name="Calculation 10 9 2" xfId="58337"/>
    <cellStyle name="Calculation 11" xfId="2792"/>
    <cellStyle name="Calculation 11 10" xfId="2793"/>
    <cellStyle name="Calculation 11 11" xfId="57813"/>
    <cellStyle name="Calculation 11 12" xfId="58338"/>
    <cellStyle name="Calculation 11 2" xfId="2794"/>
    <cellStyle name="Calculation 11 2 2" xfId="2795"/>
    <cellStyle name="Calculation 11 2 2 2" xfId="58339"/>
    <cellStyle name="Calculation 11 2 3" xfId="2796"/>
    <cellStyle name="Calculation 11 2 3 2" xfId="58340"/>
    <cellStyle name="Calculation 11 2 4" xfId="2797"/>
    <cellStyle name="Calculation 11 2 4 2" xfId="58341"/>
    <cellStyle name="Calculation 11 2 5" xfId="2798"/>
    <cellStyle name="Calculation 11 2 5 2" xfId="58342"/>
    <cellStyle name="Calculation 11 2 6" xfId="2799"/>
    <cellStyle name="Calculation 11 2 6 2" xfId="58343"/>
    <cellStyle name="Calculation 11 2 7" xfId="2800"/>
    <cellStyle name="Calculation 11 2 7 2" xfId="58344"/>
    <cellStyle name="Calculation 11 2 8" xfId="2801"/>
    <cellStyle name="Calculation 11 2 8 2" xfId="58345"/>
    <cellStyle name="Calculation 11 2 9" xfId="2802"/>
    <cellStyle name="Calculation 11 3" xfId="2803"/>
    <cellStyle name="Calculation 11 3 2" xfId="58346"/>
    <cellStyle name="Calculation 11 4" xfId="2804"/>
    <cellStyle name="Calculation 11 4 2" xfId="58347"/>
    <cellStyle name="Calculation 11 5" xfId="2805"/>
    <cellStyle name="Calculation 11 5 2" xfId="58348"/>
    <cellStyle name="Calculation 11 6" xfId="2806"/>
    <cellStyle name="Calculation 11 6 2" xfId="58349"/>
    <cellStyle name="Calculation 11 7" xfId="2807"/>
    <cellStyle name="Calculation 11 7 2" xfId="58350"/>
    <cellStyle name="Calculation 11 8" xfId="2808"/>
    <cellStyle name="Calculation 11 8 2" xfId="58351"/>
    <cellStyle name="Calculation 11 9" xfId="2809"/>
    <cellStyle name="Calculation 11 9 2" xfId="58352"/>
    <cellStyle name="Calculation 12" xfId="2810"/>
    <cellStyle name="Calculation 12 10" xfId="2811"/>
    <cellStyle name="Calculation 12 11" xfId="57814"/>
    <cellStyle name="Calculation 12 12" xfId="58353"/>
    <cellStyle name="Calculation 12 2" xfId="2812"/>
    <cellStyle name="Calculation 12 2 2" xfId="2813"/>
    <cellStyle name="Calculation 12 2 2 2" xfId="58354"/>
    <cellStyle name="Calculation 12 2 3" xfId="2814"/>
    <cellStyle name="Calculation 12 2 3 2" xfId="58355"/>
    <cellStyle name="Calculation 12 2 4" xfId="2815"/>
    <cellStyle name="Calculation 12 2 4 2" xfId="58356"/>
    <cellStyle name="Calculation 12 2 5" xfId="2816"/>
    <cellStyle name="Calculation 12 2 5 2" xfId="58357"/>
    <cellStyle name="Calculation 12 2 6" xfId="2817"/>
    <cellStyle name="Calculation 12 2 6 2" xfId="58358"/>
    <cellStyle name="Calculation 12 2 7" xfId="2818"/>
    <cellStyle name="Calculation 12 2 7 2" xfId="58359"/>
    <cellStyle name="Calculation 12 2 8" xfId="2819"/>
    <cellStyle name="Calculation 12 2 8 2" xfId="58360"/>
    <cellStyle name="Calculation 12 2 9" xfId="2820"/>
    <cellStyle name="Calculation 12 3" xfId="2821"/>
    <cellStyle name="Calculation 12 3 2" xfId="58361"/>
    <cellStyle name="Calculation 12 4" xfId="2822"/>
    <cellStyle name="Calculation 12 4 2" xfId="58362"/>
    <cellStyle name="Calculation 12 5" xfId="2823"/>
    <cellStyle name="Calculation 12 5 2" xfId="58363"/>
    <cellStyle name="Calculation 12 6" xfId="2824"/>
    <cellStyle name="Calculation 12 6 2" xfId="58364"/>
    <cellStyle name="Calculation 12 7" xfId="2825"/>
    <cellStyle name="Calculation 12 7 2" xfId="58365"/>
    <cellStyle name="Calculation 12 8" xfId="2826"/>
    <cellStyle name="Calculation 12 8 2" xfId="58366"/>
    <cellStyle name="Calculation 12 9" xfId="2827"/>
    <cellStyle name="Calculation 12 9 2" xfId="58367"/>
    <cellStyle name="Calculation 13" xfId="2828"/>
    <cellStyle name="Calculation 13 10" xfId="2829"/>
    <cellStyle name="Calculation 13 11" xfId="57815"/>
    <cellStyle name="Calculation 13 12" xfId="58368"/>
    <cellStyle name="Calculation 13 2" xfId="2830"/>
    <cellStyle name="Calculation 13 2 2" xfId="2831"/>
    <cellStyle name="Calculation 13 2 2 2" xfId="58369"/>
    <cellStyle name="Calculation 13 2 3" xfId="2832"/>
    <cellStyle name="Calculation 13 2 3 2" xfId="58370"/>
    <cellStyle name="Calculation 13 2 4" xfId="2833"/>
    <cellStyle name="Calculation 13 2 4 2" xfId="58371"/>
    <cellStyle name="Calculation 13 2 5" xfId="2834"/>
    <cellStyle name="Calculation 13 2 5 2" xfId="58372"/>
    <cellStyle name="Calculation 13 2 6" xfId="2835"/>
    <cellStyle name="Calculation 13 2 6 2" xfId="58373"/>
    <cellStyle name="Calculation 13 2 7" xfId="2836"/>
    <cellStyle name="Calculation 13 2 7 2" xfId="58374"/>
    <cellStyle name="Calculation 13 2 8" xfId="2837"/>
    <cellStyle name="Calculation 13 2 8 2" xfId="58375"/>
    <cellStyle name="Calculation 13 2 9" xfId="2838"/>
    <cellStyle name="Calculation 13 3" xfId="2839"/>
    <cellStyle name="Calculation 13 3 2" xfId="58376"/>
    <cellStyle name="Calculation 13 4" xfId="2840"/>
    <cellStyle name="Calculation 13 4 2" xfId="58377"/>
    <cellStyle name="Calculation 13 5" xfId="2841"/>
    <cellStyle name="Calculation 13 5 2" xfId="58378"/>
    <cellStyle name="Calculation 13 6" xfId="2842"/>
    <cellStyle name="Calculation 13 6 2" xfId="58379"/>
    <cellStyle name="Calculation 13 7" xfId="2843"/>
    <cellStyle name="Calculation 13 7 2" xfId="58380"/>
    <cellStyle name="Calculation 13 8" xfId="2844"/>
    <cellStyle name="Calculation 13 8 2" xfId="58381"/>
    <cellStyle name="Calculation 13 9" xfId="2845"/>
    <cellStyle name="Calculation 13 9 2" xfId="58382"/>
    <cellStyle name="Calculation 14" xfId="2846"/>
    <cellStyle name="Calculation 14 10" xfId="2847"/>
    <cellStyle name="Calculation 14 11" xfId="57816"/>
    <cellStyle name="Calculation 14 12" xfId="58383"/>
    <cellStyle name="Calculation 14 2" xfId="2848"/>
    <cellStyle name="Calculation 14 2 2" xfId="2849"/>
    <cellStyle name="Calculation 14 2 2 2" xfId="58384"/>
    <cellStyle name="Calculation 14 2 3" xfId="2850"/>
    <cellStyle name="Calculation 14 2 3 2" xfId="58385"/>
    <cellStyle name="Calculation 14 2 4" xfId="2851"/>
    <cellStyle name="Calculation 14 2 4 2" xfId="58386"/>
    <cellStyle name="Calculation 14 2 5" xfId="2852"/>
    <cellStyle name="Calculation 14 2 5 2" xfId="58387"/>
    <cellStyle name="Calculation 14 2 6" xfId="2853"/>
    <cellStyle name="Calculation 14 2 6 2" xfId="58388"/>
    <cellStyle name="Calculation 14 2 7" xfId="2854"/>
    <cellStyle name="Calculation 14 2 7 2" xfId="58389"/>
    <cellStyle name="Calculation 14 2 8" xfId="2855"/>
    <cellStyle name="Calculation 14 2 8 2" xfId="58390"/>
    <cellStyle name="Calculation 14 2 9" xfId="2856"/>
    <cellStyle name="Calculation 14 3" xfId="2857"/>
    <cellStyle name="Calculation 14 3 2" xfId="58391"/>
    <cellStyle name="Calculation 14 4" xfId="2858"/>
    <cellStyle name="Calculation 14 4 2" xfId="58392"/>
    <cellStyle name="Calculation 14 5" xfId="2859"/>
    <cellStyle name="Calculation 14 5 2" xfId="58393"/>
    <cellStyle name="Calculation 14 6" xfId="2860"/>
    <cellStyle name="Calculation 14 6 2" xfId="58394"/>
    <cellStyle name="Calculation 14 7" xfId="2861"/>
    <cellStyle name="Calculation 14 7 2" xfId="58395"/>
    <cellStyle name="Calculation 14 8" xfId="2862"/>
    <cellStyle name="Calculation 14 8 2" xfId="58396"/>
    <cellStyle name="Calculation 14 9" xfId="2863"/>
    <cellStyle name="Calculation 14 9 2" xfId="58397"/>
    <cellStyle name="Calculation 15" xfId="2864"/>
    <cellStyle name="Calculation 15 10" xfId="2865"/>
    <cellStyle name="Calculation 15 11" xfId="57817"/>
    <cellStyle name="Calculation 15 12" xfId="58398"/>
    <cellStyle name="Calculation 15 2" xfId="2866"/>
    <cellStyle name="Calculation 15 2 2" xfId="2867"/>
    <cellStyle name="Calculation 15 2 2 2" xfId="58399"/>
    <cellStyle name="Calculation 15 2 3" xfId="2868"/>
    <cellStyle name="Calculation 15 2 3 2" xfId="58400"/>
    <cellStyle name="Calculation 15 2 4" xfId="2869"/>
    <cellStyle name="Calculation 15 2 4 2" xfId="58401"/>
    <cellStyle name="Calculation 15 2 5" xfId="2870"/>
    <cellStyle name="Calculation 15 2 5 2" xfId="58402"/>
    <cellStyle name="Calculation 15 2 6" xfId="2871"/>
    <cellStyle name="Calculation 15 2 6 2" xfId="58403"/>
    <cellStyle name="Calculation 15 2 7" xfId="2872"/>
    <cellStyle name="Calculation 15 2 7 2" xfId="58404"/>
    <cellStyle name="Calculation 15 2 8" xfId="2873"/>
    <cellStyle name="Calculation 15 2 8 2" xfId="58405"/>
    <cellStyle name="Calculation 15 2 9" xfId="2874"/>
    <cellStyle name="Calculation 15 3" xfId="2875"/>
    <cellStyle name="Calculation 15 3 2" xfId="58406"/>
    <cellStyle name="Calculation 15 4" xfId="2876"/>
    <cellStyle name="Calculation 15 4 2" xfId="58407"/>
    <cellStyle name="Calculation 15 5" xfId="2877"/>
    <cellStyle name="Calculation 15 5 2" xfId="58408"/>
    <cellStyle name="Calculation 15 6" xfId="2878"/>
    <cellStyle name="Calculation 15 6 2" xfId="58409"/>
    <cellStyle name="Calculation 15 7" xfId="2879"/>
    <cellStyle name="Calculation 15 7 2" xfId="58410"/>
    <cellStyle name="Calculation 15 8" xfId="2880"/>
    <cellStyle name="Calculation 15 8 2" xfId="58411"/>
    <cellStyle name="Calculation 15 9" xfId="2881"/>
    <cellStyle name="Calculation 15 9 2" xfId="58412"/>
    <cellStyle name="Calculation 16" xfId="2882"/>
    <cellStyle name="Calculation 16 10" xfId="2883"/>
    <cellStyle name="Calculation 16 11" xfId="57818"/>
    <cellStyle name="Calculation 16 12" xfId="58413"/>
    <cellStyle name="Calculation 16 2" xfId="2884"/>
    <cellStyle name="Calculation 16 2 2" xfId="2885"/>
    <cellStyle name="Calculation 16 2 2 2" xfId="58414"/>
    <cellStyle name="Calculation 16 2 3" xfId="2886"/>
    <cellStyle name="Calculation 16 2 3 2" xfId="58415"/>
    <cellStyle name="Calculation 16 2 4" xfId="2887"/>
    <cellStyle name="Calculation 16 2 4 2" xfId="58416"/>
    <cellStyle name="Calculation 16 2 5" xfId="2888"/>
    <cellStyle name="Calculation 16 2 5 2" xfId="58417"/>
    <cellStyle name="Calculation 16 2 6" xfId="2889"/>
    <cellStyle name="Calculation 16 2 6 2" xfId="58418"/>
    <cellStyle name="Calculation 16 2 7" xfId="2890"/>
    <cellStyle name="Calculation 16 2 7 2" xfId="58419"/>
    <cellStyle name="Calculation 16 2 8" xfId="2891"/>
    <cellStyle name="Calculation 16 2 8 2" xfId="58420"/>
    <cellStyle name="Calculation 16 2 9" xfId="2892"/>
    <cellStyle name="Calculation 16 3" xfId="2893"/>
    <cellStyle name="Calculation 16 3 2" xfId="58421"/>
    <cellStyle name="Calculation 16 4" xfId="2894"/>
    <cellStyle name="Calculation 16 4 2" xfId="58422"/>
    <cellStyle name="Calculation 16 5" xfId="2895"/>
    <cellStyle name="Calculation 16 5 2" xfId="58423"/>
    <cellStyle name="Calculation 16 6" xfId="2896"/>
    <cellStyle name="Calculation 16 6 2" xfId="58424"/>
    <cellStyle name="Calculation 16 7" xfId="2897"/>
    <cellStyle name="Calculation 16 7 2" xfId="58425"/>
    <cellStyle name="Calculation 16 8" xfId="2898"/>
    <cellStyle name="Calculation 16 8 2" xfId="58426"/>
    <cellStyle name="Calculation 16 9" xfId="2899"/>
    <cellStyle name="Calculation 16 9 2" xfId="58427"/>
    <cellStyle name="Calculation 17" xfId="2900"/>
    <cellStyle name="Calculation 17 10" xfId="2901"/>
    <cellStyle name="Calculation 17 11" xfId="58428"/>
    <cellStyle name="Calculation 17 2" xfId="2902"/>
    <cellStyle name="Calculation 17 2 2" xfId="2903"/>
    <cellStyle name="Calculation 17 2 2 2" xfId="58429"/>
    <cellStyle name="Calculation 17 2 3" xfId="2904"/>
    <cellStyle name="Calculation 17 2 3 2" xfId="58430"/>
    <cellStyle name="Calculation 17 2 4" xfId="2905"/>
    <cellStyle name="Calculation 17 2 4 2" xfId="58431"/>
    <cellStyle name="Calculation 17 2 5" xfId="2906"/>
    <cellStyle name="Calculation 17 2 5 2" xfId="58432"/>
    <cellStyle name="Calculation 17 2 6" xfId="2907"/>
    <cellStyle name="Calculation 17 2 6 2" xfId="58433"/>
    <cellStyle name="Calculation 17 2 7" xfId="2908"/>
    <cellStyle name="Calculation 17 2 7 2" xfId="58434"/>
    <cellStyle name="Calculation 17 2 8" xfId="2909"/>
    <cellStyle name="Calculation 17 2 8 2" xfId="58435"/>
    <cellStyle name="Calculation 17 2 9" xfId="2910"/>
    <cellStyle name="Calculation 17 3" xfId="2911"/>
    <cellStyle name="Calculation 17 3 2" xfId="58436"/>
    <cellStyle name="Calculation 17 4" xfId="2912"/>
    <cellStyle name="Calculation 17 4 2" xfId="58437"/>
    <cellStyle name="Calculation 17 5" xfId="2913"/>
    <cellStyle name="Calculation 17 5 2" xfId="58438"/>
    <cellStyle name="Calculation 17 6" xfId="2914"/>
    <cellStyle name="Calculation 17 6 2" xfId="58439"/>
    <cellStyle name="Calculation 17 7" xfId="2915"/>
    <cellStyle name="Calculation 17 7 2" xfId="58440"/>
    <cellStyle name="Calculation 17 8" xfId="2916"/>
    <cellStyle name="Calculation 17 8 2" xfId="58441"/>
    <cellStyle name="Calculation 17 9" xfId="2917"/>
    <cellStyle name="Calculation 17 9 2" xfId="58442"/>
    <cellStyle name="Calculation 18" xfId="2918"/>
    <cellStyle name="Calculation 18 10" xfId="2919"/>
    <cellStyle name="Calculation 18 2" xfId="2920"/>
    <cellStyle name="Calculation 18 2 2" xfId="2921"/>
    <cellStyle name="Calculation 18 2 2 2" xfId="58443"/>
    <cellStyle name="Calculation 18 2 3" xfId="2922"/>
    <cellStyle name="Calculation 18 2 3 2" xfId="58444"/>
    <cellStyle name="Calculation 18 2 4" xfId="2923"/>
    <cellStyle name="Calculation 18 2 4 2" xfId="58445"/>
    <cellStyle name="Calculation 18 2 5" xfId="2924"/>
    <cellStyle name="Calculation 18 2 5 2" xfId="58446"/>
    <cellStyle name="Calculation 18 2 6" xfId="2925"/>
    <cellStyle name="Calculation 18 2 6 2" xfId="58447"/>
    <cellStyle name="Calculation 18 2 7" xfId="2926"/>
    <cellStyle name="Calculation 18 2 7 2" xfId="58448"/>
    <cellStyle name="Calculation 18 2 8" xfId="2927"/>
    <cellStyle name="Calculation 18 2 8 2" xfId="58449"/>
    <cellStyle name="Calculation 18 2 9" xfId="2928"/>
    <cellStyle name="Calculation 18 3" xfId="2929"/>
    <cellStyle name="Calculation 18 3 2" xfId="58450"/>
    <cellStyle name="Calculation 18 4" xfId="2930"/>
    <cellStyle name="Calculation 18 4 2" xfId="58451"/>
    <cellStyle name="Calculation 18 5" xfId="2931"/>
    <cellStyle name="Calculation 18 5 2" xfId="58452"/>
    <cellStyle name="Calculation 18 6" xfId="2932"/>
    <cellStyle name="Calculation 18 6 2" xfId="58453"/>
    <cellStyle name="Calculation 18 7" xfId="2933"/>
    <cellStyle name="Calculation 18 7 2" xfId="58454"/>
    <cellStyle name="Calculation 18 8" xfId="2934"/>
    <cellStyle name="Calculation 18 8 2" xfId="58455"/>
    <cellStyle name="Calculation 18 9" xfId="2935"/>
    <cellStyle name="Calculation 18 9 2" xfId="58456"/>
    <cellStyle name="Calculation 19" xfId="2936"/>
    <cellStyle name="Calculation 19 10" xfId="2937"/>
    <cellStyle name="Calculation 19 2" xfId="2938"/>
    <cellStyle name="Calculation 19 2 2" xfId="2939"/>
    <cellStyle name="Calculation 19 2 2 2" xfId="58457"/>
    <cellStyle name="Calculation 19 2 3" xfId="2940"/>
    <cellStyle name="Calculation 19 2 3 2" xfId="58458"/>
    <cellStyle name="Calculation 19 2 4" xfId="2941"/>
    <cellStyle name="Calculation 19 2 4 2" xfId="58459"/>
    <cellStyle name="Calculation 19 2 5" xfId="2942"/>
    <cellStyle name="Calculation 19 2 5 2" xfId="58460"/>
    <cellStyle name="Calculation 19 2 6" xfId="2943"/>
    <cellStyle name="Calculation 19 2 6 2" xfId="58461"/>
    <cellStyle name="Calculation 19 2 7" xfId="2944"/>
    <cellStyle name="Calculation 19 2 7 2" xfId="58462"/>
    <cellStyle name="Calculation 19 2 8" xfId="2945"/>
    <cellStyle name="Calculation 19 2 8 2" xfId="58463"/>
    <cellStyle name="Calculation 19 2 9" xfId="2946"/>
    <cellStyle name="Calculation 19 3" xfId="2947"/>
    <cellStyle name="Calculation 19 3 2" xfId="58464"/>
    <cellStyle name="Calculation 19 4" xfId="2948"/>
    <cellStyle name="Calculation 19 4 2" xfId="58465"/>
    <cellStyle name="Calculation 19 5" xfId="2949"/>
    <cellStyle name="Calculation 19 5 2" xfId="58466"/>
    <cellStyle name="Calculation 19 6" xfId="2950"/>
    <cellStyle name="Calculation 19 6 2" xfId="58467"/>
    <cellStyle name="Calculation 19 7" xfId="2951"/>
    <cellStyle name="Calculation 19 7 2" xfId="58468"/>
    <cellStyle name="Calculation 19 8" xfId="2952"/>
    <cellStyle name="Calculation 19 8 2" xfId="58469"/>
    <cellStyle name="Calculation 19 9" xfId="2953"/>
    <cellStyle name="Calculation 19 9 2" xfId="58470"/>
    <cellStyle name="Calculation 2" xfId="2954"/>
    <cellStyle name="Calculation 2 10" xfId="58471"/>
    <cellStyle name="Calculation 2 2" xfId="2955"/>
    <cellStyle name="Calculation 2 2 10" xfId="2956"/>
    <cellStyle name="Calculation 2 2 11" xfId="58472"/>
    <cellStyle name="Calculation 2 2 2" xfId="2957"/>
    <cellStyle name="Calculation 2 2 2 2" xfId="58473"/>
    <cellStyle name="Calculation 2 2 3" xfId="2958"/>
    <cellStyle name="Calculation 2 2 3 2" xfId="58474"/>
    <cellStyle name="Calculation 2 2 4" xfId="2959"/>
    <cellStyle name="Calculation 2 2 4 2" xfId="58475"/>
    <cellStyle name="Calculation 2 2 5" xfId="2960"/>
    <cellStyle name="Calculation 2 2 5 2" xfId="58476"/>
    <cellStyle name="Calculation 2 2 6" xfId="2961"/>
    <cellStyle name="Calculation 2 2 6 2" xfId="58477"/>
    <cellStyle name="Calculation 2 2 7" xfId="2962"/>
    <cellStyle name="Calculation 2 2 7 2" xfId="58478"/>
    <cellStyle name="Calculation 2 2 8" xfId="2963"/>
    <cellStyle name="Calculation 2 2 8 2" xfId="58479"/>
    <cellStyle name="Calculation 2 2 9" xfId="2964"/>
    <cellStyle name="Calculation 2 3" xfId="2965"/>
    <cellStyle name="Calculation 2 3 2" xfId="58480"/>
    <cellStyle name="Calculation 2 4" xfId="2966"/>
    <cellStyle name="Calculation 2 4 2" xfId="58481"/>
    <cellStyle name="Calculation 2 5" xfId="2967"/>
    <cellStyle name="Calculation 2 5 2" xfId="58482"/>
    <cellStyle name="Calculation 2 6" xfId="2968"/>
    <cellStyle name="Calculation 2 6 2" xfId="58483"/>
    <cellStyle name="Calculation 2 7" xfId="2969"/>
    <cellStyle name="Calculation 2 7 2" xfId="58484"/>
    <cellStyle name="Calculation 2 8" xfId="2970"/>
    <cellStyle name="Calculation 2 8 2" xfId="58485"/>
    <cellStyle name="Calculation 2 9" xfId="2971"/>
    <cellStyle name="Calculation 20" xfId="2972"/>
    <cellStyle name="Calculation 20 10" xfId="2973"/>
    <cellStyle name="Calculation 20 2" xfId="2974"/>
    <cellStyle name="Calculation 20 2 2" xfId="2975"/>
    <cellStyle name="Calculation 20 2 2 2" xfId="58486"/>
    <cellStyle name="Calculation 20 2 3" xfId="2976"/>
    <cellStyle name="Calculation 20 2 3 2" xfId="58487"/>
    <cellStyle name="Calculation 20 2 4" xfId="2977"/>
    <cellStyle name="Calculation 20 2 4 2" xfId="58488"/>
    <cellStyle name="Calculation 20 2 5" xfId="2978"/>
    <cellStyle name="Calculation 20 2 5 2" xfId="58489"/>
    <cellStyle name="Calculation 20 2 6" xfId="2979"/>
    <cellStyle name="Calculation 20 2 6 2" xfId="58490"/>
    <cellStyle name="Calculation 20 2 7" xfId="2980"/>
    <cellStyle name="Calculation 20 2 7 2" xfId="58491"/>
    <cellStyle name="Calculation 20 2 8" xfId="2981"/>
    <cellStyle name="Calculation 20 2 8 2" xfId="58492"/>
    <cellStyle name="Calculation 20 2 9" xfId="2982"/>
    <cellStyle name="Calculation 20 3" xfId="2983"/>
    <cellStyle name="Calculation 20 3 2" xfId="58493"/>
    <cellStyle name="Calculation 20 4" xfId="2984"/>
    <cellStyle name="Calculation 20 4 2" xfId="58494"/>
    <cellStyle name="Calculation 20 5" xfId="2985"/>
    <cellStyle name="Calculation 20 5 2" xfId="58495"/>
    <cellStyle name="Calculation 20 6" xfId="2986"/>
    <cellStyle name="Calculation 20 6 2" xfId="58496"/>
    <cellStyle name="Calculation 20 7" xfId="2987"/>
    <cellStyle name="Calculation 20 7 2" xfId="58497"/>
    <cellStyle name="Calculation 20 8" xfId="2988"/>
    <cellStyle name="Calculation 20 8 2" xfId="58498"/>
    <cellStyle name="Calculation 20 9" xfId="2989"/>
    <cellStyle name="Calculation 20 9 2" xfId="58499"/>
    <cellStyle name="Calculation 21" xfId="2990"/>
    <cellStyle name="Calculation 21 10" xfId="2991"/>
    <cellStyle name="Calculation 21 2" xfId="2992"/>
    <cellStyle name="Calculation 21 2 2" xfId="2993"/>
    <cellStyle name="Calculation 21 2 2 2" xfId="58500"/>
    <cellStyle name="Calculation 21 2 3" xfId="2994"/>
    <cellStyle name="Calculation 21 2 3 2" xfId="58501"/>
    <cellStyle name="Calculation 21 2 4" xfId="2995"/>
    <cellStyle name="Calculation 21 2 4 2" xfId="58502"/>
    <cellStyle name="Calculation 21 2 5" xfId="2996"/>
    <cellStyle name="Calculation 21 2 5 2" xfId="58503"/>
    <cellStyle name="Calculation 21 2 6" xfId="2997"/>
    <cellStyle name="Calculation 21 2 6 2" xfId="58504"/>
    <cellStyle name="Calculation 21 2 7" xfId="2998"/>
    <cellStyle name="Calculation 21 2 7 2" xfId="58505"/>
    <cellStyle name="Calculation 21 2 8" xfId="2999"/>
    <cellStyle name="Calculation 21 2 8 2" xfId="58506"/>
    <cellStyle name="Calculation 21 2 9" xfId="3000"/>
    <cellStyle name="Calculation 21 3" xfId="3001"/>
    <cellStyle name="Calculation 21 3 2" xfId="58507"/>
    <cellStyle name="Calculation 21 4" xfId="3002"/>
    <cellStyle name="Calculation 21 4 2" xfId="58508"/>
    <cellStyle name="Calculation 21 5" xfId="3003"/>
    <cellStyle name="Calculation 21 5 2" xfId="58509"/>
    <cellStyle name="Calculation 21 6" xfId="3004"/>
    <cellStyle name="Calculation 21 6 2" xfId="58510"/>
    <cellStyle name="Calculation 21 7" xfId="3005"/>
    <cellStyle name="Calculation 21 7 2" xfId="58511"/>
    <cellStyle name="Calculation 21 8" xfId="3006"/>
    <cellStyle name="Calculation 21 8 2" xfId="58512"/>
    <cellStyle name="Calculation 21 9" xfId="3007"/>
    <cellStyle name="Calculation 21 9 2" xfId="58513"/>
    <cellStyle name="Calculation 22" xfId="3008"/>
    <cellStyle name="Calculation 22 2" xfId="3009"/>
    <cellStyle name="Calculation 22 2 2" xfId="58514"/>
    <cellStyle name="Calculation 22 3" xfId="3010"/>
    <cellStyle name="Calculation 22 3 2" xfId="58515"/>
    <cellStyle name="Calculation 22 4" xfId="3011"/>
    <cellStyle name="Calculation 22 4 2" xfId="58516"/>
    <cellStyle name="Calculation 22 5" xfId="3012"/>
    <cellStyle name="Calculation 22 5 2" xfId="58517"/>
    <cellStyle name="Calculation 22 6" xfId="3013"/>
    <cellStyle name="Calculation 22 6 2" xfId="58518"/>
    <cellStyle name="Calculation 22 7" xfId="3014"/>
    <cellStyle name="Calculation 22 7 2" xfId="58519"/>
    <cellStyle name="Calculation 22 8" xfId="3015"/>
    <cellStyle name="Calculation 22 8 2" xfId="58520"/>
    <cellStyle name="Calculation 22 9" xfId="3016"/>
    <cellStyle name="Calculation 23" xfId="9072"/>
    <cellStyle name="Calculation 3" xfId="3017"/>
    <cellStyle name="Calculation 3 10" xfId="3018"/>
    <cellStyle name="Calculation 3 11" xfId="9073"/>
    <cellStyle name="Calculation 3 2" xfId="3019"/>
    <cellStyle name="Calculation 3 2 10" xfId="3020"/>
    <cellStyle name="Calculation 3 2 2" xfId="3021"/>
    <cellStyle name="Calculation 3 2 2 2" xfId="58521"/>
    <cellStyle name="Calculation 3 2 3" xfId="3022"/>
    <cellStyle name="Calculation 3 2 3 2" xfId="58522"/>
    <cellStyle name="Calculation 3 2 4" xfId="3023"/>
    <cellStyle name="Calculation 3 2 4 2" xfId="58523"/>
    <cellStyle name="Calculation 3 2 5" xfId="3024"/>
    <cellStyle name="Calculation 3 2 5 2" xfId="58524"/>
    <cellStyle name="Calculation 3 2 6" xfId="3025"/>
    <cellStyle name="Calculation 3 2 6 2" xfId="58525"/>
    <cellStyle name="Calculation 3 2 7" xfId="3026"/>
    <cellStyle name="Calculation 3 2 7 2" xfId="58526"/>
    <cellStyle name="Calculation 3 2 8" xfId="3027"/>
    <cellStyle name="Calculation 3 2 8 2" xfId="58527"/>
    <cellStyle name="Calculation 3 2 9" xfId="3028"/>
    <cellStyle name="Calculation 3 3" xfId="3029"/>
    <cellStyle name="Calculation 3 3 2" xfId="58528"/>
    <cellStyle name="Calculation 3 4" xfId="3030"/>
    <cellStyle name="Calculation 3 4 2" xfId="58529"/>
    <cellStyle name="Calculation 3 5" xfId="3031"/>
    <cellStyle name="Calculation 3 5 2" xfId="58530"/>
    <cellStyle name="Calculation 3 6" xfId="3032"/>
    <cellStyle name="Calculation 3 6 2" xfId="58531"/>
    <cellStyle name="Calculation 3 7" xfId="3033"/>
    <cellStyle name="Calculation 3 7 2" xfId="58532"/>
    <cellStyle name="Calculation 3 8" xfId="3034"/>
    <cellStyle name="Calculation 3 8 2" xfId="58533"/>
    <cellStyle name="Calculation 3 9" xfId="3035"/>
    <cellStyle name="Calculation 3 9 2" xfId="58534"/>
    <cellStyle name="Calculation 4" xfId="3036"/>
    <cellStyle name="Calculation 4 10" xfId="3037"/>
    <cellStyle name="Calculation 4 11" xfId="57819"/>
    <cellStyle name="Calculation 4 12" xfId="58535"/>
    <cellStyle name="Calculation 4 2" xfId="3038"/>
    <cellStyle name="Calculation 4 2 2" xfId="3039"/>
    <cellStyle name="Calculation 4 2 2 2" xfId="58536"/>
    <cellStyle name="Calculation 4 2 3" xfId="3040"/>
    <cellStyle name="Calculation 4 2 3 2" xfId="58537"/>
    <cellStyle name="Calculation 4 2 4" xfId="3041"/>
    <cellStyle name="Calculation 4 2 4 2" xfId="58538"/>
    <cellStyle name="Calculation 4 2 5" xfId="3042"/>
    <cellStyle name="Calculation 4 2 5 2" xfId="58539"/>
    <cellStyle name="Calculation 4 2 6" xfId="3043"/>
    <cellStyle name="Calculation 4 2 6 2" xfId="58540"/>
    <cellStyle name="Calculation 4 2 7" xfId="3044"/>
    <cellStyle name="Calculation 4 2 7 2" xfId="58541"/>
    <cellStyle name="Calculation 4 2 8" xfId="3045"/>
    <cellStyle name="Calculation 4 2 8 2" xfId="58542"/>
    <cellStyle name="Calculation 4 2 9" xfId="3046"/>
    <cellStyle name="Calculation 4 3" xfId="3047"/>
    <cellStyle name="Calculation 4 3 2" xfId="58543"/>
    <cellStyle name="Calculation 4 4" xfId="3048"/>
    <cellStyle name="Calculation 4 4 2" xfId="58544"/>
    <cellStyle name="Calculation 4 5" xfId="3049"/>
    <cellStyle name="Calculation 4 5 2" xfId="58545"/>
    <cellStyle name="Calculation 4 6" xfId="3050"/>
    <cellStyle name="Calculation 4 6 2" xfId="58546"/>
    <cellStyle name="Calculation 4 7" xfId="3051"/>
    <cellStyle name="Calculation 4 7 2" xfId="58547"/>
    <cellStyle name="Calculation 4 8" xfId="3052"/>
    <cellStyle name="Calculation 4 8 2" xfId="58548"/>
    <cellStyle name="Calculation 4 9" xfId="3053"/>
    <cellStyle name="Calculation 4 9 2" xfId="58549"/>
    <cellStyle name="Calculation 5" xfId="3054"/>
    <cellStyle name="Calculation 5 10" xfId="3055"/>
    <cellStyle name="Calculation 5 11" xfId="57820"/>
    <cellStyle name="Calculation 5 12" xfId="58550"/>
    <cellStyle name="Calculation 5 2" xfId="3056"/>
    <cellStyle name="Calculation 5 2 2" xfId="3057"/>
    <cellStyle name="Calculation 5 2 2 2" xfId="58551"/>
    <cellStyle name="Calculation 5 2 3" xfId="3058"/>
    <cellStyle name="Calculation 5 2 3 2" xfId="58552"/>
    <cellStyle name="Calculation 5 2 4" xfId="3059"/>
    <cellStyle name="Calculation 5 2 4 2" xfId="58553"/>
    <cellStyle name="Calculation 5 2 5" xfId="3060"/>
    <cellStyle name="Calculation 5 2 5 2" xfId="58554"/>
    <cellStyle name="Calculation 5 2 6" xfId="3061"/>
    <cellStyle name="Calculation 5 2 6 2" xfId="58555"/>
    <cellStyle name="Calculation 5 2 7" xfId="3062"/>
    <cellStyle name="Calculation 5 2 7 2" xfId="58556"/>
    <cellStyle name="Calculation 5 2 8" xfId="3063"/>
    <cellStyle name="Calculation 5 2 8 2" xfId="58557"/>
    <cellStyle name="Calculation 5 2 9" xfId="3064"/>
    <cellStyle name="Calculation 5 3" xfId="3065"/>
    <cellStyle name="Calculation 5 3 2" xfId="58558"/>
    <cellStyle name="Calculation 5 4" xfId="3066"/>
    <cellStyle name="Calculation 5 4 2" xfId="58559"/>
    <cellStyle name="Calculation 5 5" xfId="3067"/>
    <cellStyle name="Calculation 5 5 2" xfId="58560"/>
    <cellStyle name="Calculation 5 6" xfId="3068"/>
    <cellStyle name="Calculation 5 6 2" xfId="58561"/>
    <cellStyle name="Calculation 5 7" xfId="3069"/>
    <cellStyle name="Calculation 5 7 2" xfId="58562"/>
    <cellStyle name="Calculation 5 8" xfId="3070"/>
    <cellStyle name="Calculation 5 8 2" xfId="58563"/>
    <cellStyle name="Calculation 5 9" xfId="3071"/>
    <cellStyle name="Calculation 5 9 2" xfId="58564"/>
    <cellStyle name="Calculation 6" xfId="3072"/>
    <cellStyle name="Calculation 6 10" xfId="3073"/>
    <cellStyle name="Calculation 6 11" xfId="57821"/>
    <cellStyle name="Calculation 6 12" xfId="58565"/>
    <cellStyle name="Calculation 6 2" xfId="3074"/>
    <cellStyle name="Calculation 6 2 2" xfId="3075"/>
    <cellStyle name="Calculation 6 2 2 2" xfId="58566"/>
    <cellStyle name="Calculation 6 2 3" xfId="3076"/>
    <cellStyle name="Calculation 6 2 3 2" xfId="58567"/>
    <cellStyle name="Calculation 6 2 4" xfId="3077"/>
    <cellStyle name="Calculation 6 2 4 2" xfId="58568"/>
    <cellStyle name="Calculation 6 2 5" xfId="3078"/>
    <cellStyle name="Calculation 6 2 5 2" xfId="58569"/>
    <cellStyle name="Calculation 6 2 6" xfId="3079"/>
    <cellStyle name="Calculation 6 2 6 2" xfId="58570"/>
    <cellStyle name="Calculation 6 2 7" xfId="3080"/>
    <cellStyle name="Calculation 6 2 7 2" xfId="58571"/>
    <cellStyle name="Calculation 6 2 8" xfId="3081"/>
    <cellStyle name="Calculation 6 2 8 2" xfId="58572"/>
    <cellStyle name="Calculation 6 2 9" xfId="3082"/>
    <cellStyle name="Calculation 6 3" xfId="3083"/>
    <cellStyle name="Calculation 6 3 2" xfId="58573"/>
    <cellStyle name="Calculation 6 4" xfId="3084"/>
    <cellStyle name="Calculation 6 4 2" xfId="58574"/>
    <cellStyle name="Calculation 6 5" xfId="3085"/>
    <cellStyle name="Calculation 6 5 2" xfId="58575"/>
    <cellStyle name="Calculation 6 6" xfId="3086"/>
    <cellStyle name="Calculation 6 6 2" xfId="58576"/>
    <cellStyle name="Calculation 6 7" xfId="3087"/>
    <cellStyle name="Calculation 6 7 2" xfId="58577"/>
    <cellStyle name="Calculation 6 8" xfId="3088"/>
    <cellStyle name="Calculation 6 8 2" xfId="58578"/>
    <cellStyle name="Calculation 6 9" xfId="3089"/>
    <cellStyle name="Calculation 6 9 2" xfId="58579"/>
    <cellStyle name="Calculation 7" xfId="3090"/>
    <cellStyle name="Calculation 7 10" xfId="3091"/>
    <cellStyle name="Calculation 7 11" xfId="57822"/>
    <cellStyle name="Calculation 7 12" xfId="58580"/>
    <cellStyle name="Calculation 7 2" xfId="3092"/>
    <cellStyle name="Calculation 7 2 2" xfId="3093"/>
    <cellStyle name="Calculation 7 2 2 2" xfId="58581"/>
    <cellStyle name="Calculation 7 2 3" xfId="3094"/>
    <cellStyle name="Calculation 7 2 3 2" xfId="58582"/>
    <cellStyle name="Calculation 7 2 4" xfId="3095"/>
    <cellStyle name="Calculation 7 2 4 2" xfId="58583"/>
    <cellStyle name="Calculation 7 2 5" xfId="3096"/>
    <cellStyle name="Calculation 7 2 5 2" xfId="58584"/>
    <cellStyle name="Calculation 7 2 6" xfId="3097"/>
    <cellStyle name="Calculation 7 2 6 2" xfId="58585"/>
    <cellStyle name="Calculation 7 2 7" xfId="3098"/>
    <cellStyle name="Calculation 7 2 7 2" xfId="58586"/>
    <cellStyle name="Calculation 7 2 8" xfId="3099"/>
    <cellStyle name="Calculation 7 2 8 2" xfId="58587"/>
    <cellStyle name="Calculation 7 2 9" xfId="3100"/>
    <cellStyle name="Calculation 7 3" xfId="3101"/>
    <cellStyle name="Calculation 7 3 2" xfId="58588"/>
    <cellStyle name="Calculation 7 4" xfId="3102"/>
    <cellStyle name="Calculation 7 4 2" xfId="58589"/>
    <cellStyle name="Calculation 7 5" xfId="3103"/>
    <cellStyle name="Calculation 7 5 2" xfId="58590"/>
    <cellStyle name="Calculation 7 6" xfId="3104"/>
    <cellStyle name="Calculation 7 6 2" xfId="58591"/>
    <cellStyle name="Calculation 7 7" xfId="3105"/>
    <cellStyle name="Calculation 7 7 2" xfId="58592"/>
    <cellStyle name="Calculation 7 8" xfId="3106"/>
    <cellStyle name="Calculation 7 8 2" xfId="58593"/>
    <cellStyle name="Calculation 7 9" xfId="3107"/>
    <cellStyle name="Calculation 7 9 2" xfId="58594"/>
    <cellStyle name="Calculation 8" xfId="3108"/>
    <cellStyle name="Calculation 8 10" xfId="3109"/>
    <cellStyle name="Calculation 8 11" xfId="57823"/>
    <cellStyle name="Calculation 8 12" xfId="58595"/>
    <cellStyle name="Calculation 8 2" xfId="3110"/>
    <cellStyle name="Calculation 8 2 2" xfId="3111"/>
    <cellStyle name="Calculation 8 2 2 2" xfId="58596"/>
    <cellStyle name="Calculation 8 2 3" xfId="3112"/>
    <cellStyle name="Calculation 8 2 3 2" xfId="58597"/>
    <cellStyle name="Calculation 8 2 4" xfId="3113"/>
    <cellStyle name="Calculation 8 2 4 2" xfId="58598"/>
    <cellStyle name="Calculation 8 2 5" xfId="3114"/>
    <cellStyle name="Calculation 8 2 5 2" xfId="58599"/>
    <cellStyle name="Calculation 8 2 6" xfId="3115"/>
    <cellStyle name="Calculation 8 2 6 2" xfId="58600"/>
    <cellStyle name="Calculation 8 2 7" xfId="3116"/>
    <cellStyle name="Calculation 8 2 7 2" xfId="58601"/>
    <cellStyle name="Calculation 8 2 8" xfId="3117"/>
    <cellStyle name="Calculation 8 2 8 2" xfId="58602"/>
    <cellStyle name="Calculation 8 2 9" xfId="3118"/>
    <cellStyle name="Calculation 8 3" xfId="3119"/>
    <cellStyle name="Calculation 8 3 2" xfId="58603"/>
    <cellStyle name="Calculation 8 4" xfId="3120"/>
    <cellStyle name="Calculation 8 4 2" xfId="58604"/>
    <cellStyle name="Calculation 8 5" xfId="3121"/>
    <cellStyle name="Calculation 8 5 2" xfId="58605"/>
    <cellStyle name="Calculation 8 6" xfId="3122"/>
    <cellStyle name="Calculation 8 6 2" xfId="58606"/>
    <cellStyle name="Calculation 8 7" xfId="3123"/>
    <cellStyle name="Calculation 8 7 2" xfId="58607"/>
    <cellStyle name="Calculation 8 8" xfId="3124"/>
    <cellStyle name="Calculation 8 8 2" xfId="58608"/>
    <cellStyle name="Calculation 8 9" xfId="3125"/>
    <cellStyle name="Calculation 8 9 2" xfId="58609"/>
    <cellStyle name="Calculation 9" xfId="3126"/>
    <cellStyle name="Calculation 9 10" xfId="3127"/>
    <cellStyle name="Calculation 9 11" xfId="57824"/>
    <cellStyle name="Calculation 9 12" xfId="58610"/>
    <cellStyle name="Calculation 9 2" xfId="3128"/>
    <cellStyle name="Calculation 9 2 2" xfId="3129"/>
    <cellStyle name="Calculation 9 2 2 2" xfId="58611"/>
    <cellStyle name="Calculation 9 2 3" xfId="3130"/>
    <cellStyle name="Calculation 9 2 3 2" xfId="58612"/>
    <cellStyle name="Calculation 9 2 4" xfId="3131"/>
    <cellStyle name="Calculation 9 2 4 2" xfId="58613"/>
    <cellStyle name="Calculation 9 2 5" xfId="3132"/>
    <cellStyle name="Calculation 9 2 5 2" xfId="58614"/>
    <cellStyle name="Calculation 9 2 6" xfId="3133"/>
    <cellStyle name="Calculation 9 2 6 2" xfId="58615"/>
    <cellStyle name="Calculation 9 2 7" xfId="3134"/>
    <cellStyle name="Calculation 9 2 7 2" xfId="58616"/>
    <cellStyle name="Calculation 9 2 8" xfId="3135"/>
    <cellStyle name="Calculation 9 2 8 2" xfId="58617"/>
    <cellStyle name="Calculation 9 2 9" xfId="3136"/>
    <cellStyle name="Calculation 9 3" xfId="3137"/>
    <cellStyle name="Calculation 9 3 2" xfId="58618"/>
    <cellStyle name="Calculation 9 4" xfId="3138"/>
    <cellStyle name="Calculation 9 4 2" xfId="58619"/>
    <cellStyle name="Calculation 9 5" xfId="3139"/>
    <cellStyle name="Calculation 9 5 2" xfId="58620"/>
    <cellStyle name="Calculation 9 6" xfId="3140"/>
    <cellStyle name="Calculation 9 6 2" xfId="58621"/>
    <cellStyle name="Calculation 9 7" xfId="3141"/>
    <cellStyle name="Calculation 9 7 2" xfId="58622"/>
    <cellStyle name="Calculation 9 8" xfId="3142"/>
    <cellStyle name="Calculation 9 8 2" xfId="58623"/>
    <cellStyle name="Calculation 9 9" xfId="3143"/>
    <cellStyle name="Calculation 9 9 2" xfId="58624"/>
    <cellStyle name="Check Cell 10" xfId="28967"/>
    <cellStyle name="Check Cell 11" xfId="28968"/>
    <cellStyle name="Check Cell 12" xfId="28969"/>
    <cellStyle name="Check Cell 13" xfId="28970"/>
    <cellStyle name="Check Cell 14" xfId="28971"/>
    <cellStyle name="Check Cell 15" xfId="28972"/>
    <cellStyle name="Check Cell 16" xfId="28973"/>
    <cellStyle name="Check Cell 17" xfId="28974"/>
    <cellStyle name="Check Cell 2" xfId="3144"/>
    <cellStyle name="Check Cell 2 2" xfId="3145"/>
    <cellStyle name="Check Cell 2 2 2" xfId="58625"/>
    <cellStyle name="Check Cell 2 3" xfId="28975"/>
    <cellStyle name="Check Cell 2 4" xfId="28976"/>
    <cellStyle name="Check Cell 2 5" xfId="28977"/>
    <cellStyle name="Check Cell 3" xfId="3146"/>
    <cellStyle name="Check Cell 3 2" xfId="9074"/>
    <cellStyle name="Check Cell 4" xfId="9075"/>
    <cellStyle name="Check Cell 4 2" xfId="28978"/>
    <cellStyle name="Check Cell 5" xfId="28979"/>
    <cellStyle name="Check Cell 5 2" xfId="28980"/>
    <cellStyle name="Check Cell 6" xfId="28981"/>
    <cellStyle name="Check Cell 6 2" xfId="28982"/>
    <cellStyle name="Check Cell 7" xfId="28983"/>
    <cellStyle name="Check Cell 7 2" xfId="28984"/>
    <cellStyle name="Check Cell 8" xfId="28985"/>
    <cellStyle name="Check Cell 9" xfId="28986"/>
    <cellStyle name="CodeEingabe" xfId="3147"/>
    <cellStyle name="ColumnAttributeAbovePrompt" xfId="3148"/>
    <cellStyle name="ColumnAttributeAbovePrompt 2" xfId="3149"/>
    <cellStyle name="ColumnAttributeAbovePrompt 2 2" xfId="28987"/>
    <cellStyle name="ColumnAttributeAbovePrompt 2 3" xfId="28988"/>
    <cellStyle name="ColumnAttributeAbovePrompt 3" xfId="3150"/>
    <cellStyle name="ColumnAttributeAbovePrompt 4" xfId="9076"/>
    <cellStyle name="ColumnAttributePrompt" xfId="3151"/>
    <cellStyle name="ColumnAttributePrompt 2" xfId="3152"/>
    <cellStyle name="ColumnAttributePrompt 2 2" xfId="28989"/>
    <cellStyle name="ColumnAttributePrompt 2 3" xfId="28990"/>
    <cellStyle name="ColumnAttributePrompt 3" xfId="3153"/>
    <cellStyle name="ColumnAttributePrompt 4" xfId="9077"/>
    <cellStyle name="ColumnAttributeValue" xfId="3154"/>
    <cellStyle name="ColumnAttributeValue 2" xfId="3155"/>
    <cellStyle name="ColumnAttributeValue 2 2" xfId="28991"/>
    <cellStyle name="ColumnAttributeValue 2 3" xfId="28992"/>
    <cellStyle name="ColumnAttributeValue 3" xfId="3156"/>
    <cellStyle name="ColumnAttributeValue 4" xfId="9078"/>
    <cellStyle name="ColumnHeadingPrompt" xfId="3157"/>
    <cellStyle name="ColumnHeadingPrompt 2" xfId="3158"/>
    <cellStyle name="ColumnHeadingPrompt 2 2" xfId="28993"/>
    <cellStyle name="ColumnHeadingPrompt 2 3" xfId="28994"/>
    <cellStyle name="ColumnHeadingPrompt 3" xfId="3159"/>
    <cellStyle name="ColumnHeadingPrompt 4" xfId="9079"/>
    <cellStyle name="ColumnHeadingValue" xfId="3160"/>
    <cellStyle name="ColumnHeadingValue 2" xfId="3161"/>
    <cellStyle name="ColumnHeadingValue 2 2" xfId="28995"/>
    <cellStyle name="ColumnHeadingValue 3" xfId="3162"/>
    <cellStyle name="ColumnHeadingValue 4" xfId="9080"/>
    <cellStyle name="Comma" xfId="62040" builtinId="3"/>
    <cellStyle name="Comma [0] 2" xfId="3163"/>
    <cellStyle name="Comma [0] 2 2" xfId="3164"/>
    <cellStyle name="Comma [0] 2 3" xfId="28996"/>
    <cellStyle name="Comma [0] 3" xfId="3165"/>
    <cellStyle name="Comma [0] 3 2" xfId="3166"/>
    <cellStyle name="Comma [0] 3 2 2" xfId="28997"/>
    <cellStyle name="Comma [0] 3 2 2 2" xfId="28998"/>
    <cellStyle name="Comma [0] 3 2 3" xfId="28999"/>
    <cellStyle name="Comma [0] 3 2 4" xfId="58626"/>
    <cellStyle name="Comma [0] 3 3" xfId="29000"/>
    <cellStyle name="Comma [0] 3 4" xfId="29001"/>
    <cellStyle name="Comma [0] 3 4 2" xfId="29002"/>
    <cellStyle name="Comma [0] 3 5" xfId="29003"/>
    <cellStyle name="Comma [0] 4" xfId="3167"/>
    <cellStyle name="Comma [0] 4 2" xfId="3168"/>
    <cellStyle name="Comma [0] 5" xfId="3169"/>
    <cellStyle name="Comma [0] 5 2" xfId="3170"/>
    <cellStyle name="Comma [0] 5 2 2" xfId="29004"/>
    <cellStyle name="Comma [0] 5 2 3" xfId="58627"/>
    <cellStyle name="Comma [0] 5 3" xfId="29005"/>
    <cellStyle name="Comma [0] 5 3 2" xfId="29006"/>
    <cellStyle name="Comma [0] 5 4" xfId="29007"/>
    <cellStyle name="Comma [0] 6" xfId="29008"/>
    <cellStyle name="Comma [0] 6 2" xfId="29009"/>
    <cellStyle name="Comma [0] 6 2 2" xfId="29010"/>
    <cellStyle name="Comma [0] 6 3" xfId="29011"/>
    <cellStyle name="Comma 10" xfId="3171"/>
    <cellStyle name="Comma 10 10" xfId="9081"/>
    <cellStyle name="Comma 10 10 2" xfId="29012"/>
    <cellStyle name="Comma 10 10 2 2" xfId="29013"/>
    <cellStyle name="Comma 10 10 2 3" xfId="29014"/>
    <cellStyle name="Comma 10 10 3" xfId="29015"/>
    <cellStyle name="Comma 10 10 3 2" xfId="29016"/>
    <cellStyle name="Comma 10 10 4" xfId="29017"/>
    <cellStyle name="Comma 10 10 5" xfId="29018"/>
    <cellStyle name="Comma 10 11" xfId="29019"/>
    <cellStyle name="Comma 10 11 2" xfId="29020"/>
    <cellStyle name="Comma 10 11 3" xfId="29021"/>
    <cellStyle name="Comma 10 12" xfId="29022"/>
    <cellStyle name="Comma 10 12 2" xfId="29023"/>
    <cellStyle name="Comma 10 12 3" xfId="29024"/>
    <cellStyle name="Comma 10 13" xfId="29025"/>
    <cellStyle name="Comma 10 13 2" xfId="29026"/>
    <cellStyle name="Comma 10 14" xfId="29027"/>
    <cellStyle name="Comma 10 15" xfId="29028"/>
    <cellStyle name="Comma 10 16" xfId="29029"/>
    <cellStyle name="Comma 10 2" xfId="3172"/>
    <cellStyle name="Comma 10 2 10" xfId="29030"/>
    <cellStyle name="Comma 10 2 10 2" xfId="29031"/>
    <cellStyle name="Comma 10 2 10 3" xfId="29032"/>
    <cellStyle name="Comma 10 2 11" xfId="29033"/>
    <cellStyle name="Comma 10 2 11 2" xfId="29034"/>
    <cellStyle name="Comma 10 2 11 3" xfId="29035"/>
    <cellStyle name="Comma 10 2 12" xfId="29036"/>
    <cellStyle name="Comma 10 2 12 2" xfId="29037"/>
    <cellStyle name="Comma 10 2 13" xfId="29038"/>
    <cellStyle name="Comma 10 2 14" xfId="29039"/>
    <cellStyle name="Comma 10 2 15" xfId="29040"/>
    <cellStyle name="Comma 10 2 2" xfId="3173"/>
    <cellStyle name="Comma 10 2 2 10" xfId="29041"/>
    <cellStyle name="Comma 10 2 2 10 2" xfId="29042"/>
    <cellStyle name="Comma 10 2 2 10 3" xfId="29043"/>
    <cellStyle name="Comma 10 2 2 11" xfId="29044"/>
    <cellStyle name="Comma 10 2 2 11 2" xfId="29045"/>
    <cellStyle name="Comma 10 2 2 12" xfId="29046"/>
    <cellStyle name="Comma 10 2 2 13" xfId="29047"/>
    <cellStyle name="Comma 10 2 2 14" xfId="29048"/>
    <cellStyle name="Comma 10 2 2 2" xfId="3174"/>
    <cellStyle name="Comma 10 2 2 2 10" xfId="29049"/>
    <cellStyle name="Comma 10 2 2 2 10 2" xfId="29050"/>
    <cellStyle name="Comma 10 2 2 2 11" xfId="29051"/>
    <cellStyle name="Comma 10 2 2 2 12" xfId="29052"/>
    <cellStyle name="Comma 10 2 2 2 2" xfId="3175"/>
    <cellStyle name="Comma 10 2 2 2 2 10" xfId="29053"/>
    <cellStyle name="Comma 10 2 2 2 2 2" xfId="3176"/>
    <cellStyle name="Comma 10 2 2 2 2 2 2" xfId="3177"/>
    <cellStyle name="Comma 10 2 2 2 2 2 2 2" xfId="29054"/>
    <cellStyle name="Comma 10 2 2 2 2 2 2 2 2" xfId="29055"/>
    <cellStyle name="Comma 10 2 2 2 2 2 2 2 3" xfId="29056"/>
    <cellStyle name="Comma 10 2 2 2 2 2 2 3" xfId="29057"/>
    <cellStyle name="Comma 10 2 2 2 2 2 2 3 2" xfId="29058"/>
    <cellStyle name="Comma 10 2 2 2 2 2 2 3 3" xfId="29059"/>
    <cellStyle name="Comma 10 2 2 2 2 2 2 4" xfId="29060"/>
    <cellStyle name="Comma 10 2 2 2 2 2 2 4 2" xfId="29061"/>
    <cellStyle name="Comma 10 2 2 2 2 2 2 5" xfId="29062"/>
    <cellStyle name="Comma 10 2 2 2 2 2 2 6" xfId="29063"/>
    <cellStyle name="Comma 10 2 2 2 2 2 3" xfId="29064"/>
    <cellStyle name="Comma 10 2 2 2 2 2 3 2" xfId="29065"/>
    <cellStyle name="Comma 10 2 2 2 2 2 3 2 2" xfId="29066"/>
    <cellStyle name="Comma 10 2 2 2 2 2 3 2 3" xfId="29067"/>
    <cellStyle name="Comma 10 2 2 2 2 2 3 3" xfId="29068"/>
    <cellStyle name="Comma 10 2 2 2 2 2 3 3 2" xfId="29069"/>
    <cellStyle name="Comma 10 2 2 2 2 2 3 3 3" xfId="29070"/>
    <cellStyle name="Comma 10 2 2 2 2 2 3 4" xfId="29071"/>
    <cellStyle name="Comma 10 2 2 2 2 2 3 4 2" xfId="29072"/>
    <cellStyle name="Comma 10 2 2 2 2 2 3 5" xfId="29073"/>
    <cellStyle name="Comma 10 2 2 2 2 2 3 6" xfId="29074"/>
    <cellStyle name="Comma 10 2 2 2 2 2 4" xfId="29075"/>
    <cellStyle name="Comma 10 2 2 2 2 2 4 2" xfId="29076"/>
    <cellStyle name="Comma 10 2 2 2 2 2 4 2 2" xfId="29077"/>
    <cellStyle name="Comma 10 2 2 2 2 2 4 2 3" xfId="29078"/>
    <cellStyle name="Comma 10 2 2 2 2 2 4 3" xfId="29079"/>
    <cellStyle name="Comma 10 2 2 2 2 2 4 3 2" xfId="29080"/>
    <cellStyle name="Comma 10 2 2 2 2 2 4 4" xfId="29081"/>
    <cellStyle name="Comma 10 2 2 2 2 2 4 5" xfId="29082"/>
    <cellStyle name="Comma 10 2 2 2 2 2 5" xfId="29083"/>
    <cellStyle name="Comma 10 2 2 2 2 2 5 2" xfId="29084"/>
    <cellStyle name="Comma 10 2 2 2 2 2 5 3" xfId="29085"/>
    <cellStyle name="Comma 10 2 2 2 2 2 6" xfId="29086"/>
    <cellStyle name="Comma 10 2 2 2 2 2 6 2" xfId="29087"/>
    <cellStyle name="Comma 10 2 2 2 2 2 6 3" xfId="29088"/>
    <cellStyle name="Comma 10 2 2 2 2 2 7" xfId="29089"/>
    <cellStyle name="Comma 10 2 2 2 2 2 7 2" xfId="29090"/>
    <cellStyle name="Comma 10 2 2 2 2 2 8" xfId="29091"/>
    <cellStyle name="Comma 10 2 2 2 2 2 9" xfId="29092"/>
    <cellStyle name="Comma 10 2 2 2 2 3" xfId="3178"/>
    <cellStyle name="Comma 10 2 2 2 2 3 2" xfId="29093"/>
    <cellStyle name="Comma 10 2 2 2 2 3 2 2" xfId="29094"/>
    <cellStyle name="Comma 10 2 2 2 2 3 2 3" xfId="29095"/>
    <cellStyle name="Comma 10 2 2 2 2 3 3" xfId="29096"/>
    <cellStyle name="Comma 10 2 2 2 2 3 3 2" xfId="29097"/>
    <cellStyle name="Comma 10 2 2 2 2 3 3 3" xfId="29098"/>
    <cellStyle name="Comma 10 2 2 2 2 3 4" xfId="29099"/>
    <cellStyle name="Comma 10 2 2 2 2 3 4 2" xfId="29100"/>
    <cellStyle name="Comma 10 2 2 2 2 3 5" xfId="29101"/>
    <cellStyle name="Comma 10 2 2 2 2 3 6" xfId="29102"/>
    <cellStyle name="Comma 10 2 2 2 2 4" xfId="29103"/>
    <cellStyle name="Comma 10 2 2 2 2 4 2" xfId="29104"/>
    <cellStyle name="Comma 10 2 2 2 2 4 2 2" xfId="29105"/>
    <cellStyle name="Comma 10 2 2 2 2 4 2 3" xfId="29106"/>
    <cellStyle name="Comma 10 2 2 2 2 4 3" xfId="29107"/>
    <cellStyle name="Comma 10 2 2 2 2 4 3 2" xfId="29108"/>
    <cellStyle name="Comma 10 2 2 2 2 4 3 3" xfId="29109"/>
    <cellStyle name="Comma 10 2 2 2 2 4 4" xfId="29110"/>
    <cellStyle name="Comma 10 2 2 2 2 4 4 2" xfId="29111"/>
    <cellStyle name="Comma 10 2 2 2 2 4 5" xfId="29112"/>
    <cellStyle name="Comma 10 2 2 2 2 4 6" xfId="29113"/>
    <cellStyle name="Comma 10 2 2 2 2 5" xfId="29114"/>
    <cellStyle name="Comma 10 2 2 2 2 5 2" xfId="29115"/>
    <cellStyle name="Comma 10 2 2 2 2 5 2 2" xfId="29116"/>
    <cellStyle name="Comma 10 2 2 2 2 5 2 3" xfId="29117"/>
    <cellStyle name="Comma 10 2 2 2 2 5 3" xfId="29118"/>
    <cellStyle name="Comma 10 2 2 2 2 5 3 2" xfId="29119"/>
    <cellStyle name="Comma 10 2 2 2 2 5 4" xfId="29120"/>
    <cellStyle name="Comma 10 2 2 2 2 5 5" xfId="29121"/>
    <cellStyle name="Comma 10 2 2 2 2 6" xfId="29122"/>
    <cellStyle name="Comma 10 2 2 2 2 6 2" xfId="29123"/>
    <cellStyle name="Comma 10 2 2 2 2 6 3" xfId="29124"/>
    <cellStyle name="Comma 10 2 2 2 2 7" xfId="29125"/>
    <cellStyle name="Comma 10 2 2 2 2 7 2" xfId="29126"/>
    <cellStyle name="Comma 10 2 2 2 2 7 3" xfId="29127"/>
    <cellStyle name="Comma 10 2 2 2 2 8" xfId="29128"/>
    <cellStyle name="Comma 10 2 2 2 2 8 2" xfId="29129"/>
    <cellStyle name="Comma 10 2 2 2 2 9" xfId="29130"/>
    <cellStyle name="Comma 10 2 2 2 3" xfId="3179"/>
    <cellStyle name="Comma 10 2 2 2 3 2" xfId="3180"/>
    <cellStyle name="Comma 10 2 2 2 3 2 2" xfId="29131"/>
    <cellStyle name="Comma 10 2 2 2 3 2 2 2" xfId="29132"/>
    <cellStyle name="Comma 10 2 2 2 3 2 2 3" xfId="29133"/>
    <cellStyle name="Comma 10 2 2 2 3 2 3" xfId="29134"/>
    <cellStyle name="Comma 10 2 2 2 3 2 3 2" xfId="29135"/>
    <cellStyle name="Comma 10 2 2 2 3 2 3 3" xfId="29136"/>
    <cellStyle name="Comma 10 2 2 2 3 2 4" xfId="29137"/>
    <cellStyle name="Comma 10 2 2 2 3 2 4 2" xfId="29138"/>
    <cellStyle name="Comma 10 2 2 2 3 2 5" xfId="29139"/>
    <cellStyle name="Comma 10 2 2 2 3 2 6" xfId="29140"/>
    <cellStyle name="Comma 10 2 2 2 3 3" xfId="29141"/>
    <cellStyle name="Comma 10 2 2 2 3 3 2" xfId="29142"/>
    <cellStyle name="Comma 10 2 2 2 3 3 2 2" xfId="29143"/>
    <cellStyle name="Comma 10 2 2 2 3 3 2 3" xfId="29144"/>
    <cellStyle name="Comma 10 2 2 2 3 3 3" xfId="29145"/>
    <cellStyle name="Comma 10 2 2 2 3 3 3 2" xfId="29146"/>
    <cellStyle name="Comma 10 2 2 2 3 3 3 3" xfId="29147"/>
    <cellStyle name="Comma 10 2 2 2 3 3 4" xfId="29148"/>
    <cellStyle name="Comma 10 2 2 2 3 3 4 2" xfId="29149"/>
    <cellStyle name="Comma 10 2 2 2 3 3 5" xfId="29150"/>
    <cellStyle name="Comma 10 2 2 2 3 3 6" xfId="29151"/>
    <cellStyle name="Comma 10 2 2 2 3 4" xfId="29152"/>
    <cellStyle name="Comma 10 2 2 2 3 4 2" xfId="29153"/>
    <cellStyle name="Comma 10 2 2 2 3 4 2 2" xfId="29154"/>
    <cellStyle name="Comma 10 2 2 2 3 4 2 3" xfId="29155"/>
    <cellStyle name="Comma 10 2 2 2 3 4 3" xfId="29156"/>
    <cellStyle name="Comma 10 2 2 2 3 4 3 2" xfId="29157"/>
    <cellStyle name="Comma 10 2 2 2 3 4 4" xfId="29158"/>
    <cellStyle name="Comma 10 2 2 2 3 4 5" xfId="29159"/>
    <cellStyle name="Comma 10 2 2 2 3 5" xfId="29160"/>
    <cellStyle name="Comma 10 2 2 2 3 5 2" xfId="29161"/>
    <cellStyle name="Comma 10 2 2 2 3 5 3" xfId="29162"/>
    <cellStyle name="Comma 10 2 2 2 3 6" xfId="29163"/>
    <cellStyle name="Comma 10 2 2 2 3 6 2" xfId="29164"/>
    <cellStyle name="Comma 10 2 2 2 3 6 3" xfId="29165"/>
    <cellStyle name="Comma 10 2 2 2 3 7" xfId="29166"/>
    <cellStyle name="Comma 10 2 2 2 3 7 2" xfId="29167"/>
    <cellStyle name="Comma 10 2 2 2 3 8" xfId="29168"/>
    <cellStyle name="Comma 10 2 2 2 3 9" xfId="29169"/>
    <cellStyle name="Comma 10 2 2 2 4" xfId="3181"/>
    <cellStyle name="Comma 10 2 2 2 4 2" xfId="29170"/>
    <cellStyle name="Comma 10 2 2 2 4 2 2" xfId="29171"/>
    <cellStyle name="Comma 10 2 2 2 4 2 2 2" xfId="29172"/>
    <cellStyle name="Comma 10 2 2 2 4 2 2 3" xfId="29173"/>
    <cellStyle name="Comma 10 2 2 2 4 2 3" xfId="29174"/>
    <cellStyle name="Comma 10 2 2 2 4 2 3 2" xfId="29175"/>
    <cellStyle name="Comma 10 2 2 2 4 2 3 3" xfId="29176"/>
    <cellStyle name="Comma 10 2 2 2 4 2 4" xfId="29177"/>
    <cellStyle name="Comma 10 2 2 2 4 2 4 2" xfId="29178"/>
    <cellStyle name="Comma 10 2 2 2 4 2 5" xfId="29179"/>
    <cellStyle name="Comma 10 2 2 2 4 2 6" xfId="29180"/>
    <cellStyle name="Comma 10 2 2 2 4 3" xfId="29181"/>
    <cellStyle name="Comma 10 2 2 2 4 3 2" xfId="29182"/>
    <cellStyle name="Comma 10 2 2 2 4 3 2 2" xfId="29183"/>
    <cellStyle name="Comma 10 2 2 2 4 3 2 3" xfId="29184"/>
    <cellStyle name="Comma 10 2 2 2 4 3 3" xfId="29185"/>
    <cellStyle name="Comma 10 2 2 2 4 3 3 2" xfId="29186"/>
    <cellStyle name="Comma 10 2 2 2 4 3 3 3" xfId="29187"/>
    <cellStyle name="Comma 10 2 2 2 4 3 4" xfId="29188"/>
    <cellStyle name="Comma 10 2 2 2 4 3 4 2" xfId="29189"/>
    <cellStyle name="Comma 10 2 2 2 4 3 5" xfId="29190"/>
    <cellStyle name="Comma 10 2 2 2 4 3 6" xfId="29191"/>
    <cellStyle name="Comma 10 2 2 2 4 4" xfId="29192"/>
    <cellStyle name="Comma 10 2 2 2 4 4 2" xfId="29193"/>
    <cellStyle name="Comma 10 2 2 2 4 4 2 2" xfId="29194"/>
    <cellStyle name="Comma 10 2 2 2 4 4 2 3" xfId="29195"/>
    <cellStyle name="Comma 10 2 2 2 4 4 3" xfId="29196"/>
    <cellStyle name="Comma 10 2 2 2 4 4 3 2" xfId="29197"/>
    <cellStyle name="Comma 10 2 2 2 4 4 4" xfId="29198"/>
    <cellStyle name="Comma 10 2 2 2 4 4 5" xfId="29199"/>
    <cellStyle name="Comma 10 2 2 2 4 5" xfId="29200"/>
    <cellStyle name="Comma 10 2 2 2 4 5 2" xfId="29201"/>
    <cellStyle name="Comma 10 2 2 2 4 5 3" xfId="29202"/>
    <cellStyle name="Comma 10 2 2 2 4 6" xfId="29203"/>
    <cellStyle name="Comma 10 2 2 2 4 6 2" xfId="29204"/>
    <cellStyle name="Comma 10 2 2 2 4 6 3" xfId="29205"/>
    <cellStyle name="Comma 10 2 2 2 4 7" xfId="29206"/>
    <cellStyle name="Comma 10 2 2 2 4 7 2" xfId="29207"/>
    <cellStyle name="Comma 10 2 2 2 4 8" xfId="29208"/>
    <cellStyle name="Comma 10 2 2 2 4 9" xfId="29209"/>
    <cellStyle name="Comma 10 2 2 2 5" xfId="29210"/>
    <cellStyle name="Comma 10 2 2 2 5 2" xfId="29211"/>
    <cellStyle name="Comma 10 2 2 2 5 2 2" xfId="29212"/>
    <cellStyle name="Comma 10 2 2 2 5 2 3" xfId="29213"/>
    <cellStyle name="Comma 10 2 2 2 5 3" xfId="29214"/>
    <cellStyle name="Comma 10 2 2 2 5 3 2" xfId="29215"/>
    <cellStyle name="Comma 10 2 2 2 5 3 3" xfId="29216"/>
    <cellStyle name="Comma 10 2 2 2 5 4" xfId="29217"/>
    <cellStyle name="Comma 10 2 2 2 5 4 2" xfId="29218"/>
    <cellStyle name="Comma 10 2 2 2 5 5" xfId="29219"/>
    <cellStyle name="Comma 10 2 2 2 5 6" xfId="29220"/>
    <cellStyle name="Comma 10 2 2 2 6" xfId="29221"/>
    <cellStyle name="Comma 10 2 2 2 6 2" xfId="29222"/>
    <cellStyle name="Comma 10 2 2 2 6 2 2" xfId="29223"/>
    <cellStyle name="Comma 10 2 2 2 6 2 3" xfId="29224"/>
    <cellStyle name="Comma 10 2 2 2 6 3" xfId="29225"/>
    <cellStyle name="Comma 10 2 2 2 6 3 2" xfId="29226"/>
    <cellStyle name="Comma 10 2 2 2 6 3 3" xfId="29227"/>
    <cellStyle name="Comma 10 2 2 2 6 4" xfId="29228"/>
    <cellStyle name="Comma 10 2 2 2 6 4 2" xfId="29229"/>
    <cellStyle name="Comma 10 2 2 2 6 5" xfId="29230"/>
    <cellStyle name="Comma 10 2 2 2 6 6" xfId="29231"/>
    <cellStyle name="Comma 10 2 2 2 7" xfId="29232"/>
    <cellStyle name="Comma 10 2 2 2 7 2" xfId="29233"/>
    <cellStyle name="Comma 10 2 2 2 7 2 2" xfId="29234"/>
    <cellStyle name="Comma 10 2 2 2 7 2 3" xfId="29235"/>
    <cellStyle name="Comma 10 2 2 2 7 3" xfId="29236"/>
    <cellStyle name="Comma 10 2 2 2 7 3 2" xfId="29237"/>
    <cellStyle name="Comma 10 2 2 2 7 4" xfId="29238"/>
    <cellStyle name="Comma 10 2 2 2 7 5" xfId="29239"/>
    <cellStyle name="Comma 10 2 2 2 8" xfId="29240"/>
    <cellStyle name="Comma 10 2 2 2 8 2" xfId="29241"/>
    <cellStyle name="Comma 10 2 2 2 8 3" xfId="29242"/>
    <cellStyle name="Comma 10 2 2 2 9" xfId="29243"/>
    <cellStyle name="Comma 10 2 2 2 9 2" xfId="29244"/>
    <cellStyle name="Comma 10 2 2 2 9 3" xfId="29245"/>
    <cellStyle name="Comma 10 2 2 3" xfId="3182"/>
    <cellStyle name="Comma 10 2 2 3 10" xfId="29246"/>
    <cellStyle name="Comma 10 2 2 3 2" xfId="3183"/>
    <cellStyle name="Comma 10 2 2 3 2 2" xfId="3184"/>
    <cellStyle name="Comma 10 2 2 3 2 2 2" xfId="29247"/>
    <cellStyle name="Comma 10 2 2 3 2 2 2 2" xfId="29248"/>
    <cellStyle name="Comma 10 2 2 3 2 2 2 3" xfId="29249"/>
    <cellStyle name="Comma 10 2 2 3 2 2 3" xfId="29250"/>
    <cellStyle name="Comma 10 2 2 3 2 2 3 2" xfId="29251"/>
    <cellStyle name="Comma 10 2 2 3 2 2 3 3" xfId="29252"/>
    <cellStyle name="Comma 10 2 2 3 2 2 4" xfId="29253"/>
    <cellStyle name="Comma 10 2 2 3 2 2 4 2" xfId="29254"/>
    <cellStyle name="Comma 10 2 2 3 2 2 5" xfId="29255"/>
    <cellStyle name="Comma 10 2 2 3 2 2 6" xfId="29256"/>
    <cellStyle name="Comma 10 2 2 3 2 3" xfId="29257"/>
    <cellStyle name="Comma 10 2 2 3 2 3 2" xfId="29258"/>
    <cellStyle name="Comma 10 2 2 3 2 3 2 2" xfId="29259"/>
    <cellStyle name="Comma 10 2 2 3 2 3 2 3" xfId="29260"/>
    <cellStyle name="Comma 10 2 2 3 2 3 3" xfId="29261"/>
    <cellStyle name="Comma 10 2 2 3 2 3 3 2" xfId="29262"/>
    <cellStyle name="Comma 10 2 2 3 2 3 3 3" xfId="29263"/>
    <cellStyle name="Comma 10 2 2 3 2 3 4" xfId="29264"/>
    <cellStyle name="Comma 10 2 2 3 2 3 4 2" xfId="29265"/>
    <cellStyle name="Comma 10 2 2 3 2 3 5" xfId="29266"/>
    <cellStyle name="Comma 10 2 2 3 2 3 6" xfId="29267"/>
    <cellStyle name="Comma 10 2 2 3 2 4" xfId="29268"/>
    <cellStyle name="Comma 10 2 2 3 2 4 2" xfId="29269"/>
    <cellStyle name="Comma 10 2 2 3 2 4 2 2" xfId="29270"/>
    <cellStyle name="Comma 10 2 2 3 2 4 2 3" xfId="29271"/>
    <cellStyle name="Comma 10 2 2 3 2 4 3" xfId="29272"/>
    <cellStyle name="Comma 10 2 2 3 2 4 3 2" xfId="29273"/>
    <cellStyle name="Comma 10 2 2 3 2 4 4" xfId="29274"/>
    <cellStyle name="Comma 10 2 2 3 2 4 5" xfId="29275"/>
    <cellStyle name="Comma 10 2 2 3 2 5" xfId="29276"/>
    <cellStyle name="Comma 10 2 2 3 2 5 2" xfId="29277"/>
    <cellStyle name="Comma 10 2 2 3 2 5 3" xfId="29278"/>
    <cellStyle name="Comma 10 2 2 3 2 6" xfId="29279"/>
    <cellStyle name="Comma 10 2 2 3 2 6 2" xfId="29280"/>
    <cellStyle name="Comma 10 2 2 3 2 6 3" xfId="29281"/>
    <cellStyle name="Comma 10 2 2 3 2 7" xfId="29282"/>
    <cellStyle name="Comma 10 2 2 3 2 7 2" xfId="29283"/>
    <cellStyle name="Comma 10 2 2 3 2 8" xfId="29284"/>
    <cellStyle name="Comma 10 2 2 3 2 9" xfId="29285"/>
    <cellStyle name="Comma 10 2 2 3 3" xfId="3185"/>
    <cellStyle name="Comma 10 2 2 3 3 2" xfId="29286"/>
    <cellStyle name="Comma 10 2 2 3 3 2 2" xfId="29287"/>
    <cellStyle name="Comma 10 2 2 3 3 2 3" xfId="29288"/>
    <cellStyle name="Comma 10 2 2 3 3 3" xfId="29289"/>
    <cellStyle name="Comma 10 2 2 3 3 3 2" xfId="29290"/>
    <cellStyle name="Comma 10 2 2 3 3 3 3" xfId="29291"/>
    <cellStyle name="Comma 10 2 2 3 3 4" xfId="29292"/>
    <cellStyle name="Comma 10 2 2 3 3 4 2" xfId="29293"/>
    <cellStyle name="Comma 10 2 2 3 3 5" xfId="29294"/>
    <cellStyle name="Comma 10 2 2 3 3 6" xfId="29295"/>
    <cellStyle name="Comma 10 2 2 3 4" xfId="29296"/>
    <cellStyle name="Comma 10 2 2 3 4 2" xfId="29297"/>
    <cellStyle name="Comma 10 2 2 3 4 2 2" xfId="29298"/>
    <cellStyle name="Comma 10 2 2 3 4 2 3" xfId="29299"/>
    <cellStyle name="Comma 10 2 2 3 4 3" xfId="29300"/>
    <cellStyle name="Comma 10 2 2 3 4 3 2" xfId="29301"/>
    <cellStyle name="Comma 10 2 2 3 4 3 3" xfId="29302"/>
    <cellStyle name="Comma 10 2 2 3 4 4" xfId="29303"/>
    <cellStyle name="Comma 10 2 2 3 4 4 2" xfId="29304"/>
    <cellStyle name="Comma 10 2 2 3 4 5" xfId="29305"/>
    <cellStyle name="Comma 10 2 2 3 4 6" xfId="29306"/>
    <cellStyle name="Comma 10 2 2 3 5" xfId="29307"/>
    <cellStyle name="Comma 10 2 2 3 5 2" xfId="29308"/>
    <cellStyle name="Comma 10 2 2 3 5 2 2" xfId="29309"/>
    <cellStyle name="Comma 10 2 2 3 5 2 3" xfId="29310"/>
    <cellStyle name="Comma 10 2 2 3 5 3" xfId="29311"/>
    <cellStyle name="Comma 10 2 2 3 5 3 2" xfId="29312"/>
    <cellStyle name="Comma 10 2 2 3 5 4" xfId="29313"/>
    <cellStyle name="Comma 10 2 2 3 5 5" xfId="29314"/>
    <cellStyle name="Comma 10 2 2 3 6" xfId="29315"/>
    <cellStyle name="Comma 10 2 2 3 6 2" xfId="29316"/>
    <cellStyle name="Comma 10 2 2 3 6 3" xfId="29317"/>
    <cellStyle name="Comma 10 2 2 3 7" xfId="29318"/>
    <cellStyle name="Comma 10 2 2 3 7 2" xfId="29319"/>
    <cellStyle name="Comma 10 2 2 3 7 3" xfId="29320"/>
    <cellStyle name="Comma 10 2 2 3 8" xfId="29321"/>
    <cellStyle name="Comma 10 2 2 3 8 2" xfId="29322"/>
    <cellStyle name="Comma 10 2 2 3 9" xfId="29323"/>
    <cellStyle name="Comma 10 2 2 4" xfId="3186"/>
    <cellStyle name="Comma 10 2 2 4 2" xfId="3187"/>
    <cellStyle name="Comma 10 2 2 4 2 2" xfId="29324"/>
    <cellStyle name="Comma 10 2 2 4 2 2 2" xfId="29325"/>
    <cellStyle name="Comma 10 2 2 4 2 2 3" xfId="29326"/>
    <cellStyle name="Comma 10 2 2 4 2 3" xfId="29327"/>
    <cellStyle name="Comma 10 2 2 4 2 3 2" xfId="29328"/>
    <cellStyle name="Comma 10 2 2 4 2 3 3" xfId="29329"/>
    <cellStyle name="Comma 10 2 2 4 2 4" xfId="29330"/>
    <cellStyle name="Comma 10 2 2 4 2 4 2" xfId="29331"/>
    <cellStyle name="Comma 10 2 2 4 2 5" xfId="29332"/>
    <cellStyle name="Comma 10 2 2 4 2 6" xfId="29333"/>
    <cellStyle name="Comma 10 2 2 4 3" xfId="29334"/>
    <cellStyle name="Comma 10 2 2 4 3 2" xfId="29335"/>
    <cellStyle name="Comma 10 2 2 4 3 2 2" xfId="29336"/>
    <cellStyle name="Comma 10 2 2 4 3 2 3" xfId="29337"/>
    <cellStyle name="Comma 10 2 2 4 3 3" xfId="29338"/>
    <cellStyle name="Comma 10 2 2 4 3 3 2" xfId="29339"/>
    <cellStyle name="Comma 10 2 2 4 3 3 3" xfId="29340"/>
    <cellStyle name="Comma 10 2 2 4 3 4" xfId="29341"/>
    <cellStyle name="Comma 10 2 2 4 3 4 2" xfId="29342"/>
    <cellStyle name="Comma 10 2 2 4 3 5" xfId="29343"/>
    <cellStyle name="Comma 10 2 2 4 3 6" xfId="29344"/>
    <cellStyle name="Comma 10 2 2 4 4" xfId="29345"/>
    <cellStyle name="Comma 10 2 2 4 4 2" xfId="29346"/>
    <cellStyle name="Comma 10 2 2 4 4 2 2" xfId="29347"/>
    <cellStyle name="Comma 10 2 2 4 4 2 3" xfId="29348"/>
    <cellStyle name="Comma 10 2 2 4 4 3" xfId="29349"/>
    <cellStyle name="Comma 10 2 2 4 4 3 2" xfId="29350"/>
    <cellStyle name="Comma 10 2 2 4 4 4" xfId="29351"/>
    <cellStyle name="Comma 10 2 2 4 4 5" xfId="29352"/>
    <cellStyle name="Comma 10 2 2 4 5" xfId="29353"/>
    <cellStyle name="Comma 10 2 2 4 5 2" xfId="29354"/>
    <cellStyle name="Comma 10 2 2 4 5 3" xfId="29355"/>
    <cellStyle name="Comma 10 2 2 4 6" xfId="29356"/>
    <cellStyle name="Comma 10 2 2 4 6 2" xfId="29357"/>
    <cellStyle name="Comma 10 2 2 4 6 3" xfId="29358"/>
    <cellStyle name="Comma 10 2 2 4 7" xfId="29359"/>
    <cellStyle name="Comma 10 2 2 4 7 2" xfId="29360"/>
    <cellStyle name="Comma 10 2 2 4 8" xfId="29361"/>
    <cellStyle name="Comma 10 2 2 4 9" xfId="29362"/>
    <cellStyle name="Comma 10 2 2 5" xfId="3188"/>
    <cellStyle name="Comma 10 2 2 5 2" xfId="29363"/>
    <cellStyle name="Comma 10 2 2 5 2 2" xfId="29364"/>
    <cellStyle name="Comma 10 2 2 5 2 2 2" xfId="29365"/>
    <cellStyle name="Comma 10 2 2 5 2 2 3" xfId="29366"/>
    <cellStyle name="Comma 10 2 2 5 2 3" xfId="29367"/>
    <cellStyle name="Comma 10 2 2 5 2 3 2" xfId="29368"/>
    <cellStyle name="Comma 10 2 2 5 2 3 3" xfId="29369"/>
    <cellStyle name="Comma 10 2 2 5 2 4" xfId="29370"/>
    <cellStyle name="Comma 10 2 2 5 2 4 2" xfId="29371"/>
    <cellStyle name="Comma 10 2 2 5 2 5" xfId="29372"/>
    <cellStyle name="Comma 10 2 2 5 2 6" xfId="29373"/>
    <cellStyle name="Comma 10 2 2 5 3" xfId="29374"/>
    <cellStyle name="Comma 10 2 2 5 3 2" xfId="29375"/>
    <cellStyle name="Comma 10 2 2 5 3 2 2" xfId="29376"/>
    <cellStyle name="Comma 10 2 2 5 3 2 3" xfId="29377"/>
    <cellStyle name="Comma 10 2 2 5 3 3" xfId="29378"/>
    <cellStyle name="Comma 10 2 2 5 3 3 2" xfId="29379"/>
    <cellStyle name="Comma 10 2 2 5 3 3 3" xfId="29380"/>
    <cellStyle name="Comma 10 2 2 5 3 4" xfId="29381"/>
    <cellStyle name="Comma 10 2 2 5 3 4 2" xfId="29382"/>
    <cellStyle name="Comma 10 2 2 5 3 5" xfId="29383"/>
    <cellStyle name="Comma 10 2 2 5 3 6" xfId="29384"/>
    <cellStyle name="Comma 10 2 2 5 4" xfId="29385"/>
    <cellStyle name="Comma 10 2 2 5 4 2" xfId="29386"/>
    <cellStyle name="Comma 10 2 2 5 4 2 2" xfId="29387"/>
    <cellStyle name="Comma 10 2 2 5 4 2 3" xfId="29388"/>
    <cellStyle name="Comma 10 2 2 5 4 3" xfId="29389"/>
    <cellStyle name="Comma 10 2 2 5 4 3 2" xfId="29390"/>
    <cellStyle name="Comma 10 2 2 5 4 4" xfId="29391"/>
    <cellStyle name="Comma 10 2 2 5 4 5" xfId="29392"/>
    <cellStyle name="Comma 10 2 2 5 5" xfId="29393"/>
    <cellStyle name="Comma 10 2 2 5 5 2" xfId="29394"/>
    <cellStyle name="Comma 10 2 2 5 5 3" xfId="29395"/>
    <cellStyle name="Comma 10 2 2 5 6" xfId="29396"/>
    <cellStyle name="Comma 10 2 2 5 6 2" xfId="29397"/>
    <cellStyle name="Comma 10 2 2 5 6 3" xfId="29398"/>
    <cellStyle name="Comma 10 2 2 5 7" xfId="29399"/>
    <cellStyle name="Comma 10 2 2 5 7 2" xfId="29400"/>
    <cellStyle name="Comma 10 2 2 5 8" xfId="29401"/>
    <cellStyle name="Comma 10 2 2 5 9" xfId="29402"/>
    <cellStyle name="Comma 10 2 2 6" xfId="29403"/>
    <cellStyle name="Comma 10 2 2 6 2" xfId="29404"/>
    <cellStyle name="Comma 10 2 2 6 2 2" xfId="29405"/>
    <cellStyle name="Comma 10 2 2 6 2 3" xfId="29406"/>
    <cellStyle name="Comma 10 2 2 6 3" xfId="29407"/>
    <cellStyle name="Comma 10 2 2 6 3 2" xfId="29408"/>
    <cellStyle name="Comma 10 2 2 6 3 3" xfId="29409"/>
    <cellStyle name="Comma 10 2 2 6 4" xfId="29410"/>
    <cellStyle name="Comma 10 2 2 6 4 2" xfId="29411"/>
    <cellStyle name="Comma 10 2 2 6 5" xfId="29412"/>
    <cellStyle name="Comma 10 2 2 6 6" xfId="29413"/>
    <cellStyle name="Comma 10 2 2 7" xfId="29414"/>
    <cellStyle name="Comma 10 2 2 7 2" xfId="29415"/>
    <cellStyle name="Comma 10 2 2 7 2 2" xfId="29416"/>
    <cellStyle name="Comma 10 2 2 7 2 3" xfId="29417"/>
    <cellStyle name="Comma 10 2 2 7 3" xfId="29418"/>
    <cellStyle name="Comma 10 2 2 7 3 2" xfId="29419"/>
    <cellStyle name="Comma 10 2 2 7 3 3" xfId="29420"/>
    <cellStyle name="Comma 10 2 2 7 4" xfId="29421"/>
    <cellStyle name="Comma 10 2 2 7 4 2" xfId="29422"/>
    <cellStyle name="Comma 10 2 2 7 5" xfId="29423"/>
    <cellStyle name="Comma 10 2 2 7 6" xfId="29424"/>
    <cellStyle name="Comma 10 2 2 8" xfId="29425"/>
    <cellStyle name="Comma 10 2 2 8 2" xfId="29426"/>
    <cellStyle name="Comma 10 2 2 8 2 2" xfId="29427"/>
    <cellStyle name="Comma 10 2 2 8 2 3" xfId="29428"/>
    <cellStyle name="Comma 10 2 2 8 3" xfId="29429"/>
    <cellStyle name="Comma 10 2 2 8 3 2" xfId="29430"/>
    <cellStyle name="Comma 10 2 2 8 4" xfId="29431"/>
    <cellStyle name="Comma 10 2 2 8 5" xfId="29432"/>
    <cellStyle name="Comma 10 2 2 9" xfId="29433"/>
    <cellStyle name="Comma 10 2 2 9 2" xfId="29434"/>
    <cellStyle name="Comma 10 2 2 9 3" xfId="29435"/>
    <cellStyle name="Comma 10 2 3" xfId="3189"/>
    <cellStyle name="Comma 10 2 3 10" xfId="29436"/>
    <cellStyle name="Comma 10 2 3 10 2" xfId="29437"/>
    <cellStyle name="Comma 10 2 3 11" xfId="29438"/>
    <cellStyle name="Comma 10 2 3 12" xfId="29439"/>
    <cellStyle name="Comma 10 2 3 2" xfId="3190"/>
    <cellStyle name="Comma 10 2 3 2 10" xfId="29440"/>
    <cellStyle name="Comma 10 2 3 2 2" xfId="3191"/>
    <cellStyle name="Comma 10 2 3 2 2 2" xfId="3192"/>
    <cellStyle name="Comma 10 2 3 2 2 2 2" xfId="29441"/>
    <cellStyle name="Comma 10 2 3 2 2 2 2 2" xfId="29442"/>
    <cellStyle name="Comma 10 2 3 2 2 2 2 3" xfId="29443"/>
    <cellStyle name="Comma 10 2 3 2 2 2 3" xfId="29444"/>
    <cellStyle name="Comma 10 2 3 2 2 2 3 2" xfId="29445"/>
    <cellStyle name="Comma 10 2 3 2 2 2 3 3" xfId="29446"/>
    <cellStyle name="Comma 10 2 3 2 2 2 4" xfId="29447"/>
    <cellStyle name="Comma 10 2 3 2 2 2 4 2" xfId="29448"/>
    <cellStyle name="Comma 10 2 3 2 2 2 5" xfId="29449"/>
    <cellStyle name="Comma 10 2 3 2 2 2 6" xfId="29450"/>
    <cellStyle name="Comma 10 2 3 2 2 3" xfId="29451"/>
    <cellStyle name="Comma 10 2 3 2 2 3 2" xfId="29452"/>
    <cellStyle name="Comma 10 2 3 2 2 3 2 2" xfId="29453"/>
    <cellStyle name="Comma 10 2 3 2 2 3 2 3" xfId="29454"/>
    <cellStyle name="Comma 10 2 3 2 2 3 3" xfId="29455"/>
    <cellStyle name="Comma 10 2 3 2 2 3 3 2" xfId="29456"/>
    <cellStyle name="Comma 10 2 3 2 2 3 3 3" xfId="29457"/>
    <cellStyle name="Comma 10 2 3 2 2 3 4" xfId="29458"/>
    <cellStyle name="Comma 10 2 3 2 2 3 4 2" xfId="29459"/>
    <cellStyle name="Comma 10 2 3 2 2 3 5" xfId="29460"/>
    <cellStyle name="Comma 10 2 3 2 2 3 6" xfId="29461"/>
    <cellStyle name="Comma 10 2 3 2 2 4" xfId="29462"/>
    <cellStyle name="Comma 10 2 3 2 2 4 2" xfId="29463"/>
    <cellStyle name="Comma 10 2 3 2 2 4 2 2" xfId="29464"/>
    <cellStyle name="Comma 10 2 3 2 2 4 2 3" xfId="29465"/>
    <cellStyle name="Comma 10 2 3 2 2 4 3" xfId="29466"/>
    <cellStyle name="Comma 10 2 3 2 2 4 3 2" xfId="29467"/>
    <cellStyle name="Comma 10 2 3 2 2 4 4" xfId="29468"/>
    <cellStyle name="Comma 10 2 3 2 2 4 5" xfId="29469"/>
    <cellStyle name="Comma 10 2 3 2 2 5" xfId="29470"/>
    <cellStyle name="Comma 10 2 3 2 2 5 2" xfId="29471"/>
    <cellStyle name="Comma 10 2 3 2 2 5 3" xfId="29472"/>
    <cellStyle name="Comma 10 2 3 2 2 6" xfId="29473"/>
    <cellStyle name="Comma 10 2 3 2 2 6 2" xfId="29474"/>
    <cellStyle name="Comma 10 2 3 2 2 6 3" xfId="29475"/>
    <cellStyle name="Comma 10 2 3 2 2 7" xfId="29476"/>
    <cellStyle name="Comma 10 2 3 2 2 7 2" xfId="29477"/>
    <cellStyle name="Comma 10 2 3 2 2 8" xfId="29478"/>
    <cellStyle name="Comma 10 2 3 2 2 9" xfId="29479"/>
    <cellStyle name="Comma 10 2 3 2 3" xfId="3193"/>
    <cellStyle name="Comma 10 2 3 2 3 2" xfId="29480"/>
    <cellStyle name="Comma 10 2 3 2 3 2 2" xfId="29481"/>
    <cellStyle name="Comma 10 2 3 2 3 2 3" xfId="29482"/>
    <cellStyle name="Comma 10 2 3 2 3 3" xfId="29483"/>
    <cellStyle name="Comma 10 2 3 2 3 3 2" xfId="29484"/>
    <cellStyle name="Comma 10 2 3 2 3 3 3" xfId="29485"/>
    <cellStyle name="Comma 10 2 3 2 3 4" xfId="29486"/>
    <cellStyle name="Comma 10 2 3 2 3 4 2" xfId="29487"/>
    <cellStyle name="Comma 10 2 3 2 3 5" xfId="29488"/>
    <cellStyle name="Comma 10 2 3 2 3 6" xfId="29489"/>
    <cellStyle name="Comma 10 2 3 2 4" xfId="29490"/>
    <cellStyle name="Comma 10 2 3 2 4 2" xfId="29491"/>
    <cellStyle name="Comma 10 2 3 2 4 2 2" xfId="29492"/>
    <cellStyle name="Comma 10 2 3 2 4 2 3" xfId="29493"/>
    <cellStyle name="Comma 10 2 3 2 4 3" xfId="29494"/>
    <cellStyle name="Comma 10 2 3 2 4 3 2" xfId="29495"/>
    <cellStyle name="Comma 10 2 3 2 4 3 3" xfId="29496"/>
    <cellStyle name="Comma 10 2 3 2 4 4" xfId="29497"/>
    <cellStyle name="Comma 10 2 3 2 4 4 2" xfId="29498"/>
    <cellStyle name="Comma 10 2 3 2 4 5" xfId="29499"/>
    <cellStyle name="Comma 10 2 3 2 4 6" xfId="29500"/>
    <cellStyle name="Comma 10 2 3 2 5" xfId="29501"/>
    <cellStyle name="Comma 10 2 3 2 5 2" xfId="29502"/>
    <cellStyle name="Comma 10 2 3 2 5 2 2" xfId="29503"/>
    <cellStyle name="Comma 10 2 3 2 5 2 3" xfId="29504"/>
    <cellStyle name="Comma 10 2 3 2 5 3" xfId="29505"/>
    <cellStyle name="Comma 10 2 3 2 5 3 2" xfId="29506"/>
    <cellStyle name="Comma 10 2 3 2 5 4" xfId="29507"/>
    <cellStyle name="Comma 10 2 3 2 5 5" xfId="29508"/>
    <cellStyle name="Comma 10 2 3 2 6" xfId="29509"/>
    <cellStyle name="Comma 10 2 3 2 6 2" xfId="29510"/>
    <cellStyle name="Comma 10 2 3 2 6 3" xfId="29511"/>
    <cellStyle name="Comma 10 2 3 2 7" xfId="29512"/>
    <cellStyle name="Comma 10 2 3 2 7 2" xfId="29513"/>
    <cellStyle name="Comma 10 2 3 2 7 3" xfId="29514"/>
    <cellStyle name="Comma 10 2 3 2 8" xfId="29515"/>
    <cellStyle name="Comma 10 2 3 2 8 2" xfId="29516"/>
    <cellStyle name="Comma 10 2 3 2 9" xfId="29517"/>
    <cellStyle name="Comma 10 2 3 3" xfId="3194"/>
    <cellStyle name="Comma 10 2 3 3 2" xfId="3195"/>
    <cellStyle name="Comma 10 2 3 3 2 2" xfId="29518"/>
    <cellStyle name="Comma 10 2 3 3 2 2 2" xfId="29519"/>
    <cellStyle name="Comma 10 2 3 3 2 2 3" xfId="29520"/>
    <cellStyle name="Comma 10 2 3 3 2 3" xfId="29521"/>
    <cellStyle name="Comma 10 2 3 3 2 3 2" xfId="29522"/>
    <cellStyle name="Comma 10 2 3 3 2 3 3" xfId="29523"/>
    <cellStyle name="Comma 10 2 3 3 2 4" xfId="29524"/>
    <cellStyle name="Comma 10 2 3 3 2 4 2" xfId="29525"/>
    <cellStyle name="Comma 10 2 3 3 2 5" xfId="29526"/>
    <cellStyle name="Comma 10 2 3 3 2 6" xfId="29527"/>
    <cellStyle name="Comma 10 2 3 3 3" xfId="29528"/>
    <cellStyle name="Comma 10 2 3 3 3 2" xfId="29529"/>
    <cellStyle name="Comma 10 2 3 3 3 2 2" xfId="29530"/>
    <cellStyle name="Comma 10 2 3 3 3 2 3" xfId="29531"/>
    <cellStyle name="Comma 10 2 3 3 3 3" xfId="29532"/>
    <cellStyle name="Comma 10 2 3 3 3 3 2" xfId="29533"/>
    <cellStyle name="Comma 10 2 3 3 3 3 3" xfId="29534"/>
    <cellStyle name="Comma 10 2 3 3 3 4" xfId="29535"/>
    <cellStyle name="Comma 10 2 3 3 3 4 2" xfId="29536"/>
    <cellStyle name="Comma 10 2 3 3 3 5" xfId="29537"/>
    <cellStyle name="Comma 10 2 3 3 3 6" xfId="29538"/>
    <cellStyle name="Comma 10 2 3 3 4" xfId="29539"/>
    <cellStyle name="Comma 10 2 3 3 4 2" xfId="29540"/>
    <cellStyle name="Comma 10 2 3 3 4 2 2" xfId="29541"/>
    <cellStyle name="Comma 10 2 3 3 4 2 3" xfId="29542"/>
    <cellStyle name="Comma 10 2 3 3 4 3" xfId="29543"/>
    <cellStyle name="Comma 10 2 3 3 4 3 2" xfId="29544"/>
    <cellStyle name="Comma 10 2 3 3 4 4" xfId="29545"/>
    <cellStyle name="Comma 10 2 3 3 4 5" xfId="29546"/>
    <cellStyle name="Comma 10 2 3 3 5" xfId="29547"/>
    <cellStyle name="Comma 10 2 3 3 5 2" xfId="29548"/>
    <cellStyle name="Comma 10 2 3 3 5 3" xfId="29549"/>
    <cellStyle name="Comma 10 2 3 3 6" xfId="29550"/>
    <cellStyle name="Comma 10 2 3 3 6 2" xfId="29551"/>
    <cellStyle name="Comma 10 2 3 3 6 3" xfId="29552"/>
    <cellStyle name="Comma 10 2 3 3 7" xfId="29553"/>
    <cellStyle name="Comma 10 2 3 3 7 2" xfId="29554"/>
    <cellStyle name="Comma 10 2 3 3 8" xfId="29555"/>
    <cellStyle name="Comma 10 2 3 3 9" xfId="29556"/>
    <cellStyle name="Comma 10 2 3 4" xfId="3196"/>
    <cellStyle name="Comma 10 2 3 4 2" xfId="29557"/>
    <cellStyle name="Comma 10 2 3 4 2 2" xfId="29558"/>
    <cellStyle name="Comma 10 2 3 4 2 2 2" xfId="29559"/>
    <cellStyle name="Comma 10 2 3 4 2 2 3" xfId="29560"/>
    <cellStyle name="Comma 10 2 3 4 2 3" xfId="29561"/>
    <cellStyle name="Comma 10 2 3 4 2 3 2" xfId="29562"/>
    <cellStyle name="Comma 10 2 3 4 2 3 3" xfId="29563"/>
    <cellStyle name="Comma 10 2 3 4 2 4" xfId="29564"/>
    <cellStyle name="Comma 10 2 3 4 2 4 2" xfId="29565"/>
    <cellStyle name="Comma 10 2 3 4 2 5" xfId="29566"/>
    <cellStyle name="Comma 10 2 3 4 2 6" xfId="29567"/>
    <cellStyle name="Comma 10 2 3 4 3" xfId="29568"/>
    <cellStyle name="Comma 10 2 3 4 3 2" xfId="29569"/>
    <cellStyle name="Comma 10 2 3 4 3 2 2" xfId="29570"/>
    <cellStyle name="Comma 10 2 3 4 3 2 3" xfId="29571"/>
    <cellStyle name="Comma 10 2 3 4 3 3" xfId="29572"/>
    <cellStyle name="Comma 10 2 3 4 3 3 2" xfId="29573"/>
    <cellStyle name="Comma 10 2 3 4 3 3 3" xfId="29574"/>
    <cellStyle name="Comma 10 2 3 4 3 4" xfId="29575"/>
    <cellStyle name="Comma 10 2 3 4 3 4 2" xfId="29576"/>
    <cellStyle name="Comma 10 2 3 4 3 5" xfId="29577"/>
    <cellStyle name="Comma 10 2 3 4 3 6" xfId="29578"/>
    <cellStyle name="Comma 10 2 3 4 4" xfId="29579"/>
    <cellStyle name="Comma 10 2 3 4 4 2" xfId="29580"/>
    <cellStyle name="Comma 10 2 3 4 4 2 2" xfId="29581"/>
    <cellStyle name="Comma 10 2 3 4 4 2 3" xfId="29582"/>
    <cellStyle name="Comma 10 2 3 4 4 3" xfId="29583"/>
    <cellStyle name="Comma 10 2 3 4 4 3 2" xfId="29584"/>
    <cellStyle name="Comma 10 2 3 4 4 4" xfId="29585"/>
    <cellStyle name="Comma 10 2 3 4 4 5" xfId="29586"/>
    <cellStyle name="Comma 10 2 3 4 5" xfId="29587"/>
    <cellStyle name="Comma 10 2 3 4 5 2" xfId="29588"/>
    <cellStyle name="Comma 10 2 3 4 5 3" xfId="29589"/>
    <cellStyle name="Comma 10 2 3 4 6" xfId="29590"/>
    <cellStyle name="Comma 10 2 3 4 6 2" xfId="29591"/>
    <cellStyle name="Comma 10 2 3 4 6 3" xfId="29592"/>
    <cellStyle name="Comma 10 2 3 4 7" xfId="29593"/>
    <cellStyle name="Comma 10 2 3 4 7 2" xfId="29594"/>
    <cellStyle name="Comma 10 2 3 4 8" xfId="29595"/>
    <cellStyle name="Comma 10 2 3 4 9" xfId="29596"/>
    <cellStyle name="Comma 10 2 3 5" xfId="29597"/>
    <cellStyle name="Comma 10 2 3 5 2" xfId="29598"/>
    <cellStyle name="Comma 10 2 3 5 2 2" xfId="29599"/>
    <cellStyle name="Comma 10 2 3 5 2 3" xfId="29600"/>
    <cellStyle name="Comma 10 2 3 5 3" xfId="29601"/>
    <cellStyle name="Comma 10 2 3 5 3 2" xfId="29602"/>
    <cellStyle name="Comma 10 2 3 5 3 3" xfId="29603"/>
    <cellStyle name="Comma 10 2 3 5 4" xfId="29604"/>
    <cellStyle name="Comma 10 2 3 5 4 2" xfId="29605"/>
    <cellStyle name="Comma 10 2 3 5 5" xfId="29606"/>
    <cellStyle name="Comma 10 2 3 5 6" xfId="29607"/>
    <cellStyle name="Comma 10 2 3 6" xfId="29608"/>
    <cellStyle name="Comma 10 2 3 6 2" xfId="29609"/>
    <cellStyle name="Comma 10 2 3 6 2 2" xfId="29610"/>
    <cellStyle name="Comma 10 2 3 6 2 3" xfId="29611"/>
    <cellStyle name="Comma 10 2 3 6 3" xfId="29612"/>
    <cellStyle name="Comma 10 2 3 6 3 2" xfId="29613"/>
    <cellStyle name="Comma 10 2 3 6 3 3" xfId="29614"/>
    <cellStyle name="Comma 10 2 3 6 4" xfId="29615"/>
    <cellStyle name="Comma 10 2 3 6 4 2" xfId="29616"/>
    <cellStyle name="Comma 10 2 3 6 5" xfId="29617"/>
    <cellStyle name="Comma 10 2 3 6 6" xfId="29618"/>
    <cellStyle name="Comma 10 2 3 7" xfId="29619"/>
    <cellStyle name="Comma 10 2 3 7 2" xfId="29620"/>
    <cellStyle name="Comma 10 2 3 7 2 2" xfId="29621"/>
    <cellStyle name="Comma 10 2 3 7 2 3" xfId="29622"/>
    <cellStyle name="Comma 10 2 3 7 3" xfId="29623"/>
    <cellStyle name="Comma 10 2 3 7 3 2" xfId="29624"/>
    <cellStyle name="Comma 10 2 3 7 4" xfId="29625"/>
    <cellStyle name="Comma 10 2 3 7 5" xfId="29626"/>
    <cellStyle name="Comma 10 2 3 8" xfId="29627"/>
    <cellStyle name="Comma 10 2 3 8 2" xfId="29628"/>
    <cellStyle name="Comma 10 2 3 8 3" xfId="29629"/>
    <cellStyle name="Comma 10 2 3 9" xfId="29630"/>
    <cellStyle name="Comma 10 2 3 9 2" xfId="29631"/>
    <cellStyle name="Comma 10 2 3 9 3" xfId="29632"/>
    <cellStyle name="Comma 10 2 4" xfId="3197"/>
    <cellStyle name="Comma 10 2 4 10" xfId="29633"/>
    <cellStyle name="Comma 10 2 4 2" xfId="3198"/>
    <cellStyle name="Comma 10 2 4 2 2" xfId="3199"/>
    <cellStyle name="Comma 10 2 4 2 2 2" xfId="29634"/>
    <cellStyle name="Comma 10 2 4 2 2 2 2" xfId="29635"/>
    <cellStyle name="Comma 10 2 4 2 2 2 3" xfId="29636"/>
    <cellStyle name="Comma 10 2 4 2 2 3" xfId="29637"/>
    <cellStyle name="Comma 10 2 4 2 2 3 2" xfId="29638"/>
    <cellStyle name="Comma 10 2 4 2 2 3 3" xfId="29639"/>
    <cellStyle name="Comma 10 2 4 2 2 4" xfId="29640"/>
    <cellStyle name="Comma 10 2 4 2 2 4 2" xfId="29641"/>
    <cellStyle name="Comma 10 2 4 2 2 5" xfId="29642"/>
    <cellStyle name="Comma 10 2 4 2 2 6" xfId="29643"/>
    <cellStyle name="Comma 10 2 4 2 3" xfId="29644"/>
    <cellStyle name="Comma 10 2 4 2 3 2" xfId="29645"/>
    <cellStyle name="Comma 10 2 4 2 3 2 2" xfId="29646"/>
    <cellStyle name="Comma 10 2 4 2 3 2 3" xfId="29647"/>
    <cellStyle name="Comma 10 2 4 2 3 3" xfId="29648"/>
    <cellStyle name="Comma 10 2 4 2 3 3 2" xfId="29649"/>
    <cellStyle name="Comma 10 2 4 2 3 3 3" xfId="29650"/>
    <cellStyle name="Comma 10 2 4 2 3 4" xfId="29651"/>
    <cellStyle name="Comma 10 2 4 2 3 4 2" xfId="29652"/>
    <cellStyle name="Comma 10 2 4 2 3 5" xfId="29653"/>
    <cellStyle name="Comma 10 2 4 2 3 6" xfId="29654"/>
    <cellStyle name="Comma 10 2 4 2 4" xfId="29655"/>
    <cellStyle name="Comma 10 2 4 2 4 2" xfId="29656"/>
    <cellStyle name="Comma 10 2 4 2 4 2 2" xfId="29657"/>
    <cellStyle name="Comma 10 2 4 2 4 2 3" xfId="29658"/>
    <cellStyle name="Comma 10 2 4 2 4 3" xfId="29659"/>
    <cellStyle name="Comma 10 2 4 2 4 3 2" xfId="29660"/>
    <cellStyle name="Comma 10 2 4 2 4 4" xfId="29661"/>
    <cellStyle name="Comma 10 2 4 2 4 5" xfId="29662"/>
    <cellStyle name="Comma 10 2 4 2 5" xfId="29663"/>
    <cellStyle name="Comma 10 2 4 2 5 2" xfId="29664"/>
    <cellStyle name="Comma 10 2 4 2 5 3" xfId="29665"/>
    <cellStyle name="Comma 10 2 4 2 6" xfId="29666"/>
    <cellStyle name="Comma 10 2 4 2 6 2" xfId="29667"/>
    <cellStyle name="Comma 10 2 4 2 6 3" xfId="29668"/>
    <cellStyle name="Comma 10 2 4 2 7" xfId="29669"/>
    <cellStyle name="Comma 10 2 4 2 7 2" xfId="29670"/>
    <cellStyle name="Comma 10 2 4 2 8" xfId="29671"/>
    <cellStyle name="Comma 10 2 4 2 9" xfId="29672"/>
    <cellStyle name="Comma 10 2 4 3" xfId="3200"/>
    <cellStyle name="Comma 10 2 4 3 2" xfId="29673"/>
    <cellStyle name="Comma 10 2 4 3 2 2" xfId="29674"/>
    <cellStyle name="Comma 10 2 4 3 2 3" xfId="29675"/>
    <cellStyle name="Comma 10 2 4 3 3" xfId="29676"/>
    <cellStyle name="Comma 10 2 4 3 3 2" xfId="29677"/>
    <cellStyle name="Comma 10 2 4 3 3 3" xfId="29678"/>
    <cellStyle name="Comma 10 2 4 3 4" xfId="29679"/>
    <cellStyle name="Comma 10 2 4 3 4 2" xfId="29680"/>
    <cellStyle name="Comma 10 2 4 3 5" xfId="29681"/>
    <cellStyle name="Comma 10 2 4 3 6" xfId="29682"/>
    <cellStyle name="Comma 10 2 4 4" xfId="29683"/>
    <cellStyle name="Comma 10 2 4 4 2" xfId="29684"/>
    <cellStyle name="Comma 10 2 4 4 2 2" xfId="29685"/>
    <cellStyle name="Comma 10 2 4 4 2 3" xfId="29686"/>
    <cellStyle name="Comma 10 2 4 4 3" xfId="29687"/>
    <cellStyle name="Comma 10 2 4 4 3 2" xfId="29688"/>
    <cellStyle name="Comma 10 2 4 4 3 3" xfId="29689"/>
    <cellStyle name="Comma 10 2 4 4 4" xfId="29690"/>
    <cellStyle name="Comma 10 2 4 4 4 2" xfId="29691"/>
    <cellStyle name="Comma 10 2 4 4 5" xfId="29692"/>
    <cellStyle name="Comma 10 2 4 4 6" xfId="29693"/>
    <cellStyle name="Comma 10 2 4 5" xfId="29694"/>
    <cellStyle name="Comma 10 2 4 5 2" xfId="29695"/>
    <cellStyle name="Comma 10 2 4 5 2 2" xfId="29696"/>
    <cellStyle name="Comma 10 2 4 5 2 3" xfId="29697"/>
    <cellStyle name="Comma 10 2 4 5 3" xfId="29698"/>
    <cellStyle name="Comma 10 2 4 5 3 2" xfId="29699"/>
    <cellStyle name="Comma 10 2 4 5 4" xfId="29700"/>
    <cellStyle name="Comma 10 2 4 5 5" xfId="29701"/>
    <cellStyle name="Comma 10 2 4 6" xfId="29702"/>
    <cellStyle name="Comma 10 2 4 6 2" xfId="29703"/>
    <cellStyle name="Comma 10 2 4 6 3" xfId="29704"/>
    <cellStyle name="Comma 10 2 4 7" xfId="29705"/>
    <cellStyle name="Comma 10 2 4 7 2" xfId="29706"/>
    <cellStyle name="Comma 10 2 4 7 3" xfId="29707"/>
    <cellStyle name="Comma 10 2 4 8" xfId="29708"/>
    <cellStyle name="Comma 10 2 4 8 2" xfId="29709"/>
    <cellStyle name="Comma 10 2 4 9" xfId="29710"/>
    <cellStyle name="Comma 10 2 5" xfId="3201"/>
    <cellStyle name="Comma 10 2 5 2" xfId="3202"/>
    <cellStyle name="Comma 10 2 5 2 2" xfId="29711"/>
    <cellStyle name="Comma 10 2 5 2 2 2" xfId="29712"/>
    <cellStyle name="Comma 10 2 5 2 2 3" xfId="29713"/>
    <cellStyle name="Comma 10 2 5 2 3" xfId="29714"/>
    <cellStyle name="Comma 10 2 5 2 3 2" xfId="29715"/>
    <cellStyle name="Comma 10 2 5 2 3 3" xfId="29716"/>
    <cellStyle name="Comma 10 2 5 2 4" xfId="29717"/>
    <cellStyle name="Comma 10 2 5 2 4 2" xfId="29718"/>
    <cellStyle name="Comma 10 2 5 2 5" xfId="29719"/>
    <cellStyle name="Comma 10 2 5 2 6" xfId="29720"/>
    <cellStyle name="Comma 10 2 5 3" xfId="29721"/>
    <cellStyle name="Comma 10 2 5 3 2" xfId="29722"/>
    <cellStyle name="Comma 10 2 5 3 2 2" xfId="29723"/>
    <cellStyle name="Comma 10 2 5 3 2 3" xfId="29724"/>
    <cellStyle name="Comma 10 2 5 3 3" xfId="29725"/>
    <cellStyle name="Comma 10 2 5 3 3 2" xfId="29726"/>
    <cellStyle name="Comma 10 2 5 3 3 3" xfId="29727"/>
    <cellStyle name="Comma 10 2 5 3 4" xfId="29728"/>
    <cellStyle name="Comma 10 2 5 3 4 2" xfId="29729"/>
    <cellStyle name="Comma 10 2 5 3 5" xfId="29730"/>
    <cellStyle name="Comma 10 2 5 3 6" xfId="29731"/>
    <cellStyle name="Comma 10 2 5 4" xfId="29732"/>
    <cellStyle name="Comma 10 2 5 4 2" xfId="29733"/>
    <cellStyle name="Comma 10 2 5 4 2 2" xfId="29734"/>
    <cellStyle name="Comma 10 2 5 4 2 3" xfId="29735"/>
    <cellStyle name="Comma 10 2 5 4 3" xfId="29736"/>
    <cellStyle name="Comma 10 2 5 4 3 2" xfId="29737"/>
    <cellStyle name="Comma 10 2 5 4 4" xfId="29738"/>
    <cellStyle name="Comma 10 2 5 4 5" xfId="29739"/>
    <cellStyle name="Comma 10 2 5 5" xfId="29740"/>
    <cellStyle name="Comma 10 2 5 5 2" xfId="29741"/>
    <cellStyle name="Comma 10 2 5 5 3" xfId="29742"/>
    <cellStyle name="Comma 10 2 5 6" xfId="29743"/>
    <cellStyle name="Comma 10 2 5 6 2" xfId="29744"/>
    <cellStyle name="Comma 10 2 5 6 3" xfId="29745"/>
    <cellStyle name="Comma 10 2 5 7" xfId="29746"/>
    <cellStyle name="Comma 10 2 5 7 2" xfId="29747"/>
    <cellStyle name="Comma 10 2 5 8" xfId="29748"/>
    <cellStyle name="Comma 10 2 5 9" xfId="29749"/>
    <cellStyle name="Comma 10 2 6" xfId="3203"/>
    <cellStyle name="Comma 10 2 6 2" xfId="29750"/>
    <cellStyle name="Comma 10 2 6 2 2" xfId="29751"/>
    <cellStyle name="Comma 10 2 6 2 2 2" xfId="29752"/>
    <cellStyle name="Comma 10 2 6 2 2 3" xfId="29753"/>
    <cellStyle name="Comma 10 2 6 2 3" xfId="29754"/>
    <cellStyle name="Comma 10 2 6 2 3 2" xfId="29755"/>
    <cellStyle name="Comma 10 2 6 2 3 3" xfId="29756"/>
    <cellStyle name="Comma 10 2 6 2 4" xfId="29757"/>
    <cellStyle name="Comma 10 2 6 2 4 2" xfId="29758"/>
    <cellStyle name="Comma 10 2 6 2 5" xfId="29759"/>
    <cellStyle name="Comma 10 2 6 2 6" xfId="29760"/>
    <cellStyle name="Comma 10 2 6 3" xfId="29761"/>
    <cellStyle name="Comma 10 2 6 3 2" xfId="29762"/>
    <cellStyle name="Comma 10 2 6 3 2 2" xfId="29763"/>
    <cellStyle name="Comma 10 2 6 3 2 3" xfId="29764"/>
    <cellStyle name="Comma 10 2 6 3 3" xfId="29765"/>
    <cellStyle name="Comma 10 2 6 3 3 2" xfId="29766"/>
    <cellStyle name="Comma 10 2 6 3 3 3" xfId="29767"/>
    <cellStyle name="Comma 10 2 6 3 4" xfId="29768"/>
    <cellStyle name="Comma 10 2 6 3 4 2" xfId="29769"/>
    <cellStyle name="Comma 10 2 6 3 5" xfId="29770"/>
    <cellStyle name="Comma 10 2 6 3 6" xfId="29771"/>
    <cellStyle name="Comma 10 2 6 4" xfId="29772"/>
    <cellStyle name="Comma 10 2 6 4 2" xfId="29773"/>
    <cellStyle name="Comma 10 2 6 4 2 2" xfId="29774"/>
    <cellStyle name="Comma 10 2 6 4 2 3" xfId="29775"/>
    <cellStyle name="Comma 10 2 6 4 3" xfId="29776"/>
    <cellStyle name="Comma 10 2 6 4 3 2" xfId="29777"/>
    <cellStyle name="Comma 10 2 6 4 4" xfId="29778"/>
    <cellStyle name="Comma 10 2 6 4 5" xfId="29779"/>
    <cellStyle name="Comma 10 2 6 5" xfId="29780"/>
    <cellStyle name="Comma 10 2 6 5 2" xfId="29781"/>
    <cellStyle name="Comma 10 2 6 5 3" xfId="29782"/>
    <cellStyle name="Comma 10 2 6 6" xfId="29783"/>
    <cellStyle name="Comma 10 2 6 6 2" xfId="29784"/>
    <cellStyle name="Comma 10 2 6 6 3" xfId="29785"/>
    <cellStyle name="Comma 10 2 6 7" xfId="29786"/>
    <cellStyle name="Comma 10 2 6 7 2" xfId="29787"/>
    <cellStyle name="Comma 10 2 6 8" xfId="29788"/>
    <cellStyle name="Comma 10 2 6 9" xfId="29789"/>
    <cellStyle name="Comma 10 2 7" xfId="29790"/>
    <cellStyle name="Comma 10 2 7 2" xfId="29791"/>
    <cellStyle name="Comma 10 2 7 2 2" xfId="29792"/>
    <cellStyle name="Comma 10 2 7 2 3" xfId="29793"/>
    <cellStyle name="Comma 10 2 7 3" xfId="29794"/>
    <cellStyle name="Comma 10 2 7 3 2" xfId="29795"/>
    <cellStyle name="Comma 10 2 7 3 3" xfId="29796"/>
    <cellStyle name="Comma 10 2 7 4" xfId="29797"/>
    <cellStyle name="Comma 10 2 7 4 2" xfId="29798"/>
    <cellStyle name="Comma 10 2 7 5" xfId="29799"/>
    <cellStyle name="Comma 10 2 7 6" xfId="29800"/>
    <cellStyle name="Comma 10 2 8" xfId="29801"/>
    <cellStyle name="Comma 10 2 8 2" xfId="29802"/>
    <cellStyle name="Comma 10 2 8 2 2" xfId="29803"/>
    <cellStyle name="Comma 10 2 8 2 3" xfId="29804"/>
    <cellStyle name="Comma 10 2 8 3" xfId="29805"/>
    <cellStyle name="Comma 10 2 8 3 2" xfId="29806"/>
    <cellStyle name="Comma 10 2 8 3 3" xfId="29807"/>
    <cellStyle name="Comma 10 2 8 4" xfId="29808"/>
    <cellStyle name="Comma 10 2 8 4 2" xfId="29809"/>
    <cellStyle name="Comma 10 2 8 5" xfId="29810"/>
    <cellStyle name="Comma 10 2 8 6" xfId="29811"/>
    <cellStyle name="Comma 10 2 9" xfId="29812"/>
    <cellStyle name="Comma 10 2 9 2" xfId="29813"/>
    <cellStyle name="Comma 10 2 9 2 2" xfId="29814"/>
    <cellStyle name="Comma 10 2 9 2 3" xfId="29815"/>
    <cellStyle name="Comma 10 2 9 3" xfId="29816"/>
    <cellStyle name="Comma 10 2 9 3 2" xfId="29817"/>
    <cellStyle name="Comma 10 2 9 4" xfId="29818"/>
    <cellStyle name="Comma 10 2 9 5" xfId="29819"/>
    <cellStyle name="Comma 10 3" xfId="3204"/>
    <cellStyle name="Comma 10 3 10" xfId="29820"/>
    <cellStyle name="Comma 10 3 10 2" xfId="29821"/>
    <cellStyle name="Comma 10 3 10 3" xfId="29822"/>
    <cellStyle name="Comma 10 3 11" xfId="29823"/>
    <cellStyle name="Comma 10 3 11 2" xfId="29824"/>
    <cellStyle name="Comma 10 3 12" xfId="29825"/>
    <cellStyle name="Comma 10 3 13" xfId="29826"/>
    <cellStyle name="Comma 10 3 14" xfId="29827"/>
    <cellStyle name="Comma 10 3 2" xfId="3205"/>
    <cellStyle name="Comma 10 3 2 10" xfId="29828"/>
    <cellStyle name="Comma 10 3 2 10 2" xfId="29829"/>
    <cellStyle name="Comma 10 3 2 11" xfId="29830"/>
    <cellStyle name="Comma 10 3 2 12" xfId="29831"/>
    <cellStyle name="Comma 10 3 2 2" xfId="3206"/>
    <cellStyle name="Comma 10 3 2 2 10" xfId="29832"/>
    <cellStyle name="Comma 10 3 2 2 2" xfId="3207"/>
    <cellStyle name="Comma 10 3 2 2 2 2" xfId="3208"/>
    <cellStyle name="Comma 10 3 2 2 2 2 2" xfId="29833"/>
    <cellStyle name="Comma 10 3 2 2 2 2 2 2" xfId="29834"/>
    <cellStyle name="Comma 10 3 2 2 2 2 2 3" xfId="29835"/>
    <cellStyle name="Comma 10 3 2 2 2 2 3" xfId="29836"/>
    <cellStyle name="Comma 10 3 2 2 2 2 3 2" xfId="29837"/>
    <cellStyle name="Comma 10 3 2 2 2 2 3 3" xfId="29838"/>
    <cellStyle name="Comma 10 3 2 2 2 2 4" xfId="29839"/>
    <cellStyle name="Comma 10 3 2 2 2 2 4 2" xfId="29840"/>
    <cellStyle name="Comma 10 3 2 2 2 2 5" xfId="29841"/>
    <cellStyle name="Comma 10 3 2 2 2 2 6" xfId="29842"/>
    <cellStyle name="Comma 10 3 2 2 2 3" xfId="29843"/>
    <cellStyle name="Comma 10 3 2 2 2 3 2" xfId="29844"/>
    <cellStyle name="Comma 10 3 2 2 2 3 2 2" xfId="29845"/>
    <cellStyle name="Comma 10 3 2 2 2 3 2 3" xfId="29846"/>
    <cellStyle name="Comma 10 3 2 2 2 3 3" xfId="29847"/>
    <cellStyle name="Comma 10 3 2 2 2 3 3 2" xfId="29848"/>
    <cellStyle name="Comma 10 3 2 2 2 3 3 3" xfId="29849"/>
    <cellStyle name="Comma 10 3 2 2 2 3 4" xfId="29850"/>
    <cellStyle name="Comma 10 3 2 2 2 3 4 2" xfId="29851"/>
    <cellStyle name="Comma 10 3 2 2 2 3 5" xfId="29852"/>
    <cellStyle name="Comma 10 3 2 2 2 3 6" xfId="29853"/>
    <cellStyle name="Comma 10 3 2 2 2 4" xfId="29854"/>
    <cellStyle name="Comma 10 3 2 2 2 4 2" xfId="29855"/>
    <cellStyle name="Comma 10 3 2 2 2 4 2 2" xfId="29856"/>
    <cellStyle name="Comma 10 3 2 2 2 4 2 3" xfId="29857"/>
    <cellStyle name="Comma 10 3 2 2 2 4 3" xfId="29858"/>
    <cellStyle name="Comma 10 3 2 2 2 4 3 2" xfId="29859"/>
    <cellStyle name="Comma 10 3 2 2 2 4 4" xfId="29860"/>
    <cellStyle name="Comma 10 3 2 2 2 4 5" xfId="29861"/>
    <cellStyle name="Comma 10 3 2 2 2 5" xfId="29862"/>
    <cellStyle name="Comma 10 3 2 2 2 5 2" xfId="29863"/>
    <cellStyle name="Comma 10 3 2 2 2 5 3" xfId="29864"/>
    <cellStyle name="Comma 10 3 2 2 2 6" xfId="29865"/>
    <cellStyle name="Comma 10 3 2 2 2 6 2" xfId="29866"/>
    <cellStyle name="Comma 10 3 2 2 2 6 3" xfId="29867"/>
    <cellStyle name="Comma 10 3 2 2 2 7" xfId="29868"/>
    <cellStyle name="Comma 10 3 2 2 2 7 2" xfId="29869"/>
    <cellStyle name="Comma 10 3 2 2 2 8" xfId="29870"/>
    <cellStyle name="Comma 10 3 2 2 2 9" xfId="29871"/>
    <cellStyle name="Comma 10 3 2 2 3" xfId="3209"/>
    <cellStyle name="Comma 10 3 2 2 3 2" xfId="29872"/>
    <cellStyle name="Comma 10 3 2 2 3 2 2" xfId="29873"/>
    <cellStyle name="Comma 10 3 2 2 3 2 3" xfId="29874"/>
    <cellStyle name="Comma 10 3 2 2 3 3" xfId="29875"/>
    <cellStyle name="Comma 10 3 2 2 3 3 2" xfId="29876"/>
    <cellStyle name="Comma 10 3 2 2 3 3 3" xfId="29877"/>
    <cellStyle name="Comma 10 3 2 2 3 4" xfId="29878"/>
    <cellStyle name="Comma 10 3 2 2 3 4 2" xfId="29879"/>
    <cellStyle name="Comma 10 3 2 2 3 5" xfId="29880"/>
    <cellStyle name="Comma 10 3 2 2 3 6" xfId="29881"/>
    <cellStyle name="Comma 10 3 2 2 4" xfId="29882"/>
    <cellStyle name="Comma 10 3 2 2 4 2" xfId="29883"/>
    <cellStyle name="Comma 10 3 2 2 4 2 2" xfId="29884"/>
    <cellStyle name="Comma 10 3 2 2 4 2 3" xfId="29885"/>
    <cellStyle name="Comma 10 3 2 2 4 3" xfId="29886"/>
    <cellStyle name="Comma 10 3 2 2 4 3 2" xfId="29887"/>
    <cellStyle name="Comma 10 3 2 2 4 3 3" xfId="29888"/>
    <cellStyle name="Comma 10 3 2 2 4 4" xfId="29889"/>
    <cellStyle name="Comma 10 3 2 2 4 4 2" xfId="29890"/>
    <cellStyle name="Comma 10 3 2 2 4 5" xfId="29891"/>
    <cellStyle name="Comma 10 3 2 2 4 6" xfId="29892"/>
    <cellStyle name="Comma 10 3 2 2 5" xfId="29893"/>
    <cellStyle name="Comma 10 3 2 2 5 2" xfId="29894"/>
    <cellStyle name="Comma 10 3 2 2 5 2 2" xfId="29895"/>
    <cellStyle name="Comma 10 3 2 2 5 2 3" xfId="29896"/>
    <cellStyle name="Comma 10 3 2 2 5 3" xfId="29897"/>
    <cellStyle name="Comma 10 3 2 2 5 3 2" xfId="29898"/>
    <cellStyle name="Comma 10 3 2 2 5 4" xfId="29899"/>
    <cellStyle name="Comma 10 3 2 2 5 5" xfId="29900"/>
    <cellStyle name="Comma 10 3 2 2 6" xfId="29901"/>
    <cellStyle name="Comma 10 3 2 2 6 2" xfId="29902"/>
    <cellStyle name="Comma 10 3 2 2 6 3" xfId="29903"/>
    <cellStyle name="Comma 10 3 2 2 7" xfId="29904"/>
    <cellStyle name="Comma 10 3 2 2 7 2" xfId="29905"/>
    <cellStyle name="Comma 10 3 2 2 7 3" xfId="29906"/>
    <cellStyle name="Comma 10 3 2 2 8" xfId="29907"/>
    <cellStyle name="Comma 10 3 2 2 8 2" xfId="29908"/>
    <cellStyle name="Comma 10 3 2 2 9" xfId="29909"/>
    <cellStyle name="Comma 10 3 2 3" xfId="3210"/>
    <cellStyle name="Comma 10 3 2 3 2" xfId="3211"/>
    <cellStyle name="Comma 10 3 2 3 2 2" xfId="29910"/>
    <cellStyle name="Comma 10 3 2 3 2 2 2" xfId="29911"/>
    <cellStyle name="Comma 10 3 2 3 2 2 3" xfId="29912"/>
    <cellStyle name="Comma 10 3 2 3 2 3" xfId="29913"/>
    <cellStyle name="Comma 10 3 2 3 2 3 2" xfId="29914"/>
    <cellStyle name="Comma 10 3 2 3 2 3 3" xfId="29915"/>
    <cellStyle name="Comma 10 3 2 3 2 4" xfId="29916"/>
    <cellStyle name="Comma 10 3 2 3 2 4 2" xfId="29917"/>
    <cellStyle name="Comma 10 3 2 3 2 5" xfId="29918"/>
    <cellStyle name="Comma 10 3 2 3 2 6" xfId="29919"/>
    <cellStyle name="Comma 10 3 2 3 3" xfId="29920"/>
    <cellStyle name="Comma 10 3 2 3 3 2" xfId="29921"/>
    <cellStyle name="Comma 10 3 2 3 3 2 2" xfId="29922"/>
    <cellStyle name="Comma 10 3 2 3 3 2 3" xfId="29923"/>
    <cellStyle name="Comma 10 3 2 3 3 3" xfId="29924"/>
    <cellStyle name="Comma 10 3 2 3 3 3 2" xfId="29925"/>
    <cellStyle name="Comma 10 3 2 3 3 3 3" xfId="29926"/>
    <cellStyle name="Comma 10 3 2 3 3 4" xfId="29927"/>
    <cellStyle name="Comma 10 3 2 3 3 4 2" xfId="29928"/>
    <cellStyle name="Comma 10 3 2 3 3 5" xfId="29929"/>
    <cellStyle name="Comma 10 3 2 3 3 6" xfId="29930"/>
    <cellStyle name="Comma 10 3 2 3 4" xfId="29931"/>
    <cellStyle name="Comma 10 3 2 3 4 2" xfId="29932"/>
    <cellStyle name="Comma 10 3 2 3 4 2 2" xfId="29933"/>
    <cellStyle name="Comma 10 3 2 3 4 2 3" xfId="29934"/>
    <cellStyle name="Comma 10 3 2 3 4 3" xfId="29935"/>
    <cellStyle name="Comma 10 3 2 3 4 3 2" xfId="29936"/>
    <cellStyle name="Comma 10 3 2 3 4 4" xfId="29937"/>
    <cellStyle name="Comma 10 3 2 3 4 5" xfId="29938"/>
    <cellStyle name="Comma 10 3 2 3 5" xfId="29939"/>
    <cellStyle name="Comma 10 3 2 3 5 2" xfId="29940"/>
    <cellStyle name="Comma 10 3 2 3 5 3" xfId="29941"/>
    <cellStyle name="Comma 10 3 2 3 6" xfId="29942"/>
    <cellStyle name="Comma 10 3 2 3 6 2" xfId="29943"/>
    <cellStyle name="Comma 10 3 2 3 6 3" xfId="29944"/>
    <cellStyle name="Comma 10 3 2 3 7" xfId="29945"/>
    <cellStyle name="Comma 10 3 2 3 7 2" xfId="29946"/>
    <cellStyle name="Comma 10 3 2 3 8" xfId="29947"/>
    <cellStyle name="Comma 10 3 2 3 9" xfId="29948"/>
    <cellStyle name="Comma 10 3 2 4" xfId="3212"/>
    <cellStyle name="Comma 10 3 2 4 2" xfId="29949"/>
    <cellStyle name="Comma 10 3 2 4 2 2" xfId="29950"/>
    <cellStyle name="Comma 10 3 2 4 2 2 2" xfId="29951"/>
    <cellStyle name="Comma 10 3 2 4 2 2 3" xfId="29952"/>
    <cellStyle name="Comma 10 3 2 4 2 3" xfId="29953"/>
    <cellStyle name="Comma 10 3 2 4 2 3 2" xfId="29954"/>
    <cellStyle name="Comma 10 3 2 4 2 3 3" xfId="29955"/>
    <cellStyle name="Comma 10 3 2 4 2 4" xfId="29956"/>
    <cellStyle name="Comma 10 3 2 4 2 4 2" xfId="29957"/>
    <cellStyle name="Comma 10 3 2 4 2 5" xfId="29958"/>
    <cellStyle name="Comma 10 3 2 4 2 6" xfId="29959"/>
    <cellStyle name="Comma 10 3 2 4 3" xfId="29960"/>
    <cellStyle name="Comma 10 3 2 4 3 2" xfId="29961"/>
    <cellStyle name="Comma 10 3 2 4 3 2 2" xfId="29962"/>
    <cellStyle name="Comma 10 3 2 4 3 2 3" xfId="29963"/>
    <cellStyle name="Comma 10 3 2 4 3 3" xfId="29964"/>
    <cellStyle name="Comma 10 3 2 4 3 3 2" xfId="29965"/>
    <cellStyle name="Comma 10 3 2 4 3 3 3" xfId="29966"/>
    <cellStyle name="Comma 10 3 2 4 3 4" xfId="29967"/>
    <cellStyle name="Comma 10 3 2 4 3 4 2" xfId="29968"/>
    <cellStyle name="Comma 10 3 2 4 3 5" xfId="29969"/>
    <cellStyle name="Comma 10 3 2 4 3 6" xfId="29970"/>
    <cellStyle name="Comma 10 3 2 4 4" xfId="29971"/>
    <cellStyle name="Comma 10 3 2 4 4 2" xfId="29972"/>
    <cellStyle name="Comma 10 3 2 4 4 2 2" xfId="29973"/>
    <cellStyle name="Comma 10 3 2 4 4 2 3" xfId="29974"/>
    <cellStyle name="Comma 10 3 2 4 4 3" xfId="29975"/>
    <cellStyle name="Comma 10 3 2 4 4 3 2" xfId="29976"/>
    <cellStyle name="Comma 10 3 2 4 4 4" xfId="29977"/>
    <cellStyle name="Comma 10 3 2 4 4 5" xfId="29978"/>
    <cellStyle name="Comma 10 3 2 4 5" xfId="29979"/>
    <cellStyle name="Comma 10 3 2 4 5 2" xfId="29980"/>
    <cellStyle name="Comma 10 3 2 4 5 3" xfId="29981"/>
    <cellStyle name="Comma 10 3 2 4 6" xfId="29982"/>
    <cellStyle name="Comma 10 3 2 4 6 2" xfId="29983"/>
    <cellStyle name="Comma 10 3 2 4 6 3" xfId="29984"/>
    <cellStyle name="Comma 10 3 2 4 7" xfId="29985"/>
    <cellStyle name="Comma 10 3 2 4 7 2" xfId="29986"/>
    <cellStyle name="Comma 10 3 2 4 8" xfId="29987"/>
    <cellStyle name="Comma 10 3 2 4 9" xfId="29988"/>
    <cellStyle name="Comma 10 3 2 5" xfId="29989"/>
    <cellStyle name="Comma 10 3 2 5 2" xfId="29990"/>
    <cellStyle name="Comma 10 3 2 5 2 2" xfId="29991"/>
    <cellStyle name="Comma 10 3 2 5 2 3" xfId="29992"/>
    <cellStyle name="Comma 10 3 2 5 3" xfId="29993"/>
    <cellStyle name="Comma 10 3 2 5 3 2" xfId="29994"/>
    <cellStyle name="Comma 10 3 2 5 3 3" xfId="29995"/>
    <cellStyle name="Comma 10 3 2 5 4" xfId="29996"/>
    <cellStyle name="Comma 10 3 2 5 4 2" xfId="29997"/>
    <cellStyle name="Comma 10 3 2 5 5" xfId="29998"/>
    <cellStyle name="Comma 10 3 2 5 6" xfId="29999"/>
    <cellStyle name="Comma 10 3 2 6" xfId="30000"/>
    <cellStyle name="Comma 10 3 2 6 2" xfId="30001"/>
    <cellStyle name="Comma 10 3 2 6 2 2" xfId="30002"/>
    <cellStyle name="Comma 10 3 2 6 2 3" xfId="30003"/>
    <cellStyle name="Comma 10 3 2 6 3" xfId="30004"/>
    <cellStyle name="Comma 10 3 2 6 3 2" xfId="30005"/>
    <cellStyle name="Comma 10 3 2 6 3 3" xfId="30006"/>
    <cellStyle name="Comma 10 3 2 6 4" xfId="30007"/>
    <cellStyle name="Comma 10 3 2 6 4 2" xfId="30008"/>
    <cellStyle name="Comma 10 3 2 6 5" xfId="30009"/>
    <cellStyle name="Comma 10 3 2 6 6" xfId="30010"/>
    <cellStyle name="Comma 10 3 2 7" xfId="30011"/>
    <cellStyle name="Comma 10 3 2 7 2" xfId="30012"/>
    <cellStyle name="Comma 10 3 2 7 2 2" xfId="30013"/>
    <cellStyle name="Comma 10 3 2 7 2 3" xfId="30014"/>
    <cellStyle name="Comma 10 3 2 7 3" xfId="30015"/>
    <cellStyle name="Comma 10 3 2 7 3 2" xfId="30016"/>
    <cellStyle name="Comma 10 3 2 7 4" xfId="30017"/>
    <cellStyle name="Comma 10 3 2 7 5" xfId="30018"/>
    <cellStyle name="Comma 10 3 2 8" xfId="30019"/>
    <cellStyle name="Comma 10 3 2 8 2" xfId="30020"/>
    <cellStyle name="Comma 10 3 2 8 3" xfId="30021"/>
    <cellStyle name="Comma 10 3 2 9" xfId="30022"/>
    <cellStyle name="Comma 10 3 2 9 2" xfId="30023"/>
    <cellStyle name="Comma 10 3 2 9 3" xfId="30024"/>
    <cellStyle name="Comma 10 3 3" xfId="3213"/>
    <cellStyle name="Comma 10 3 3 10" xfId="30025"/>
    <cellStyle name="Comma 10 3 3 2" xfId="3214"/>
    <cellStyle name="Comma 10 3 3 2 2" xfId="3215"/>
    <cellStyle name="Comma 10 3 3 2 2 2" xfId="30026"/>
    <cellStyle name="Comma 10 3 3 2 2 2 2" xfId="30027"/>
    <cellStyle name="Comma 10 3 3 2 2 2 3" xfId="30028"/>
    <cellStyle name="Comma 10 3 3 2 2 3" xfId="30029"/>
    <cellStyle name="Comma 10 3 3 2 2 3 2" xfId="30030"/>
    <cellStyle name="Comma 10 3 3 2 2 3 3" xfId="30031"/>
    <cellStyle name="Comma 10 3 3 2 2 4" xfId="30032"/>
    <cellStyle name="Comma 10 3 3 2 2 4 2" xfId="30033"/>
    <cellStyle name="Comma 10 3 3 2 2 5" xfId="30034"/>
    <cellStyle name="Comma 10 3 3 2 2 6" xfId="30035"/>
    <cellStyle name="Comma 10 3 3 2 3" xfId="30036"/>
    <cellStyle name="Comma 10 3 3 2 3 2" xfId="30037"/>
    <cellStyle name="Comma 10 3 3 2 3 2 2" xfId="30038"/>
    <cellStyle name="Comma 10 3 3 2 3 2 3" xfId="30039"/>
    <cellStyle name="Comma 10 3 3 2 3 3" xfId="30040"/>
    <cellStyle name="Comma 10 3 3 2 3 3 2" xfId="30041"/>
    <cellStyle name="Comma 10 3 3 2 3 3 3" xfId="30042"/>
    <cellStyle name="Comma 10 3 3 2 3 4" xfId="30043"/>
    <cellStyle name="Comma 10 3 3 2 3 4 2" xfId="30044"/>
    <cellStyle name="Comma 10 3 3 2 3 5" xfId="30045"/>
    <cellStyle name="Comma 10 3 3 2 3 6" xfId="30046"/>
    <cellStyle name="Comma 10 3 3 2 4" xfId="30047"/>
    <cellStyle name="Comma 10 3 3 2 4 2" xfId="30048"/>
    <cellStyle name="Comma 10 3 3 2 4 2 2" xfId="30049"/>
    <cellStyle name="Comma 10 3 3 2 4 2 3" xfId="30050"/>
    <cellStyle name="Comma 10 3 3 2 4 3" xfId="30051"/>
    <cellStyle name="Comma 10 3 3 2 4 3 2" xfId="30052"/>
    <cellStyle name="Comma 10 3 3 2 4 4" xfId="30053"/>
    <cellStyle name="Comma 10 3 3 2 4 5" xfId="30054"/>
    <cellStyle name="Comma 10 3 3 2 5" xfId="30055"/>
    <cellStyle name="Comma 10 3 3 2 5 2" xfId="30056"/>
    <cellStyle name="Comma 10 3 3 2 5 3" xfId="30057"/>
    <cellStyle name="Comma 10 3 3 2 6" xfId="30058"/>
    <cellStyle name="Comma 10 3 3 2 6 2" xfId="30059"/>
    <cellStyle name="Comma 10 3 3 2 6 3" xfId="30060"/>
    <cellStyle name="Comma 10 3 3 2 7" xfId="30061"/>
    <cellStyle name="Comma 10 3 3 2 7 2" xfId="30062"/>
    <cellStyle name="Comma 10 3 3 2 8" xfId="30063"/>
    <cellStyle name="Comma 10 3 3 2 9" xfId="30064"/>
    <cellStyle name="Comma 10 3 3 3" xfId="3216"/>
    <cellStyle name="Comma 10 3 3 3 2" xfId="30065"/>
    <cellStyle name="Comma 10 3 3 3 2 2" xfId="30066"/>
    <cellStyle name="Comma 10 3 3 3 2 3" xfId="30067"/>
    <cellStyle name="Comma 10 3 3 3 3" xfId="30068"/>
    <cellStyle name="Comma 10 3 3 3 3 2" xfId="30069"/>
    <cellStyle name="Comma 10 3 3 3 3 3" xfId="30070"/>
    <cellStyle name="Comma 10 3 3 3 4" xfId="30071"/>
    <cellStyle name="Comma 10 3 3 3 4 2" xfId="30072"/>
    <cellStyle name="Comma 10 3 3 3 5" xfId="30073"/>
    <cellStyle name="Comma 10 3 3 3 6" xfId="30074"/>
    <cellStyle name="Comma 10 3 3 4" xfId="30075"/>
    <cellStyle name="Comma 10 3 3 4 2" xfId="30076"/>
    <cellStyle name="Comma 10 3 3 4 2 2" xfId="30077"/>
    <cellStyle name="Comma 10 3 3 4 2 3" xfId="30078"/>
    <cellStyle name="Comma 10 3 3 4 3" xfId="30079"/>
    <cellStyle name="Comma 10 3 3 4 3 2" xfId="30080"/>
    <cellStyle name="Comma 10 3 3 4 3 3" xfId="30081"/>
    <cellStyle name="Comma 10 3 3 4 4" xfId="30082"/>
    <cellStyle name="Comma 10 3 3 4 4 2" xfId="30083"/>
    <cellStyle name="Comma 10 3 3 4 5" xfId="30084"/>
    <cellStyle name="Comma 10 3 3 4 6" xfId="30085"/>
    <cellStyle name="Comma 10 3 3 5" xfId="30086"/>
    <cellStyle name="Comma 10 3 3 5 2" xfId="30087"/>
    <cellStyle name="Comma 10 3 3 5 2 2" xfId="30088"/>
    <cellStyle name="Comma 10 3 3 5 2 3" xfId="30089"/>
    <cellStyle name="Comma 10 3 3 5 3" xfId="30090"/>
    <cellStyle name="Comma 10 3 3 5 3 2" xfId="30091"/>
    <cellStyle name="Comma 10 3 3 5 4" xfId="30092"/>
    <cellStyle name="Comma 10 3 3 5 5" xfId="30093"/>
    <cellStyle name="Comma 10 3 3 6" xfId="30094"/>
    <cellStyle name="Comma 10 3 3 6 2" xfId="30095"/>
    <cellStyle name="Comma 10 3 3 6 3" xfId="30096"/>
    <cellStyle name="Comma 10 3 3 7" xfId="30097"/>
    <cellStyle name="Comma 10 3 3 7 2" xfId="30098"/>
    <cellStyle name="Comma 10 3 3 7 3" xfId="30099"/>
    <cellStyle name="Comma 10 3 3 8" xfId="30100"/>
    <cellStyle name="Comma 10 3 3 8 2" xfId="30101"/>
    <cellStyle name="Comma 10 3 3 9" xfId="30102"/>
    <cellStyle name="Comma 10 3 4" xfId="3217"/>
    <cellStyle name="Comma 10 3 4 2" xfId="3218"/>
    <cellStyle name="Comma 10 3 4 2 2" xfId="30103"/>
    <cellStyle name="Comma 10 3 4 2 2 2" xfId="30104"/>
    <cellStyle name="Comma 10 3 4 2 2 3" xfId="30105"/>
    <cellStyle name="Comma 10 3 4 2 3" xfId="30106"/>
    <cellStyle name="Comma 10 3 4 2 3 2" xfId="30107"/>
    <cellStyle name="Comma 10 3 4 2 3 3" xfId="30108"/>
    <cellStyle name="Comma 10 3 4 2 4" xfId="30109"/>
    <cellStyle name="Comma 10 3 4 2 4 2" xfId="30110"/>
    <cellStyle name="Comma 10 3 4 2 5" xfId="30111"/>
    <cellStyle name="Comma 10 3 4 2 6" xfId="30112"/>
    <cellStyle name="Comma 10 3 4 3" xfId="30113"/>
    <cellStyle name="Comma 10 3 4 3 2" xfId="30114"/>
    <cellStyle name="Comma 10 3 4 3 2 2" xfId="30115"/>
    <cellStyle name="Comma 10 3 4 3 2 3" xfId="30116"/>
    <cellStyle name="Comma 10 3 4 3 3" xfId="30117"/>
    <cellStyle name="Comma 10 3 4 3 3 2" xfId="30118"/>
    <cellStyle name="Comma 10 3 4 3 3 3" xfId="30119"/>
    <cellStyle name="Comma 10 3 4 3 4" xfId="30120"/>
    <cellStyle name="Comma 10 3 4 3 4 2" xfId="30121"/>
    <cellStyle name="Comma 10 3 4 3 5" xfId="30122"/>
    <cellStyle name="Comma 10 3 4 3 6" xfId="30123"/>
    <cellStyle name="Comma 10 3 4 4" xfId="30124"/>
    <cellStyle name="Comma 10 3 4 4 2" xfId="30125"/>
    <cellStyle name="Comma 10 3 4 4 2 2" xfId="30126"/>
    <cellStyle name="Comma 10 3 4 4 2 3" xfId="30127"/>
    <cellStyle name="Comma 10 3 4 4 3" xfId="30128"/>
    <cellStyle name="Comma 10 3 4 4 3 2" xfId="30129"/>
    <cellStyle name="Comma 10 3 4 4 4" xfId="30130"/>
    <cellStyle name="Comma 10 3 4 4 5" xfId="30131"/>
    <cellStyle name="Comma 10 3 4 5" xfId="30132"/>
    <cellStyle name="Comma 10 3 4 5 2" xfId="30133"/>
    <cellStyle name="Comma 10 3 4 5 3" xfId="30134"/>
    <cellStyle name="Comma 10 3 4 6" xfId="30135"/>
    <cellStyle name="Comma 10 3 4 6 2" xfId="30136"/>
    <cellStyle name="Comma 10 3 4 6 3" xfId="30137"/>
    <cellStyle name="Comma 10 3 4 7" xfId="30138"/>
    <cellStyle name="Comma 10 3 4 7 2" xfId="30139"/>
    <cellStyle name="Comma 10 3 4 8" xfId="30140"/>
    <cellStyle name="Comma 10 3 4 9" xfId="30141"/>
    <cellStyle name="Comma 10 3 5" xfId="3219"/>
    <cellStyle name="Comma 10 3 5 2" xfId="30142"/>
    <cellStyle name="Comma 10 3 5 2 2" xfId="30143"/>
    <cellStyle name="Comma 10 3 5 2 2 2" xfId="30144"/>
    <cellStyle name="Comma 10 3 5 2 2 3" xfId="30145"/>
    <cellStyle name="Comma 10 3 5 2 3" xfId="30146"/>
    <cellStyle name="Comma 10 3 5 2 3 2" xfId="30147"/>
    <cellStyle name="Comma 10 3 5 2 3 3" xfId="30148"/>
    <cellStyle name="Comma 10 3 5 2 4" xfId="30149"/>
    <cellStyle name="Comma 10 3 5 2 4 2" xfId="30150"/>
    <cellStyle name="Comma 10 3 5 2 5" xfId="30151"/>
    <cellStyle name="Comma 10 3 5 2 6" xfId="30152"/>
    <cellStyle name="Comma 10 3 5 3" xfId="30153"/>
    <cellStyle name="Comma 10 3 5 3 2" xfId="30154"/>
    <cellStyle name="Comma 10 3 5 3 2 2" xfId="30155"/>
    <cellStyle name="Comma 10 3 5 3 2 3" xfId="30156"/>
    <cellStyle name="Comma 10 3 5 3 3" xfId="30157"/>
    <cellStyle name="Comma 10 3 5 3 3 2" xfId="30158"/>
    <cellStyle name="Comma 10 3 5 3 3 3" xfId="30159"/>
    <cellStyle name="Comma 10 3 5 3 4" xfId="30160"/>
    <cellStyle name="Comma 10 3 5 3 4 2" xfId="30161"/>
    <cellStyle name="Comma 10 3 5 3 5" xfId="30162"/>
    <cellStyle name="Comma 10 3 5 3 6" xfId="30163"/>
    <cellStyle name="Comma 10 3 5 4" xfId="30164"/>
    <cellStyle name="Comma 10 3 5 4 2" xfId="30165"/>
    <cellStyle name="Comma 10 3 5 4 2 2" xfId="30166"/>
    <cellStyle name="Comma 10 3 5 4 2 3" xfId="30167"/>
    <cellStyle name="Comma 10 3 5 4 3" xfId="30168"/>
    <cellStyle name="Comma 10 3 5 4 3 2" xfId="30169"/>
    <cellStyle name="Comma 10 3 5 4 4" xfId="30170"/>
    <cellStyle name="Comma 10 3 5 4 5" xfId="30171"/>
    <cellStyle name="Comma 10 3 5 5" xfId="30172"/>
    <cellStyle name="Comma 10 3 5 5 2" xfId="30173"/>
    <cellStyle name="Comma 10 3 5 5 3" xfId="30174"/>
    <cellStyle name="Comma 10 3 5 6" xfId="30175"/>
    <cellStyle name="Comma 10 3 5 6 2" xfId="30176"/>
    <cellStyle name="Comma 10 3 5 6 3" xfId="30177"/>
    <cellStyle name="Comma 10 3 5 7" xfId="30178"/>
    <cellStyle name="Comma 10 3 5 7 2" xfId="30179"/>
    <cellStyle name="Comma 10 3 5 8" xfId="30180"/>
    <cellStyle name="Comma 10 3 5 9" xfId="30181"/>
    <cellStyle name="Comma 10 3 6" xfId="30182"/>
    <cellStyle name="Comma 10 3 6 2" xfId="30183"/>
    <cellStyle name="Comma 10 3 6 2 2" xfId="30184"/>
    <cellStyle name="Comma 10 3 6 2 3" xfId="30185"/>
    <cellStyle name="Comma 10 3 6 3" xfId="30186"/>
    <cellStyle name="Comma 10 3 6 3 2" xfId="30187"/>
    <cellStyle name="Comma 10 3 6 3 3" xfId="30188"/>
    <cellStyle name="Comma 10 3 6 4" xfId="30189"/>
    <cellStyle name="Comma 10 3 6 4 2" xfId="30190"/>
    <cellStyle name="Comma 10 3 6 5" xfId="30191"/>
    <cellStyle name="Comma 10 3 6 6" xfId="30192"/>
    <cellStyle name="Comma 10 3 7" xfId="30193"/>
    <cellStyle name="Comma 10 3 7 2" xfId="30194"/>
    <cellStyle name="Comma 10 3 7 2 2" xfId="30195"/>
    <cellStyle name="Comma 10 3 7 2 3" xfId="30196"/>
    <cellStyle name="Comma 10 3 7 3" xfId="30197"/>
    <cellStyle name="Comma 10 3 7 3 2" xfId="30198"/>
    <cellStyle name="Comma 10 3 7 3 3" xfId="30199"/>
    <cellStyle name="Comma 10 3 7 4" xfId="30200"/>
    <cellStyle name="Comma 10 3 7 4 2" xfId="30201"/>
    <cellStyle name="Comma 10 3 7 5" xfId="30202"/>
    <cellStyle name="Comma 10 3 7 6" xfId="30203"/>
    <cellStyle name="Comma 10 3 8" xfId="30204"/>
    <cellStyle name="Comma 10 3 8 2" xfId="30205"/>
    <cellStyle name="Comma 10 3 8 2 2" xfId="30206"/>
    <cellStyle name="Comma 10 3 8 2 3" xfId="30207"/>
    <cellStyle name="Comma 10 3 8 3" xfId="30208"/>
    <cellStyle name="Comma 10 3 8 3 2" xfId="30209"/>
    <cellStyle name="Comma 10 3 8 4" xfId="30210"/>
    <cellStyle name="Comma 10 3 8 5" xfId="30211"/>
    <cellStyle name="Comma 10 3 9" xfId="30212"/>
    <cellStyle name="Comma 10 3 9 2" xfId="30213"/>
    <cellStyle name="Comma 10 3 9 3" xfId="30214"/>
    <cellStyle name="Comma 10 4" xfId="3220"/>
    <cellStyle name="Comma 10 4 10" xfId="30215"/>
    <cellStyle name="Comma 10 4 10 2" xfId="30216"/>
    <cellStyle name="Comma 10 4 11" xfId="30217"/>
    <cellStyle name="Comma 10 4 12" xfId="30218"/>
    <cellStyle name="Comma 10 4 2" xfId="3221"/>
    <cellStyle name="Comma 10 4 2 10" xfId="30219"/>
    <cellStyle name="Comma 10 4 2 2" xfId="3222"/>
    <cellStyle name="Comma 10 4 2 2 2" xfId="3223"/>
    <cellStyle name="Comma 10 4 2 2 2 2" xfId="30220"/>
    <cellStyle name="Comma 10 4 2 2 2 2 2" xfId="30221"/>
    <cellStyle name="Comma 10 4 2 2 2 2 3" xfId="30222"/>
    <cellStyle name="Comma 10 4 2 2 2 3" xfId="30223"/>
    <cellStyle name="Comma 10 4 2 2 2 3 2" xfId="30224"/>
    <cellStyle name="Comma 10 4 2 2 2 3 3" xfId="30225"/>
    <cellStyle name="Comma 10 4 2 2 2 4" xfId="30226"/>
    <cellStyle name="Comma 10 4 2 2 2 4 2" xfId="30227"/>
    <cellStyle name="Comma 10 4 2 2 2 5" xfId="30228"/>
    <cellStyle name="Comma 10 4 2 2 2 6" xfId="30229"/>
    <cellStyle name="Comma 10 4 2 2 3" xfId="30230"/>
    <cellStyle name="Comma 10 4 2 2 3 2" xfId="30231"/>
    <cellStyle name="Comma 10 4 2 2 3 2 2" xfId="30232"/>
    <cellStyle name="Comma 10 4 2 2 3 2 3" xfId="30233"/>
    <cellStyle name="Comma 10 4 2 2 3 3" xfId="30234"/>
    <cellStyle name="Comma 10 4 2 2 3 3 2" xfId="30235"/>
    <cellStyle name="Comma 10 4 2 2 3 3 3" xfId="30236"/>
    <cellStyle name="Comma 10 4 2 2 3 4" xfId="30237"/>
    <cellStyle name="Comma 10 4 2 2 3 4 2" xfId="30238"/>
    <cellStyle name="Comma 10 4 2 2 3 5" xfId="30239"/>
    <cellStyle name="Comma 10 4 2 2 3 6" xfId="30240"/>
    <cellStyle name="Comma 10 4 2 2 4" xfId="30241"/>
    <cellStyle name="Comma 10 4 2 2 4 2" xfId="30242"/>
    <cellStyle name="Comma 10 4 2 2 4 2 2" xfId="30243"/>
    <cellStyle name="Comma 10 4 2 2 4 2 3" xfId="30244"/>
    <cellStyle name="Comma 10 4 2 2 4 3" xfId="30245"/>
    <cellStyle name="Comma 10 4 2 2 4 3 2" xfId="30246"/>
    <cellStyle name="Comma 10 4 2 2 4 4" xfId="30247"/>
    <cellStyle name="Comma 10 4 2 2 4 5" xfId="30248"/>
    <cellStyle name="Comma 10 4 2 2 5" xfId="30249"/>
    <cellStyle name="Comma 10 4 2 2 5 2" xfId="30250"/>
    <cellStyle name="Comma 10 4 2 2 5 3" xfId="30251"/>
    <cellStyle name="Comma 10 4 2 2 6" xfId="30252"/>
    <cellStyle name="Comma 10 4 2 2 6 2" xfId="30253"/>
    <cellStyle name="Comma 10 4 2 2 6 3" xfId="30254"/>
    <cellStyle name="Comma 10 4 2 2 7" xfId="30255"/>
    <cellStyle name="Comma 10 4 2 2 7 2" xfId="30256"/>
    <cellStyle name="Comma 10 4 2 2 8" xfId="30257"/>
    <cellStyle name="Comma 10 4 2 2 9" xfId="30258"/>
    <cellStyle name="Comma 10 4 2 3" xfId="3224"/>
    <cellStyle name="Comma 10 4 2 3 2" xfId="30259"/>
    <cellStyle name="Comma 10 4 2 3 2 2" xfId="30260"/>
    <cellStyle name="Comma 10 4 2 3 2 3" xfId="30261"/>
    <cellStyle name="Comma 10 4 2 3 3" xfId="30262"/>
    <cellStyle name="Comma 10 4 2 3 3 2" xfId="30263"/>
    <cellStyle name="Comma 10 4 2 3 3 3" xfId="30264"/>
    <cellStyle name="Comma 10 4 2 3 4" xfId="30265"/>
    <cellStyle name="Comma 10 4 2 3 4 2" xfId="30266"/>
    <cellStyle name="Comma 10 4 2 3 5" xfId="30267"/>
    <cellStyle name="Comma 10 4 2 3 6" xfId="30268"/>
    <cellStyle name="Comma 10 4 2 4" xfId="30269"/>
    <cellStyle name="Comma 10 4 2 4 2" xfId="30270"/>
    <cellStyle name="Comma 10 4 2 4 2 2" xfId="30271"/>
    <cellStyle name="Comma 10 4 2 4 2 3" xfId="30272"/>
    <cellStyle name="Comma 10 4 2 4 3" xfId="30273"/>
    <cellStyle name="Comma 10 4 2 4 3 2" xfId="30274"/>
    <cellStyle name="Comma 10 4 2 4 3 3" xfId="30275"/>
    <cellStyle name="Comma 10 4 2 4 4" xfId="30276"/>
    <cellStyle name="Comma 10 4 2 4 4 2" xfId="30277"/>
    <cellStyle name="Comma 10 4 2 4 5" xfId="30278"/>
    <cellStyle name="Comma 10 4 2 4 6" xfId="30279"/>
    <cellStyle name="Comma 10 4 2 5" xfId="30280"/>
    <cellStyle name="Comma 10 4 2 5 2" xfId="30281"/>
    <cellStyle name="Comma 10 4 2 5 2 2" xfId="30282"/>
    <cellStyle name="Comma 10 4 2 5 2 3" xfId="30283"/>
    <cellStyle name="Comma 10 4 2 5 3" xfId="30284"/>
    <cellStyle name="Comma 10 4 2 5 3 2" xfId="30285"/>
    <cellStyle name="Comma 10 4 2 5 4" xfId="30286"/>
    <cellStyle name="Comma 10 4 2 5 5" xfId="30287"/>
    <cellStyle name="Comma 10 4 2 6" xfId="30288"/>
    <cellStyle name="Comma 10 4 2 6 2" xfId="30289"/>
    <cellStyle name="Comma 10 4 2 6 3" xfId="30290"/>
    <cellStyle name="Comma 10 4 2 7" xfId="30291"/>
    <cellStyle name="Comma 10 4 2 7 2" xfId="30292"/>
    <cellStyle name="Comma 10 4 2 7 3" xfId="30293"/>
    <cellStyle name="Comma 10 4 2 8" xfId="30294"/>
    <cellStyle name="Comma 10 4 2 8 2" xfId="30295"/>
    <cellStyle name="Comma 10 4 2 9" xfId="30296"/>
    <cellStyle name="Comma 10 4 3" xfId="3225"/>
    <cellStyle name="Comma 10 4 3 2" xfId="3226"/>
    <cellStyle name="Comma 10 4 3 2 2" xfId="30297"/>
    <cellStyle name="Comma 10 4 3 2 2 2" xfId="30298"/>
    <cellStyle name="Comma 10 4 3 2 2 3" xfId="30299"/>
    <cellStyle name="Comma 10 4 3 2 3" xfId="30300"/>
    <cellStyle name="Comma 10 4 3 2 3 2" xfId="30301"/>
    <cellStyle name="Comma 10 4 3 2 3 3" xfId="30302"/>
    <cellStyle name="Comma 10 4 3 2 4" xfId="30303"/>
    <cellStyle name="Comma 10 4 3 2 4 2" xfId="30304"/>
    <cellStyle name="Comma 10 4 3 2 5" xfId="30305"/>
    <cellStyle name="Comma 10 4 3 2 6" xfId="30306"/>
    <cellStyle name="Comma 10 4 3 3" xfId="30307"/>
    <cellStyle name="Comma 10 4 3 3 2" xfId="30308"/>
    <cellStyle name="Comma 10 4 3 3 2 2" xfId="30309"/>
    <cellStyle name="Comma 10 4 3 3 2 3" xfId="30310"/>
    <cellStyle name="Comma 10 4 3 3 3" xfId="30311"/>
    <cellStyle name="Comma 10 4 3 3 3 2" xfId="30312"/>
    <cellStyle name="Comma 10 4 3 3 3 3" xfId="30313"/>
    <cellStyle name="Comma 10 4 3 3 4" xfId="30314"/>
    <cellStyle name="Comma 10 4 3 3 4 2" xfId="30315"/>
    <cellStyle name="Comma 10 4 3 3 5" xfId="30316"/>
    <cellStyle name="Comma 10 4 3 3 6" xfId="30317"/>
    <cellStyle name="Comma 10 4 3 4" xfId="30318"/>
    <cellStyle name="Comma 10 4 3 4 2" xfId="30319"/>
    <cellStyle name="Comma 10 4 3 4 2 2" xfId="30320"/>
    <cellStyle name="Comma 10 4 3 4 2 3" xfId="30321"/>
    <cellStyle name="Comma 10 4 3 4 3" xfId="30322"/>
    <cellStyle name="Comma 10 4 3 4 3 2" xfId="30323"/>
    <cellStyle name="Comma 10 4 3 4 4" xfId="30324"/>
    <cellStyle name="Comma 10 4 3 4 5" xfId="30325"/>
    <cellStyle name="Comma 10 4 3 5" xfId="30326"/>
    <cellStyle name="Comma 10 4 3 5 2" xfId="30327"/>
    <cellStyle name="Comma 10 4 3 5 3" xfId="30328"/>
    <cellStyle name="Comma 10 4 3 6" xfId="30329"/>
    <cellStyle name="Comma 10 4 3 6 2" xfId="30330"/>
    <cellStyle name="Comma 10 4 3 6 3" xfId="30331"/>
    <cellStyle name="Comma 10 4 3 7" xfId="30332"/>
    <cellStyle name="Comma 10 4 3 7 2" xfId="30333"/>
    <cellStyle name="Comma 10 4 3 8" xfId="30334"/>
    <cellStyle name="Comma 10 4 3 9" xfId="30335"/>
    <cellStyle name="Comma 10 4 4" xfId="3227"/>
    <cellStyle name="Comma 10 4 4 2" xfId="30336"/>
    <cellStyle name="Comma 10 4 4 2 2" xfId="30337"/>
    <cellStyle name="Comma 10 4 4 2 2 2" xfId="30338"/>
    <cellStyle name="Comma 10 4 4 2 2 3" xfId="30339"/>
    <cellStyle name="Comma 10 4 4 2 3" xfId="30340"/>
    <cellStyle name="Comma 10 4 4 2 3 2" xfId="30341"/>
    <cellStyle name="Comma 10 4 4 2 3 3" xfId="30342"/>
    <cellStyle name="Comma 10 4 4 2 4" xfId="30343"/>
    <cellStyle name="Comma 10 4 4 2 4 2" xfId="30344"/>
    <cellStyle name="Comma 10 4 4 2 5" xfId="30345"/>
    <cellStyle name="Comma 10 4 4 2 6" xfId="30346"/>
    <cellStyle name="Comma 10 4 4 3" xfId="30347"/>
    <cellStyle name="Comma 10 4 4 3 2" xfId="30348"/>
    <cellStyle name="Comma 10 4 4 3 2 2" xfId="30349"/>
    <cellStyle name="Comma 10 4 4 3 2 3" xfId="30350"/>
    <cellStyle name="Comma 10 4 4 3 3" xfId="30351"/>
    <cellStyle name="Comma 10 4 4 3 3 2" xfId="30352"/>
    <cellStyle name="Comma 10 4 4 3 3 3" xfId="30353"/>
    <cellStyle name="Comma 10 4 4 3 4" xfId="30354"/>
    <cellStyle name="Comma 10 4 4 3 4 2" xfId="30355"/>
    <cellStyle name="Comma 10 4 4 3 5" xfId="30356"/>
    <cellStyle name="Comma 10 4 4 3 6" xfId="30357"/>
    <cellStyle name="Comma 10 4 4 4" xfId="30358"/>
    <cellStyle name="Comma 10 4 4 4 2" xfId="30359"/>
    <cellStyle name="Comma 10 4 4 4 2 2" xfId="30360"/>
    <cellStyle name="Comma 10 4 4 4 2 3" xfId="30361"/>
    <cellStyle name="Comma 10 4 4 4 3" xfId="30362"/>
    <cellStyle name="Comma 10 4 4 4 3 2" xfId="30363"/>
    <cellStyle name="Comma 10 4 4 4 4" xfId="30364"/>
    <cellStyle name="Comma 10 4 4 4 5" xfId="30365"/>
    <cellStyle name="Comma 10 4 4 5" xfId="30366"/>
    <cellStyle name="Comma 10 4 4 5 2" xfId="30367"/>
    <cellStyle name="Comma 10 4 4 5 3" xfId="30368"/>
    <cellStyle name="Comma 10 4 4 6" xfId="30369"/>
    <cellStyle name="Comma 10 4 4 6 2" xfId="30370"/>
    <cellStyle name="Comma 10 4 4 6 3" xfId="30371"/>
    <cellStyle name="Comma 10 4 4 7" xfId="30372"/>
    <cellStyle name="Comma 10 4 4 7 2" xfId="30373"/>
    <cellStyle name="Comma 10 4 4 8" xfId="30374"/>
    <cellStyle name="Comma 10 4 4 9" xfId="30375"/>
    <cellStyle name="Comma 10 4 5" xfId="30376"/>
    <cellStyle name="Comma 10 4 5 2" xfId="30377"/>
    <cellStyle name="Comma 10 4 5 2 2" xfId="30378"/>
    <cellStyle name="Comma 10 4 5 2 3" xfId="30379"/>
    <cellStyle name="Comma 10 4 5 3" xfId="30380"/>
    <cellStyle name="Comma 10 4 5 3 2" xfId="30381"/>
    <cellStyle name="Comma 10 4 5 3 3" xfId="30382"/>
    <cellStyle name="Comma 10 4 5 4" xfId="30383"/>
    <cellStyle name="Comma 10 4 5 4 2" xfId="30384"/>
    <cellStyle name="Comma 10 4 5 5" xfId="30385"/>
    <cellStyle name="Comma 10 4 5 6" xfId="30386"/>
    <cellStyle name="Comma 10 4 6" xfId="30387"/>
    <cellStyle name="Comma 10 4 6 2" xfId="30388"/>
    <cellStyle name="Comma 10 4 6 2 2" xfId="30389"/>
    <cellStyle name="Comma 10 4 6 2 3" xfId="30390"/>
    <cellStyle name="Comma 10 4 6 3" xfId="30391"/>
    <cellStyle name="Comma 10 4 6 3 2" xfId="30392"/>
    <cellStyle name="Comma 10 4 6 3 3" xfId="30393"/>
    <cellStyle name="Comma 10 4 6 4" xfId="30394"/>
    <cellStyle name="Comma 10 4 6 4 2" xfId="30395"/>
    <cellStyle name="Comma 10 4 6 5" xfId="30396"/>
    <cellStyle name="Comma 10 4 6 6" xfId="30397"/>
    <cellStyle name="Comma 10 4 7" xfId="30398"/>
    <cellStyle name="Comma 10 4 7 2" xfId="30399"/>
    <cellStyle name="Comma 10 4 7 2 2" xfId="30400"/>
    <cellStyle name="Comma 10 4 7 2 3" xfId="30401"/>
    <cellStyle name="Comma 10 4 7 3" xfId="30402"/>
    <cellStyle name="Comma 10 4 7 3 2" xfId="30403"/>
    <cellStyle name="Comma 10 4 7 4" xfId="30404"/>
    <cellStyle name="Comma 10 4 7 5" xfId="30405"/>
    <cellStyle name="Comma 10 4 8" xfId="30406"/>
    <cellStyle name="Comma 10 4 8 2" xfId="30407"/>
    <cellStyle name="Comma 10 4 8 3" xfId="30408"/>
    <cellStyle name="Comma 10 4 9" xfId="30409"/>
    <cellStyle name="Comma 10 4 9 2" xfId="30410"/>
    <cellStyle name="Comma 10 4 9 3" xfId="30411"/>
    <cellStyle name="Comma 10 5" xfId="3228"/>
    <cellStyle name="Comma 10 5 10" xfId="30412"/>
    <cellStyle name="Comma 10 5 2" xfId="3229"/>
    <cellStyle name="Comma 10 5 2 2" xfId="3230"/>
    <cellStyle name="Comma 10 5 2 2 2" xfId="30413"/>
    <cellStyle name="Comma 10 5 2 2 2 2" xfId="30414"/>
    <cellStyle name="Comma 10 5 2 2 2 3" xfId="30415"/>
    <cellStyle name="Comma 10 5 2 2 3" xfId="30416"/>
    <cellStyle name="Comma 10 5 2 2 3 2" xfId="30417"/>
    <cellStyle name="Comma 10 5 2 2 3 3" xfId="30418"/>
    <cellStyle name="Comma 10 5 2 2 4" xfId="30419"/>
    <cellStyle name="Comma 10 5 2 2 4 2" xfId="30420"/>
    <cellStyle name="Comma 10 5 2 2 5" xfId="30421"/>
    <cellStyle name="Comma 10 5 2 2 6" xfId="30422"/>
    <cellStyle name="Comma 10 5 2 3" xfId="30423"/>
    <cellStyle name="Comma 10 5 2 3 2" xfId="30424"/>
    <cellStyle name="Comma 10 5 2 3 2 2" xfId="30425"/>
    <cellStyle name="Comma 10 5 2 3 2 3" xfId="30426"/>
    <cellStyle name="Comma 10 5 2 3 3" xfId="30427"/>
    <cellStyle name="Comma 10 5 2 3 3 2" xfId="30428"/>
    <cellStyle name="Comma 10 5 2 3 3 3" xfId="30429"/>
    <cellStyle name="Comma 10 5 2 3 4" xfId="30430"/>
    <cellStyle name="Comma 10 5 2 3 4 2" xfId="30431"/>
    <cellStyle name="Comma 10 5 2 3 5" xfId="30432"/>
    <cellStyle name="Comma 10 5 2 3 6" xfId="30433"/>
    <cellStyle name="Comma 10 5 2 4" xfId="30434"/>
    <cellStyle name="Comma 10 5 2 4 2" xfId="30435"/>
    <cellStyle name="Comma 10 5 2 4 2 2" xfId="30436"/>
    <cellStyle name="Comma 10 5 2 4 2 3" xfId="30437"/>
    <cellStyle name="Comma 10 5 2 4 3" xfId="30438"/>
    <cellStyle name="Comma 10 5 2 4 3 2" xfId="30439"/>
    <cellStyle name="Comma 10 5 2 4 4" xfId="30440"/>
    <cellStyle name="Comma 10 5 2 4 5" xfId="30441"/>
    <cellStyle name="Comma 10 5 2 5" xfId="30442"/>
    <cellStyle name="Comma 10 5 2 5 2" xfId="30443"/>
    <cellStyle name="Comma 10 5 2 5 3" xfId="30444"/>
    <cellStyle name="Comma 10 5 2 6" xfId="30445"/>
    <cellStyle name="Comma 10 5 2 6 2" xfId="30446"/>
    <cellStyle name="Comma 10 5 2 6 3" xfId="30447"/>
    <cellStyle name="Comma 10 5 2 7" xfId="30448"/>
    <cellStyle name="Comma 10 5 2 7 2" xfId="30449"/>
    <cellStyle name="Comma 10 5 2 8" xfId="30450"/>
    <cellStyle name="Comma 10 5 2 9" xfId="30451"/>
    <cellStyle name="Comma 10 5 3" xfId="3231"/>
    <cellStyle name="Comma 10 5 3 2" xfId="30452"/>
    <cellStyle name="Comma 10 5 3 2 2" xfId="30453"/>
    <cellStyle name="Comma 10 5 3 2 3" xfId="30454"/>
    <cellStyle name="Comma 10 5 3 3" xfId="30455"/>
    <cellStyle name="Comma 10 5 3 3 2" xfId="30456"/>
    <cellStyle name="Comma 10 5 3 3 3" xfId="30457"/>
    <cellStyle name="Comma 10 5 3 4" xfId="30458"/>
    <cellStyle name="Comma 10 5 3 4 2" xfId="30459"/>
    <cellStyle name="Comma 10 5 3 5" xfId="30460"/>
    <cellStyle name="Comma 10 5 3 6" xfId="30461"/>
    <cellStyle name="Comma 10 5 4" xfId="30462"/>
    <cellStyle name="Comma 10 5 4 2" xfId="30463"/>
    <cellStyle name="Comma 10 5 4 2 2" xfId="30464"/>
    <cellStyle name="Comma 10 5 4 2 3" xfId="30465"/>
    <cellStyle name="Comma 10 5 4 3" xfId="30466"/>
    <cellStyle name="Comma 10 5 4 3 2" xfId="30467"/>
    <cellStyle name="Comma 10 5 4 3 3" xfId="30468"/>
    <cellStyle name="Comma 10 5 4 4" xfId="30469"/>
    <cellStyle name="Comma 10 5 4 4 2" xfId="30470"/>
    <cellStyle name="Comma 10 5 4 5" xfId="30471"/>
    <cellStyle name="Comma 10 5 4 6" xfId="30472"/>
    <cellStyle name="Comma 10 5 5" xfId="30473"/>
    <cellStyle name="Comma 10 5 5 2" xfId="30474"/>
    <cellStyle name="Comma 10 5 5 2 2" xfId="30475"/>
    <cellStyle name="Comma 10 5 5 2 3" xfId="30476"/>
    <cellStyle name="Comma 10 5 5 3" xfId="30477"/>
    <cellStyle name="Comma 10 5 5 3 2" xfId="30478"/>
    <cellStyle name="Comma 10 5 5 4" xfId="30479"/>
    <cellStyle name="Comma 10 5 5 5" xfId="30480"/>
    <cellStyle name="Comma 10 5 6" xfId="30481"/>
    <cellStyle name="Comma 10 5 6 2" xfId="30482"/>
    <cellStyle name="Comma 10 5 6 3" xfId="30483"/>
    <cellStyle name="Comma 10 5 7" xfId="30484"/>
    <cellStyle name="Comma 10 5 7 2" xfId="30485"/>
    <cellStyle name="Comma 10 5 7 3" xfId="30486"/>
    <cellStyle name="Comma 10 5 8" xfId="30487"/>
    <cellStyle name="Comma 10 5 8 2" xfId="30488"/>
    <cellStyle name="Comma 10 5 9" xfId="30489"/>
    <cellStyle name="Comma 10 6" xfId="3232"/>
    <cellStyle name="Comma 10 6 2" xfId="3233"/>
    <cellStyle name="Comma 10 6 2 2" xfId="30490"/>
    <cellStyle name="Comma 10 6 2 2 2" xfId="30491"/>
    <cellStyle name="Comma 10 6 2 2 3" xfId="30492"/>
    <cellStyle name="Comma 10 6 2 3" xfId="30493"/>
    <cellStyle name="Comma 10 6 2 3 2" xfId="30494"/>
    <cellStyle name="Comma 10 6 2 3 3" xfId="30495"/>
    <cellStyle name="Comma 10 6 2 4" xfId="30496"/>
    <cellStyle name="Comma 10 6 2 4 2" xfId="30497"/>
    <cellStyle name="Comma 10 6 2 5" xfId="30498"/>
    <cellStyle name="Comma 10 6 2 6" xfId="30499"/>
    <cellStyle name="Comma 10 6 3" xfId="30500"/>
    <cellStyle name="Comma 10 6 3 2" xfId="30501"/>
    <cellStyle name="Comma 10 6 3 2 2" xfId="30502"/>
    <cellStyle name="Comma 10 6 3 2 3" xfId="30503"/>
    <cellStyle name="Comma 10 6 3 3" xfId="30504"/>
    <cellStyle name="Comma 10 6 3 3 2" xfId="30505"/>
    <cellStyle name="Comma 10 6 3 3 3" xfId="30506"/>
    <cellStyle name="Comma 10 6 3 4" xfId="30507"/>
    <cellStyle name="Comma 10 6 3 4 2" xfId="30508"/>
    <cellStyle name="Comma 10 6 3 5" xfId="30509"/>
    <cellStyle name="Comma 10 6 3 6" xfId="30510"/>
    <cellStyle name="Comma 10 6 4" xfId="30511"/>
    <cellStyle name="Comma 10 6 4 2" xfId="30512"/>
    <cellStyle name="Comma 10 6 4 2 2" xfId="30513"/>
    <cellStyle name="Comma 10 6 4 2 3" xfId="30514"/>
    <cellStyle name="Comma 10 6 4 3" xfId="30515"/>
    <cellStyle name="Comma 10 6 4 3 2" xfId="30516"/>
    <cellStyle name="Comma 10 6 4 4" xfId="30517"/>
    <cellStyle name="Comma 10 6 4 5" xfId="30518"/>
    <cellStyle name="Comma 10 6 5" xfId="30519"/>
    <cellStyle name="Comma 10 6 5 2" xfId="30520"/>
    <cellStyle name="Comma 10 6 5 3" xfId="30521"/>
    <cellStyle name="Comma 10 6 6" xfId="30522"/>
    <cellStyle name="Comma 10 6 6 2" xfId="30523"/>
    <cellStyle name="Comma 10 6 6 3" xfId="30524"/>
    <cellStyle name="Comma 10 6 7" xfId="30525"/>
    <cellStyle name="Comma 10 6 7 2" xfId="30526"/>
    <cellStyle name="Comma 10 6 8" xfId="30527"/>
    <cellStyle name="Comma 10 6 9" xfId="30528"/>
    <cellStyle name="Comma 10 7" xfId="3234"/>
    <cellStyle name="Comma 10 7 2" xfId="30529"/>
    <cellStyle name="Comma 10 7 2 2" xfId="30530"/>
    <cellStyle name="Comma 10 7 2 2 2" xfId="30531"/>
    <cellStyle name="Comma 10 7 2 2 3" xfId="30532"/>
    <cellStyle name="Comma 10 7 2 3" xfId="30533"/>
    <cellStyle name="Comma 10 7 2 3 2" xfId="30534"/>
    <cellStyle name="Comma 10 7 2 3 3" xfId="30535"/>
    <cellStyle name="Comma 10 7 2 4" xfId="30536"/>
    <cellStyle name="Comma 10 7 2 4 2" xfId="30537"/>
    <cellStyle name="Comma 10 7 2 5" xfId="30538"/>
    <cellStyle name="Comma 10 7 2 6" xfId="30539"/>
    <cellStyle name="Comma 10 7 3" xfId="30540"/>
    <cellStyle name="Comma 10 7 3 2" xfId="30541"/>
    <cellStyle name="Comma 10 7 3 2 2" xfId="30542"/>
    <cellStyle name="Comma 10 7 3 2 3" xfId="30543"/>
    <cellStyle name="Comma 10 7 3 3" xfId="30544"/>
    <cellStyle name="Comma 10 7 3 3 2" xfId="30545"/>
    <cellStyle name="Comma 10 7 3 3 3" xfId="30546"/>
    <cellStyle name="Comma 10 7 3 4" xfId="30547"/>
    <cellStyle name="Comma 10 7 3 4 2" xfId="30548"/>
    <cellStyle name="Comma 10 7 3 5" xfId="30549"/>
    <cellStyle name="Comma 10 7 3 6" xfId="30550"/>
    <cellStyle name="Comma 10 7 4" xfId="30551"/>
    <cellStyle name="Comma 10 7 4 2" xfId="30552"/>
    <cellStyle name="Comma 10 7 4 2 2" xfId="30553"/>
    <cellStyle name="Comma 10 7 4 2 3" xfId="30554"/>
    <cellStyle name="Comma 10 7 4 3" xfId="30555"/>
    <cellStyle name="Comma 10 7 4 3 2" xfId="30556"/>
    <cellStyle name="Comma 10 7 4 4" xfId="30557"/>
    <cellStyle name="Comma 10 7 4 5" xfId="30558"/>
    <cellStyle name="Comma 10 7 5" xfId="30559"/>
    <cellStyle name="Comma 10 7 5 2" xfId="30560"/>
    <cellStyle name="Comma 10 7 5 3" xfId="30561"/>
    <cellStyle name="Comma 10 7 6" xfId="30562"/>
    <cellStyle name="Comma 10 7 6 2" xfId="30563"/>
    <cellStyle name="Comma 10 7 6 3" xfId="30564"/>
    <cellStyle name="Comma 10 7 7" xfId="30565"/>
    <cellStyle name="Comma 10 7 7 2" xfId="30566"/>
    <cellStyle name="Comma 10 7 8" xfId="30567"/>
    <cellStyle name="Comma 10 7 9" xfId="30568"/>
    <cellStyle name="Comma 10 8" xfId="3235"/>
    <cellStyle name="Comma 10 8 2" xfId="30569"/>
    <cellStyle name="Comma 10 8 2 2" xfId="30570"/>
    <cellStyle name="Comma 10 8 2 3" xfId="30571"/>
    <cellStyle name="Comma 10 8 3" xfId="30572"/>
    <cellStyle name="Comma 10 8 3 2" xfId="30573"/>
    <cellStyle name="Comma 10 8 3 3" xfId="30574"/>
    <cellStyle name="Comma 10 8 4" xfId="30575"/>
    <cellStyle name="Comma 10 8 4 2" xfId="30576"/>
    <cellStyle name="Comma 10 8 5" xfId="30577"/>
    <cellStyle name="Comma 10 8 6" xfId="30578"/>
    <cellStyle name="Comma 10 9" xfId="3236"/>
    <cellStyle name="Comma 10 9 2" xfId="30579"/>
    <cellStyle name="Comma 10 9 2 2" xfId="30580"/>
    <cellStyle name="Comma 10 9 2 3" xfId="30581"/>
    <cellStyle name="Comma 10 9 3" xfId="30582"/>
    <cellStyle name="Comma 10 9 3 2" xfId="30583"/>
    <cellStyle name="Comma 10 9 3 3" xfId="30584"/>
    <cellStyle name="Comma 10 9 4" xfId="30585"/>
    <cellStyle name="Comma 10 9 4 2" xfId="30586"/>
    <cellStyle name="Comma 10 9 5" xfId="30587"/>
    <cellStyle name="Comma 10 9 6" xfId="30588"/>
    <cellStyle name="Comma 100" xfId="8714"/>
    <cellStyle name="Comma 101" xfId="8715"/>
    <cellStyle name="Comma 102" xfId="8716"/>
    <cellStyle name="Comma 103" xfId="8717"/>
    <cellStyle name="Comma 104" xfId="8718"/>
    <cellStyle name="Comma 105" xfId="8719"/>
    <cellStyle name="Comma 106" xfId="8720"/>
    <cellStyle name="Comma 107" xfId="9082"/>
    <cellStyle name="Comma 108" xfId="30589"/>
    <cellStyle name="Comma 109" xfId="57809"/>
    <cellStyle name="Comma 11" xfId="3237"/>
    <cellStyle name="Comma 11 10" xfId="30590"/>
    <cellStyle name="Comma 11 10 2" xfId="30591"/>
    <cellStyle name="Comma 11 10 2 2" xfId="30592"/>
    <cellStyle name="Comma 11 10 2 3" xfId="30593"/>
    <cellStyle name="Comma 11 10 3" xfId="30594"/>
    <cellStyle name="Comma 11 10 3 2" xfId="30595"/>
    <cellStyle name="Comma 11 10 4" xfId="30596"/>
    <cellStyle name="Comma 11 10 5" xfId="30597"/>
    <cellStyle name="Comma 11 11" xfId="30598"/>
    <cellStyle name="Comma 11 11 2" xfId="30599"/>
    <cellStyle name="Comma 11 11 3" xfId="30600"/>
    <cellStyle name="Comma 11 12" xfId="30601"/>
    <cellStyle name="Comma 11 12 2" xfId="30602"/>
    <cellStyle name="Comma 11 12 3" xfId="30603"/>
    <cellStyle name="Comma 11 13" xfId="30604"/>
    <cellStyle name="Comma 11 13 2" xfId="30605"/>
    <cellStyle name="Comma 11 14" xfId="30606"/>
    <cellStyle name="Comma 11 15" xfId="30607"/>
    <cellStyle name="Comma 11 16" xfId="30608"/>
    <cellStyle name="Comma 11 2" xfId="8210"/>
    <cellStyle name="Comma 11 2 10" xfId="30609"/>
    <cellStyle name="Comma 11 2 10 2" xfId="30610"/>
    <cellStyle name="Comma 11 2 10 3" xfId="30611"/>
    <cellStyle name="Comma 11 2 11" xfId="30612"/>
    <cellStyle name="Comma 11 2 11 2" xfId="30613"/>
    <cellStyle name="Comma 11 2 11 3" xfId="30614"/>
    <cellStyle name="Comma 11 2 12" xfId="30615"/>
    <cellStyle name="Comma 11 2 12 2" xfId="30616"/>
    <cellStyle name="Comma 11 2 13" xfId="30617"/>
    <cellStyle name="Comma 11 2 14" xfId="30618"/>
    <cellStyle name="Comma 11 2 15" xfId="30619"/>
    <cellStyle name="Comma 11 2 2" xfId="8211"/>
    <cellStyle name="Comma 11 2 2 10" xfId="30620"/>
    <cellStyle name="Comma 11 2 2 10 2" xfId="30621"/>
    <cellStyle name="Comma 11 2 2 10 3" xfId="30622"/>
    <cellStyle name="Comma 11 2 2 11" xfId="30623"/>
    <cellStyle name="Comma 11 2 2 11 2" xfId="30624"/>
    <cellStyle name="Comma 11 2 2 12" xfId="30625"/>
    <cellStyle name="Comma 11 2 2 13" xfId="30626"/>
    <cellStyle name="Comma 11 2 2 14" xfId="30627"/>
    <cellStyle name="Comma 11 2 2 2" xfId="8212"/>
    <cellStyle name="Comma 11 2 2 2 10" xfId="30628"/>
    <cellStyle name="Comma 11 2 2 2 10 2" xfId="30629"/>
    <cellStyle name="Comma 11 2 2 2 11" xfId="30630"/>
    <cellStyle name="Comma 11 2 2 2 12" xfId="30631"/>
    <cellStyle name="Comma 11 2 2 2 13" xfId="30632"/>
    <cellStyle name="Comma 11 2 2 2 2" xfId="8213"/>
    <cellStyle name="Comma 11 2 2 2 2 10" xfId="30633"/>
    <cellStyle name="Comma 11 2 2 2 2 2" xfId="30634"/>
    <cellStyle name="Comma 11 2 2 2 2 2 2" xfId="30635"/>
    <cellStyle name="Comma 11 2 2 2 2 2 2 2" xfId="30636"/>
    <cellStyle name="Comma 11 2 2 2 2 2 2 2 2" xfId="30637"/>
    <cellStyle name="Comma 11 2 2 2 2 2 2 2 3" xfId="30638"/>
    <cellStyle name="Comma 11 2 2 2 2 2 2 3" xfId="30639"/>
    <cellStyle name="Comma 11 2 2 2 2 2 2 3 2" xfId="30640"/>
    <cellStyle name="Comma 11 2 2 2 2 2 2 3 3" xfId="30641"/>
    <cellStyle name="Comma 11 2 2 2 2 2 2 4" xfId="30642"/>
    <cellStyle name="Comma 11 2 2 2 2 2 2 4 2" xfId="30643"/>
    <cellStyle name="Comma 11 2 2 2 2 2 2 5" xfId="30644"/>
    <cellStyle name="Comma 11 2 2 2 2 2 2 6" xfId="30645"/>
    <cellStyle name="Comma 11 2 2 2 2 2 3" xfId="30646"/>
    <cellStyle name="Comma 11 2 2 2 2 2 3 2" xfId="30647"/>
    <cellStyle name="Comma 11 2 2 2 2 2 3 2 2" xfId="30648"/>
    <cellStyle name="Comma 11 2 2 2 2 2 3 2 3" xfId="30649"/>
    <cellStyle name="Comma 11 2 2 2 2 2 3 3" xfId="30650"/>
    <cellStyle name="Comma 11 2 2 2 2 2 3 3 2" xfId="30651"/>
    <cellStyle name="Comma 11 2 2 2 2 2 3 3 3" xfId="30652"/>
    <cellStyle name="Comma 11 2 2 2 2 2 3 4" xfId="30653"/>
    <cellStyle name="Comma 11 2 2 2 2 2 3 4 2" xfId="30654"/>
    <cellStyle name="Comma 11 2 2 2 2 2 3 5" xfId="30655"/>
    <cellStyle name="Comma 11 2 2 2 2 2 3 6" xfId="30656"/>
    <cellStyle name="Comma 11 2 2 2 2 2 4" xfId="30657"/>
    <cellStyle name="Comma 11 2 2 2 2 2 4 2" xfId="30658"/>
    <cellStyle name="Comma 11 2 2 2 2 2 4 2 2" xfId="30659"/>
    <cellStyle name="Comma 11 2 2 2 2 2 4 2 3" xfId="30660"/>
    <cellStyle name="Comma 11 2 2 2 2 2 4 3" xfId="30661"/>
    <cellStyle name="Comma 11 2 2 2 2 2 4 3 2" xfId="30662"/>
    <cellStyle name="Comma 11 2 2 2 2 2 4 4" xfId="30663"/>
    <cellStyle name="Comma 11 2 2 2 2 2 4 5" xfId="30664"/>
    <cellStyle name="Comma 11 2 2 2 2 2 5" xfId="30665"/>
    <cellStyle name="Comma 11 2 2 2 2 2 5 2" xfId="30666"/>
    <cellStyle name="Comma 11 2 2 2 2 2 5 3" xfId="30667"/>
    <cellStyle name="Comma 11 2 2 2 2 2 6" xfId="30668"/>
    <cellStyle name="Comma 11 2 2 2 2 2 6 2" xfId="30669"/>
    <cellStyle name="Comma 11 2 2 2 2 2 6 3" xfId="30670"/>
    <cellStyle name="Comma 11 2 2 2 2 2 7" xfId="30671"/>
    <cellStyle name="Comma 11 2 2 2 2 2 7 2" xfId="30672"/>
    <cellStyle name="Comma 11 2 2 2 2 2 8" xfId="30673"/>
    <cellStyle name="Comma 11 2 2 2 2 2 9" xfId="30674"/>
    <cellStyle name="Comma 11 2 2 2 2 3" xfId="30675"/>
    <cellStyle name="Comma 11 2 2 2 2 3 2" xfId="30676"/>
    <cellStyle name="Comma 11 2 2 2 2 3 2 2" xfId="30677"/>
    <cellStyle name="Comma 11 2 2 2 2 3 2 3" xfId="30678"/>
    <cellStyle name="Comma 11 2 2 2 2 3 3" xfId="30679"/>
    <cellStyle name="Comma 11 2 2 2 2 3 3 2" xfId="30680"/>
    <cellStyle name="Comma 11 2 2 2 2 3 3 3" xfId="30681"/>
    <cellStyle name="Comma 11 2 2 2 2 3 4" xfId="30682"/>
    <cellStyle name="Comma 11 2 2 2 2 3 4 2" xfId="30683"/>
    <cellStyle name="Comma 11 2 2 2 2 3 5" xfId="30684"/>
    <cellStyle name="Comma 11 2 2 2 2 3 6" xfId="30685"/>
    <cellStyle name="Comma 11 2 2 2 2 4" xfId="30686"/>
    <cellStyle name="Comma 11 2 2 2 2 4 2" xfId="30687"/>
    <cellStyle name="Comma 11 2 2 2 2 4 2 2" xfId="30688"/>
    <cellStyle name="Comma 11 2 2 2 2 4 2 3" xfId="30689"/>
    <cellStyle name="Comma 11 2 2 2 2 4 3" xfId="30690"/>
    <cellStyle name="Comma 11 2 2 2 2 4 3 2" xfId="30691"/>
    <cellStyle name="Comma 11 2 2 2 2 4 3 3" xfId="30692"/>
    <cellStyle name="Comma 11 2 2 2 2 4 4" xfId="30693"/>
    <cellStyle name="Comma 11 2 2 2 2 4 4 2" xfId="30694"/>
    <cellStyle name="Comma 11 2 2 2 2 4 5" xfId="30695"/>
    <cellStyle name="Comma 11 2 2 2 2 4 6" xfId="30696"/>
    <cellStyle name="Comma 11 2 2 2 2 5" xfId="30697"/>
    <cellStyle name="Comma 11 2 2 2 2 5 2" xfId="30698"/>
    <cellStyle name="Comma 11 2 2 2 2 5 2 2" xfId="30699"/>
    <cellStyle name="Comma 11 2 2 2 2 5 2 3" xfId="30700"/>
    <cellStyle name="Comma 11 2 2 2 2 5 3" xfId="30701"/>
    <cellStyle name="Comma 11 2 2 2 2 5 3 2" xfId="30702"/>
    <cellStyle name="Comma 11 2 2 2 2 5 4" xfId="30703"/>
    <cellStyle name="Comma 11 2 2 2 2 5 5" xfId="30704"/>
    <cellStyle name="Comma 11 2 2 2 2 6" xfId="30705"/>
    <cellStyle name="Comma 11 2 2 2 2 6 2" xfId="30706"/>
    <cellStyle name="Comma 11 2 2 2 2 6 3" xfId="30707"/>
    <cellStyle name="Comma 11 2 2 2 2 7" xfId="30708"/>
    <cellStyle name="Comma 11 2 2 2 2 7 2" xfId="30709"/>
    <cellStyle name="Comma 11 2 2 2 2 7 3" xfId="30710"/>
    <cellStyle name="Comma 11 2 2 2 2 8" xfId="30711"/>
    <cellStyle name="Comma 11 2 2 2 2 8 2" xfId="30712"/>
    <cellStyle name="Comma 11 2 2 2 2 9" xfId="30713"/>
    <cellStyle name="Comma 11 2 2 2 3" xfId="30714"/>
    <cellStyle name="Comma 11 2 2 2 3 2" xfId="30715"/>
    <cellStyle name="Comma 11 2 2 2 3 2 2" xfId="30716"/>
    <cellStyle name="Comma 11 2 2 2 3 2 2 2" xfId="30717"/>
    <cellStyle name="Comma 11 2 2 2 3 2 2 3" xfId="30718"/>
    <cellStyle name="Comma 11 2 2 2 3 2 3" xfId="30719"/>
    <cellStyle name="Comma 11 2 2 2 3 2 3 2" xfId="30720"/>
    <cellStyle name="Comma 11 2 2 2 3 2 3 3" xfId="30721"/>
    <cellStyle name="Comma 11 2 2 2 3 2 4" xfId="30722"/>
    <cellStyle name="Comma 11 2 2 2 3 2 4 2" xfId="30723"/>
    <cellStyle name="Comma 11 2 2 2 3 2 5" xfId="30724"/>
    <cellStyle name="Comma 11 2 2 2 3 2 6" xfId="30725"/>
    <cellStyle name="Comma 11 2 2 2 3 3" xfId="30726"/>
    <cellStyle name="Comma 11 2 2 2 3 3 2" xfId="30727"/>
    <cellStyle name="Comma 11 2 2 2 3 3 2 2" xfId="30728"/>
    <cellStyle name="Comma 11 2 2 2 3 3 2 3" xfId="30729"/>
    <cellStyle name="Comma 11 2 2 2 3 3 3" xfId="30730"/>
    <cellStyle name="Comma 11 2 2 2 3 3 3 2" xfId="30731"/>
    <cellStyle name="Comma 11 2 2 2 3 3 3 3" xfId="30732"/>
    <cellStyle name="Comma 11 2 2 2 3 3 4" xfId="30733"/>
    <cellStyle name="Comma 11 2 2 2 3 3 4 2" xfId="30734"/>
    <cellStyle name="Comma 11 2 2 2 3 3 5" xfId="30735"/>
    <cellStyle name="Comma 11 2 2 2 3 3 6" xfId="30736"/>
    <cellStyle name="Comma 11 2 2 2 3 4" xfId="30737"/>
    <cellStyle name="Comma 11 2 2 2 3 4 2" xfId="30738"/>
    <cellStyle name="Comma 11 2 2 2 3 4 2 2" xfId="30739"/>
    <cellStyle name="Comma 11 2 2 2 3 4 2 3" xfId="30740"/>
    <cellStyle name="Comma 11 2 2 2 3 4 3" xfId="30741"/>
    <cellStyle name="Comma 11 2 2 2 3 4 3 2" xfId="30742"/>
    <cellStyle name="Comma 11 2 2 2 3 4 4" xfId="30743"/>
    <cellStyle name="Comma 11 2 2 2 3 4 5" xfId="30744"/>
    <cellStyle name="Comma 11 2 2 2 3 5" xfId="30745"/>
    <cellStyle name="Comma 11 2 2 2 3 5 2" xfId="30746"/>
    <cellStyle name="Comma 11 2 2 2 3 5 3" xfId="30747"/>
    <cellStyle name="Comma 11 2 2 2 3 6" xfId="30748"/>
    <cellStyle name="Comma 11 2 2 2 3 6 2" xfId="30749"/>
    <cellStyle name="Comma 11 2 2 2 3 6 3" xfId="30750"/>
    <cellStyle name="Comma 11 2 2 2 3 7" xfId="30751"/>
    <cellStyle name="Comma 11 2 2 2 3 7 2" xfId="30752"/>
    <cellStyle name="Comma 11 2 2 2 3 8" xfId="30753"/>
    <cellStyle name="Comma 11 2 2 2 3 9" xfId="30754"/>
    <cellStyle name="Comma 11 2 2 2 4" xfId="30755"/>
    <cellStyle name="Comma 11 2 2 2 4 2" xfId="30756"/>
    <cellStyle name="Comma 11 2 2 2 4 2 2" xfId="30757"/>
    <cellStyle name="Comma 11 2 2 2 4 2 2 2" xfId="30758"/>
    <cellStyle name="Comma 11 2 2 2 4 2 2 3" xfId="30759"/>
    <cellStyle name="Comma 11 2 2 2 4 2 3" xfId="30760"/>
    <cellStyle name="Comma 11 2 2 2 4 2 3 2" xfId="30761"/>
    <cellStyle name="Comma 11 2 2 2 4 2 3 3" xfId="30762"/>
    <cellStyle name="Comma 11 2 2 2 4 2 4" xfId="30763"/>
    <cellStyle name="Comma 11 2 2 2 4 2 4 2" xfId="30764"/>
    <cellStyle name="Comma 11 2 2 2 4 2 5" xfId="30765"/>
    <cellStyle name="Comma 11 2 2 2 4 2 6" xfId="30766"/>
    <cellStyle name="Comma 11 2 2 2 4 3" xfId="30767"/>
    <cellStyle name="Comma 11 2 2 2 4 3 2" xfId="30768"/>
    <cellStyle name="Comma 11 2 2 2 4 3 2 2" xfId="30769"/>
    <cellStyle name="Comma 11 2 2 2 4 3 2 3" xfId="30770"/>
    <cellStyle name="Comma 11 2 2 2 4 3 3" xfId="30771"/>
    <cellStyle name="Comma 11 2 2 2 4 3 3 2" xfId="30772"/>
    <cellStyle name="Comma 11 2 2 2 4 3 3 3" xfId="30773"/>
    <cellStyle name="Comma 11 2 2 2 4 3 4" xfId="30774"/>
    <cellStyle name="Comma 11 2 2 2 4 3 4 2" xfId="30775"/>
    <cellStyle name="Comma 11 2 2 2 4 3 5" xfId="30776"/>
    <cellStyle name="Comma 11 2 2 2 4 3 6" xfId="30777"/>
    <cellStyle name="Comma 11 2 2 2 4 4" xfId="30778"/>
    <cellStyle name="Comma 11 2 2 2 4 4 2" xfId="30779"/>
    <cellStyle name="Comma 11 2 2 2 4 4 2 2" xfId="30780"/>
    <cellStyle name="Comma 11 2 2 2 4 4 2 3" xfId="30781"/>
    <cellStyle name="Comma 11 2 2 2 4 4 3" xfId="30782"/>
    <cellStyle name="Comma 11 2 2 2 4 4 3 2" xfId="30783"/>
    <cellStyle name="Comma 11 2 2 2 4 4 4" xfId="30784"/>
    <cellStyle name="Comma 11 2 2 2 4 4 5" xfId="30785"/>
    <cellStyle name="Comma 11 2 2 2 4 5" xfId="30786"/>
    <cellStyle name="Comma 11 2 2 2 4 5 2" xfId="30787"/>
    <cellStyle name="Comma 11 2 2 2 4 5 3" xfId="30788"/>
    <cellStyle name="Comma 11 2 2 2 4 6" xfId="30789"/>
    <cellStyle name="Comma 11 2 2 2 4 6 2" xfId="30790"/>
    <cellStyle name="Comma 11 2 2 2 4 6 3" xfId="30791"/>
    <cellStyle name="Comma 11 2 2 2 4 7" xfId="30792"/>
    <cellStyle name="Comma 11 2 2 2 4 7 2" xfId="30793"/>
    <cellStyle name="Comma 11 2 2 2 4 8" xfId="30794"/>
    <cellStyle name="Comma 11 2 2 2 4 9" xfId="30795"/>
    <cellStyle name="Comma 11 2 2 2 5" xfId="30796"/>
    <cellStyle name="Comma 11 2 2 2 5 2" xfId="30797"/>
    <cellStyle name="Comma 11 2 2 2 5 2 2" xfId="30798"/>
    <cellStyle name="Comma 11 2 2 2 5 2 3" xfId="30799"/>
    <cellStyle name="Comma 11 2 2 2 5 3" xfId="30800"/>
    <cellStyle name="Comma 11 2 2 2 5 3 2" xfId="30801"/>
    <cellStyle name="Comma 11 2 2 2 5 3 3" xfId="30802"/>
    <cellStyle name="Comma 11 2 2 2 5 4" xfId="30803"/>
    <cellStyle name="Comma 11 2 2 2 5 4 2" xfId="30804"/>
    <cellStyle name="Comma 11 2 2 2 5 5" xfId="30805"/>
    <cellStyle name="Comma 11 2 2 2 5 6" xfId="30806"/>
    <cellStyle name="Comma 11 2 2 2 6" xfId="30807"/>
    <cellStyle name="Comma 11 2 2 2 6 2" xfId="30808"/>
    <cellStyle name="Comma 11 2 2 2 6 2 2" xfId="30809"/>
    <cellStyle name="Comma 11 2 2 2 6 2 3" xfId="30810"/>
    <cellStyle name="Comma 11 2 2 2 6 3" xfId="30811"/>
    <cellStyle name="Comma 11 2 2 2 6 3 2" xfId="30812"/>
    <cellStyle name="Comma 11 2 2 2 6 3 3" xfId="30813"/>
    <cellStyle name="Comma 11 2 2 2 6 4" xfId="30814"/>
    <cellStyle name="Comma 11 2 2 2 6 4 2" xfId="30815"/>
    <cellStyle name="Comma 11 2 2 2 6 5" xfId="30816"/>
    <cellStyle name="Comma 11 2 2 2 6 6" xfId="30817"/>
    <cellStyle name="Comma 11 2 2 2 7" xfId="30818"/>
    <cellStyle name="Comma 11 2 2 2 7 2" xfId="30819"/>
    <cellStyle name="Comma 11 2 2 2 7 2 2" xfId="30820"/>
    <cellStyle name="Comma 11 2 2 2 7 2 3" xfId="30821"/>
    <cellStyle name="Comma 11 2 2 2 7 3" xfId="30822"/>
    <cellStyle name="Comma 11 2 2 2 7 3 2" xfId="30823"/>
    <cellStyle name="Comma 11 2 2 2 7 4" xfId="30824"/>
    <cellStyle name="Comma 11 2 2 2 7 5" xfId="30825"/>
    <cellStyle name="Comma 11 2 2 2 8" xfId="30826"/>
    <cellStyle name="Comma 11 2 2 2 8 2" xfId="30827"/>
    <cellStyle name="Comma 11 2 2 2 8 3" xfId="30828"/>
    <cellStyle name="Comma 11 2 2 2 9" xfId="30829"/>
    <cellStyle name="Comma 11 2 2 2 9 2" xfId="30830"/>
    <cellStyle name="Comma 11 2 2 2 9 3" xfId="30831"/>
    <cellStyle name="Comma 11 2 2 3" xfId="8214"/>
    <cellStyle name="Comma 11 2 2 3 10" xfId="30832"/>
    <cellStyle name="Comma 11 2 2 3 11" xfId="30833"/>
    <cellStyle name="Comma 11 2 2 3 2" xfId="30834"/>
    <cellStyle name="Comma 11 2 2 3 2 2" xfId="30835"/>
    <cellStyle name="Comma 11 2 2 3 2 2 2" xfId="30836"/>
    <cellStyle name="Comma 11 2 2 3 2 2 2 2" xfId="30837"/>
    <cellStyle name="Comma 11 2 2 3 2 2 2 3" xfId="30838"/>
    <cellStyle name="Comma 11 2 2 3 2 2 3" xfId="30839"/>
    <cellStyle name="Comma 11 2 2 3 2 2 3 2" xfId="30840"/>
    <cellStyle name="Comma 11 2 2 3 2 2 3 3" xfId="30841"/>
    <cellStyle name="Comma 11 2 2 3 2 2 4" xfId="30842"/>
    <cellStyle name="Comma 11 2 2 3 2 2 4 2" xfId="30843"/>
    <cellStyle name="Comma 11 2 2 3 2 2 5" xfId="30844"/>
    <cellStyle name="Comma 11 2 2 3 2 2 6" xfId="30845"/>
    <cellStyle name="Comma 11 2 2 3 2 3" xfId="30846"/>
    <cellStyle name="Comma 11 2 2 3 2 3 2" xfId="30847"/>
    <cellStyle name="Comma 11 2 2 3 2 3 2 2" xfId="30848"/>
    <cellStyle name="Comma 11 2 2 3 2 3 2 3" xfId="30849"/>
    <cellStyle name="Comma 11 2 2 3 2 3 3" xfId="30850"/>
    <cellStyle name="Comma 11 2 2 3 2 3 3 2" xfId="30851"/>
    <cellStyle name="Comma 11 2 2 3 2 3 3 3" xfId="30852"/>
    <cellStyle name="Comma 11 2 2 3 2 3 4" xfId="30853"/>
    <cellStyle name="Comma 11 2 2 3 2 3 4 2" xfId="30854"/>
    <cellStyle name="Comma 11 2 2 3 2 3 5" xfId="30855"/>
    <cellStyle name="Comma 11 2 2 3 2 3 6" xfId="30856"/>
    <cellStyle name="Comma 11 2 2 3 2 4" xfId="30857"/>
    <cellStyle name="Comma 11 2 2 3 2 4 2" xfId="30858"/>
    <cellStyle name="Comma 11 2 2 3 2 4 2 2" xfId="30859"/>
    <cellStyle name="Comma 11 2 2 3 2 4 2 3" xfId="30860"/>
    <cellStyle name="Comma 11 2 2 3 2 4 3" xfId="30861"/>
    <cellStyle name="Comma 11 2 2 3 2 4 3 2" xfId="30862"/>
    <cellStyle name="Comma 11 2 2 3 2 4 4" xfId="30863"/>
    <cellStyle name="Comma 11 2 2 3 2 4 5" xfId="30864"/>
    <cellStyle name="Comma 11 2 2 3 2 5" xfId="30865"/>
    <cellStyle name="Comma 11 2 2 3 2 5 2" xfId="30866"/>
    <cellStyle name="Comma 11 2 2 3 2 5 3" xfId="30867"/>
    <cellStyle name="Comma 11 2 2 3 2 6" xfId="30868"/>
    <cellStyle name="Comma 11 2 2 3 2 6 2" xfId="30869"/>
    <cellStyle name="Comma 11 2 2 3 2 6 3" xfId="30870"/>
    <cellStyle name="Comma 11 2 2 3 2 7" xfId="30871"/>
    <cellStyle name="Comma 11 2 2 3 2 7 2" xfId="30872"/>
    <cellStyle name="Comma 11 2 2 3 2 8" xfId="30873"/>
    <cellStyle name="Comma 11 2 2 3 2 9" xfId="30874"/>
    <cellStyle name="Comma 11 2 2 3 3" xfId="30875"/>
    <cellStyle name="Comma 11 2 2 3 3 2" xfId="30876"/>
    <cellStyle name="Comma 11 2 2 3 3 2 2" xfId="30877"/>
    <cellStyle name="Comma 11 2 2 3 3 2 3" xfId="30878"/>
    <cellStyle name="Comma 11 2 2 3 3 3" xfId="30879"/>
    <cellStyle name="Comma 11 2 2 3 3 3 2" xfId="30880"/>
    <cellStyle name="Comma 11 2 2 3 3 3 3" xfId="30881"/>
    <cellStyle name="Comma 11 2 2 3 3 4" xfId="30882"/>
    <cellStyle name="Comma 11 2 2 3 3 4 2" xfId="30883"/>
    <cellStyle name="Comma 11 2 2 3 3 5" xfId="30884"/>
    <cellStyle name="Comma 11 2 2 3 3 6" xfId="30885"/>
    <cellStyle name="Comma 11 2 2 3 4" xfId="30886"/>
    <cellStyle name="Comma 11 2 2 3 4 2" xfId="30887"/>
    <cellStyle name="Comma 11 2 2 3 4 2 2" xfId="30888"/>
    <cellStyle name="Comma 11 2 2 3 4 2 3" xfId="30889"/>
    <cellStyle name="Comma 11 2 2 3 4 3" xfId="30890"/>
    <cellStyle name="Comma 11 2 2 3 4 3 2" xfId="30891"/>
    <cellStyle name="Comma 11 2 2 3 4 3 3" xfId="30892"/>
    <cellStyle name="Comma 11 2 2 3 4 4" xfId="30893"/>
    <cellStyle name="Comma 11 2 2 3 4 4 2" xfId="30894"/>
    <cellStyle name="Comma 11 2 2 3 4 5" xfId="30895"/>
    <cellStyle name="Comma 11 2 2 3 4 6" xfId="30896"/>
    <cellStyle name="Comma 11 2 2 3 5" xfId="30897"/>
    <cellStyle name="Comma 11 2 2 3 5 2" xfId="30898"/>
    <cellStyle name="Comma 11 2 2 3 5 2 2" xfId="30899"/>
    <cellStyle name="Comma 11 2 2 3 5 2 3" xfId="30900"/>
    <cellStyle name="Comma 11 2 2 3 5 3" xfId="30901"/>
    <cellStyle name="Comma 11 2 2 3 5 3 2" xfId="30902"/>
    <cellStyle name="Comma 11 2 2 3 5 4" xfId="30903"/>
    <cellStyle name="Comma 11 2 2 3 5 5" xfId="30904"/>
    <cellStyle name="Comma 11 2 2 3 6" xfId="30905"/>
    <cellStyle name="Comma 11 2 2 3 6 2" xfId="30906"/>
    <cellStyle name="Comma 11 2 2 3 6 3" xfId="30907"/>
    <cellStyle name="Comma 11 2 2 3 7" xfId="30908"/>
    <cellStyle name="Comma 11 2 2 3 7 2" xfId="30909"/>
    <cellStyle name="Comma 11 2 2 3 7 3" xfId="30910"/>
    <cellStyle name="Comma 11 2 2 3 8" xfId="30911"/>
    <cellStyle name="Comma 11 2 2 3 8 2" xfId="30912"/>
    <cellStyle name="Comma 11 2 2 3 9" xfId="30913"/>
    <cellStyle name="Comma 11 2 2 4" xfId="30914"/>
    <cellStyle name="Comma 11 2 2 4 2" xfId="30915"/>
    <cellStyle name="Comma 11 2 2 4 2 2" xfId="30916"/>
    <cellStyle name="Comma 11 2 2 4 2 2 2" xfId="30917"/>
    <cellStyle name="Comma 11 2 2 4 2 2 3" xfId="30918"/>
    <cellStyle name="Comma 11 2 2 4 2 3" xfId="30919"/>
    <cellStyle name="Comma 11 2 2 4 2 3 2" xfId="30920"/>
    <cellStyle name="Comma 11 2 2 4 2 3 3" xfId="30921"/>
    <cellStyle name="Comma 11 2 2 4 2 4" xfId="30922"/>
    <cellStyle name="Comma 11 2 2 4 2 4 2" xfId="30923"/>
    <cellStyle name="Comma 11 2 2 4 2 5" xfId="30924"/>
    <cellStyle name="Comma 11 2 2 4 2 6" xfId="30925"/>
    <cellStyle name="Comma 11 2 2 4 3" xfId="30926"/>
    <cellStyle name="Comma 11 2 2 4 3 2" xfId="30927"/>
    <cellStyle name="Comma 11 2 2 4 3 2 2" xfId="30928"/>
    <cellStyle name="Comma 11 2 2 4 3 2 3" xfId="30929"/>
    <cellStyle name="Comma 11 2 2 4 3 3" xfId="30930"/>
    <cellStyle name="Comma 11 2 2 4 3 3 2" xfId="30931"/>
    <cellStyle name="Comma 11 2 2 4 3 3 3" xfId="30932"/>
    <cellStyle name="Comma 11 2 2 4 3 4" xfId="30933"/>
    <cellStyle name="Comma 11 2 2 4 3 4 2" xfId="30934"/>
    <cellStyle name="Comma 11 2 2 4 3 5" xfId="30935"/>
    <cellStyle name="Comma 11 2 2 4 3 6" xfId="30936"/>
    <cellStyle name="Comma 11 2 2 4 4" xfId="30937"/>
    <cellStyle name="Comma 11 2 2 4 4 2" xfId="30938"/>
    <cellStyle name="Comma 11 2 2 4 4 2 2" xfId="30939"/>
    <cellStyle name="Comma 11 2 2 4 4 2 3" xfId="30940"/>
    <cellStyle name="Comma 11 2 2 4 4 3" xfId="30941"/>
    <cellStyle name="Comma 11 2 2 4 4 3 2" xfId="30942"/>
    <cellStyle name="Comma 11 2 2 4 4 4" xfId="30943"/>
    <cellStyle name="Comma 11 2 2 4 4 5" xfId="30944"/>
    <cellStyle name="Comma 11 2 2 4 5" xfId="30945"/>
    <cellStyle name="Comma 11 2 2 4 5 2" xfId="30946"/>
    <cellStyle name="Comma 11 2 2 4 5 3" xfId="30947"/>
    <cellStyle name="Comma 11 2 2 4 6" xfId="30948"/>
    <cellStyle name="Comma 11 2 2 4 6 2" xfId="30949"/>
    <cellStyle name="Comma 11 2 2 4 6 3" xfId="30950"/>
    <cellStyle name="Comma 11 2 2 4 7" xfId="30951"/>
    <cellStyle name="Comma 11 2 2 4 7 2" xfId="30952"/>
    <cellStyle name="Comma 11 2 2 4 8" xfId="30953"/>
    <cellStyle name="Comma 11 2 2 4 9" xfId="30954"/>
    <cellStyle name="Comma 11 2 2 5" xfId="30955"/>
    <cellStyle name="Comma 11 2 2 5 2" xfId="30956"/>
    <cellStyle name="Comma 11 2 2 5 2 2" xfId="30957"/>
    <cellStyle name="Comma 11 2 2 5 2 2 2" xfId="30958"/>
    <cellStyle name="Comma 11 2 2 5 2 2 3" xfId="30959"/>
    <cellStyle name="Comma 11 2 2 5 2 3" xfId="30960"/>
    <cellStyle name="Comma 11 2 2 5 2 3 2" xfId="30961"/>
    <cellStyle name="Comma 11 2 2 5 2 3 3" xfId="30962"/>
    <cellStyle name="Comma 11 2 2 5 2 4" xfId="30963"/>
    <cellStyle name="Comma 11 2 2 5 2 4 2" xfId="30964"/>
    <cellStyle name="Comma 11 2 2 5 2 5" xfId="30965"/>
    <cellStyle name="Comma 11 2 2 5 2 6" xfId="30966"/>
    <cellStyle name="Comma 11 2 2 5 3" xfId="30967"/>
    <cellStyle name="Comma 11 2 2 5 3 2" xfId="30968"/>
    <cellStyle name="Comma 11 2 2 5 3 2 2" xfId="30969"/>
    <cellStyle name="Comma 11 2 2 5 3 2 3" xfId="30970"/>
    <cellStyle name="Comma 11 2 2 5 3 3" xfId="30971"/>
    <cellStyle name="Comma 11 2 2 5 3 3 2" xfId="30972"/>
    <cellStyle name="Comma 11 2 2 5 3 3 3" xfId="30973"/>
    <cellStyle name="Comma 11 2 2 5 3 4" xfId="30974"/>
    <cellStyle name="Comma 11 2 2 5 3 4 2" xfId="30975"/>
    <cellStyle name="Comma 11 2 2 5 3 5" xfId="30976"/>
    <cellStyle name="Comma 11 2 2 5 3 6" xfId="30977"/>
    <cellStyle name="Comma 11 2 2 5 4" xfId="30978"/>
    <cellStyle name="Comma 11 2 2 5 4 2" xfId="30979"/>
    <cellStyle name="Comma 11 2 2 5 4 2 2" xfId="30980"/>
    <cellStyle name="Comma 11 2 2 5 4 2 3" xfId="30981"/>
    <cellStyle name="Comma 11 2 2 5 4 3" xfId="30982"/>
    <cellStyle name="Comma 11 2 2 5 4 3 2" xfId="30983"/>
    <cellStyle name="Comma 11 2 2 5 4 4" xfId="30984"/>
    <cellStyle name="Comma 11 2 2 5 4 5" xfId="30985"/>
    <cellStyle name="Comma 11 2 2 5 5" xfId="30986"/>
    <cellStyle name="Comma 11 2 2 5 5 2" xfId="30987"/>
    <cellStyle name="Comma 11 2 2 5 5 3" xfId="30988"/>
    <cellStyle name="Comma 11 2 2 5 6" xfId="30989"/>
    <cellStyle name="Comma 11 2 2 5 6 2" xfId="30990"/>
    <cellStyle name="Comma 11 2 2 5 6 3" xfId="30991"/>
    <cellStyle name="Comma 11 2 2 5 7" xfId="30992"/>
    <cellStyle name="Comma 11 2 2 5 7 2" xfId="30993"/>
    <cellStyle name="Comma 11 2 2 5 8" xfId="30994"/>
    <cellStyle name="Comma 11 2 2 5 9" xfId="30995"/>
    <cellStyle name="Comma 11 2 2 6" xfId="30996"/>
    <cellStyle name="Comma 11 2 2 6 2" xfId="30997"/>
    <cellStyle name="Comma 11 2 2 6 2 2" xfId="30998"/>
    <cellStyle name="Comma 11 2 2 6 2 3" xfId="30999"/>
    <cellStyle name="Comma 11 2 2 6 3" xfId="31000"/>
    <cellStyle name="Comma 11 2 2 6 3 2" xfId="31001"/>
    <cellStyle name="Comma 11 2 2 6 3 3" xfId="31002"/>
    <cellStyle name="Comma 11 2 2 6 4" xfId="31003"/>
    <cellStyle name="Comma 11 2 2 6 4 2" xfId="31004"/>
    <cellStyle name="Comma 11 2 2 6 5" xfId="31005"/>
    <cellStyle name="Comma 11 2 2 6 6" xfId="31006"/>
    <cellStyle name="Comma 11 2 2 7" xfId="31007"/>
    <cellStyle name="Comma 11 2 2 7 2" xfId="31008"/>
    <cellStyle name="Comma 11 2 2 7 2 2" xfId="31009"/>
    <cellStyle name="Comma 11 2 2 7 2 3" xfId="31010"/>
    <cellStyle name="Comma 11 2 2 7 3" xfId="31011"/>
    <cellStyle name="Comma 11 2 2 7 3 2" xfId="31012"/>
    <cellStyle name="Comma 11 2 2 7 3 3" xfId="31013"/>
    <cellStyle name="Comma 11 2 2 7 4" xfId="31014"/>
    <cellStyle name="Comma 11 2 2 7 4 2" xfId="31015"/>
    <cellStyle name="Comma 11 2 2 7 5" xfId="31016"/>
    <cellStyle name="Comma 11 2 2 7 6" xfId="31017"/>
    <cellStyle name="Comma 11 2 2 8" xfId="31018"/>
    <cellStyle name="Comma 11 2 2 8 2" xfId="31019"/>
    <cellStyle name="Comma 11 2 2 8 2 2" xfId="31020"/>
    <cellStyle name="Comma 11 2 2 8 2 3" xfId="31021"/>
    <cellStyle name="Comma 11 2 2 8 3" xfId="31022"/>
    <cellStyle name="Comma 11 2 2 8 3 2" xfId="31023"/>
    <cellStyle name="Comma 11 2 2 8 4" xfId="31024"/>
    <cellStyle name="Comma 11 2 2 8 5" xfId="31025"/>
    <cellStyle name="Comma 11 2 2 9" xfId="31026"/>
    <cellStyle name="Comma 11 2 2 9 2" xfId="31027"/>
    <cellStyle name="Comma 11 2 2 9 3" xfId="31028"/>
    <cellStyle name="Comma 11 2 3" xfId="8215"/>
    <cellStyle name="Comma 11 2 3 10" xfId="31029"/>
    <cellStyle name="Comma 11 2 3 10 2" xfId="31030"/>
    <cellStyle name="Comma 11 2 3 11" xfId="31031"/>
    <cellStyle name="Comma 11 2 3 12" xfId="31032"/>
    <cellStyle name="Comma 11 2 3 13" xfId="31033"/>
    <cellStyle name="Comma 11 2 3 2" xfId="8216"/>
    <cellStyle name="Comma 11 2 3 2 10" xfId="31034"/>
    <cellStyle name="Comma 11 2 3 2 2" xfId="31035"/>
    <cellStyle name="Comma 11 2 3 2 2 2" xfId="31036"/>
    <cellStyle name="Comma 11 2 3 2 2 2 2" xfId="31037"/>
    <cellStyle name="Comma 11 2 3 2 2 2 2 2" xfId="31038"/>
    <cellStyle name="Comma 11 2 3 2 2 2 2 3" xfId="31039"/>
    <cellStyle name="Comma 11 2 3 2 2 2 3" xfId="31040"/>
    <cellStyle name="Comma 11 2 3 2 2 2 3 2" xfId="31041"/>
    <cellStyle name="Comma 11 2 3 2 2 2 3 3" xfId="31042"/>
    <cellStyle name="Comma 11 2 3 2 2 2 4" xfId="31043"/>
    <cellStyle name="Comma 11 2 3 2 2 2 4 2" xfId="31044"/>
    <cellStyle name="Comma 11 2 3 2 2 2 5" xfId="31045"/>
    <cellStyle name="Comma 11 2 3 2 2 2 6" xfId="31046"/>
    <cellStyle name="Comma 11 2 3 2 2 3" xfId="31047"/>
    <cellStyle name="Comma 11 2 3 2 2 3 2" xfId="31048"/>
    <cellStyle name="Comma 11 2 3 2 2 3 2 2" xfId="31049"/>
    <cellStyle name="Comma 11 2 3 2 2 3 2 3" xfId="31050"/>
    <cellStyle name="Comma 11 2 3 2 2 3 3" xfId="31051"/>
    <cellStyle name="Comma 11 2 3 2 2 3 3 2" xfId="31052"/>
    <cellStyle name="Comma 11 2 3 2 2 3 3 3" xfId="31053"/>
    <cellStyle name="Comma 11 2 3 2 2 3 4" xfId="31054"/>
    <cellStyle name="Comma 11 2 3 2 2 3 4 2" xfId="31055"/>
    <cellStyle name="Comma 11 2 3 2 2 3 5" xfId="31056"/>
    <cellStyle name="Comma 11 2 3 2 2 3 6" xfId="31057"/>
    <cellStyle name="Comma 11 2 3 2 2 4" xfId="31058"/>
    <cellStyle name="Comma 11 2 3 2 2 4 2" xfId="31059"/>
    <cellStyle name="Comma 11 2 3 2 2 4 2 2" xfId="31060"/>
    <cellStyle name="Comma 11 2 3 2 2 4 2 3" xfId="31061"/>
    <cellStyle name="Comma 11 2 3 2 2 4 3" xfId="31062"/>
    <cellStyle name="Comma 11 2 3 2 2 4 3 2" xfId="31063"/>
    <cellStyle name="Comma 11 2 3 2 2 4 4" xfId="31064"/>
    <cellStyle name="Comma 11 2 3 2 2 4 5" xfId="31065"/>
    <cellStyle name="Comma 11 2 3 2 2 5" xfId="31066"/>
    <cellStyle name="Comma 11 2 3 2 2 5 2" xfId="31067"/>
    <cellStyle name="Comma 11 2 3 2 2 5 3" xfId="31068"/>
    <cellStyle name="Comma 11 2 3 2 2 6" xfId="31069"/>
    <cellStyle name="Comma 11 2 3 2 2 6 2" xfId="31070"/>
    <cellStyle name="Comma 11 2 3 2 2 6 3" xfId="31071"/>
    <cellStyle name="Comma 11 2 3 2 2 7" xfId="31072"/>
    <cellStyle name="Comma 11 2 3 2 2 7 2" xfId="31073"/>
    <cellStyle name="Comma 11 2 3 2 2 8" xfId="31074"/>
    <cellStyle name="Comma 11 2 3 2 2 9" xfId="31075"/>
    <cellStyle name="Comma 11 2 3 2 3" xfId="31076"/>
    <cellStyle name="Comma 11 2 3 2 3 2" xfId="31077"/>
    <cellStyle name="Comma 11 2 3 2 3 2 2" xfId="31078"/>
    <cellStyle name="Comma 11 2 3 2 3 2 3" xfId="31079"/>
    <cellStyle name="Comma 11 2 3 2 3 3" xfId="31080"/>
    <cellStyle name="Comma 11 2 3 2 3 3 2" xfId="31081"/>
    <cellStyle name="Comma 11 2 3 2 3 3 3" xfId="31082"/>
    <cellStyle name="Comma 11 2 3 2 3 4" xfId="31083"/>
    <cellStyle name="Comma 11 2 3 2 3 4 2" xfId="31084"/>
    <cellStyle name="Comma 11 2 3 2 3 5" xfId="31085"/>
    <cellStyle name="Comma 11 2 3 2 3 6" xfId="31086"/>
    <cellStyle name="Comma 11 2 3 2 4" xfId="31087"/>
    <cellStyle name="Comma 11 2 3 2 4 2" xfId="31088"/>
    <cellStyle name="Comma 11 2 3 2 4 2 2" xfId="31089"/>
    <cellStyle name="Comma 11 2 3 2 4 2 3" xfId="31090"/>
    <cellStyle name="Comma 11 2 3 2 4 3" xfId="31091"/>
    <cellStyle name="Comma 11 2 3 2 4 3 2" xfId="31092"/>
    <cellStyle name="Comma 11 2 3 2 4 3 3" xfId="31093"/>
    <cellStyle name="Comma 11 2 3 2 4 4" xfId="31094"/>
    <cellStyle name="Comma 11 2 3 2 4 4 2" xfId="31095"/>
    <cellStyle name="Comma 11 2 3 2 4 5" xfId="31096"/>
    <cellStyle name="Comma 11 2 3 2 4 6" xfId="31097"/>
    <cellStyle name="Comma 11 2 3 2 5" xfId="31098"/>
    <cellStyle name="Comma 11 2 3 2 5 2" xfId="31099"/>
    <cellStyle name="Comma 11 2 3 2 5 2 2" xfId="31100"/>
    <cellStyle name="Comma 11 2 3 2 5 2 3" xfId="31101"/>
    <cellStyle name="Comma 11 2 3 2 5 3" xfId="31102"/>
    <cellStyle name="Comma 11 2 3 2 5 3 2" xfId="31103"/>
    <cellStyle name="Comma 11 2 3 2 5 4" xfId="31104"/>
    <cellStyle name="Comma 11 2 3 2 5 5" xfId="31105"/>
    <cellStyle name="Comma 11 2 3 2 6" xfId="31106"/>
    <cellStyle name="Comma 11 2 3 2 6 2" xfId="31107"/>
    <cellStyle name="Comma 11 2 3 2 6 3" xfId="31108"/>
    <cellStyle name="Comma 11 2 3 2 7" xfId="31109"/>
    <cellStyle name="Comma 11 2 3 2 7 2" xfId="31110"/>
    <cellStyle name="Comma 11 2 3 2 7 3" xfId="31111"/>
    <cellStyle name="Comma 11 2 3 2 8" xfId="31112"/>
    <cellStyle name="Comma 11 2 3 2 8 2" xfId="31113"/>
    <cellStyle name="Comma 11 2 3 2 9" xfId="31114"/>
    <cellStyle name="Comma 11 2 3 3" xfId="31115"/>
    <cellStyle name="Comma 11 2 3 3 2" xfId="31116"/>
    <cellStyle name="Comma 11 2 3 3 2 2" xfId="31117"/>
    <cellStyle name="Comma 11 2 3 3 2 2 2" xfId="31118"/>
    <cellStyle name="Comma 11 2 3 3 2 2 3" xfId="31119"/>
    <cellStyle name="Comma 11 2 3 3 2 3" xfId="31120"/>
    <cellStyle name="Comma 11 2 3 3 2 3 2" xfId="31121"/>
    <cellStyle name="Comma 11 2 3 3 2 3 3" xfId="31122"/>
    <cellStyle name="Comma 11 2 3 3 2 4" xfId="31123"/>
    <cellStyle name="Comma 11 2 3 3 2 4 2" xfId="31124"/>
    <cellStyle name="Comma 11 2 3 3 2 5" xfId="31125"/>
    <cellStyle name="Comma 11 2 3 3 2 6" xfId="31126"/>
    <cellStyle name="Comma 11 2 3 3 3" xfId="31127"/>
    <cellStyle name="Comma 11 2 3 3 3 2" xfId="31128"/>
    <cellStyle name="Comma 11 2 3 3 3 2 2" xfId="31129"/>
    <cellStyle name="Comma 11 2 3 3 3 2 3" xfId="31130"/>
    <cellStyle name="Comma 11 2 3 3 3 3" xfId="31131"/>
    <cellStyle name="Comma 11 2 3 3 3 3 2" xfId="31132"/>
    <cellStyle name="Comma 11 2 3 3 3 3 3" xfId="31133"/>
    <cellStyle name="Comma 11 2 3 3 3 4" xfId="31134"/>
    <cellStyle name="Comma 11 2 3 3 3 4 2" xfId="31135"/>
    <cellStyle name="Comma 11 2 3 3 3 5" xfId="31136"/>
    <cellStyle name="Comma 11 2 3 3 3 6" xfId="31137"/>
    <cellStyle name="Comma 11 2 3 3 4" xfId="31138"/>
    <cellStyle name="Comma 11 2 3 3 4 2" xfId="31139"/>
    <cellStyle name="Comma 11 2 3 3 4 2 2" xfId="31140"/>
    <cellStyle name="Comma 11 2 3 3 4 2 3" xfId="31141"/>
    <cellStyle name="Comma 11 2 3 3 4 3" xfId="31142"/>
    <cellStyle name="Comma 11 2 3 3 4 3 2" xfId="31143"/>
    <cellStyle name="Comma 11 2 3 3 4 4" xfId="31144"/>
    <cellStyle name="Comma 11 2 3 3 4 5" xfId="31145"/>
    <cellStyle name="Comma 11 2 3 3 5" xfId="31146"/>
    <cellStyle name="Comma 11 2 3 3 5 2" xfId="31147"/>
    <cellStyle name="Comma 11 2 3 3 5 3" xfId="31148"/>
    <cellStyle name="Comma 11 2 3 3 6" xfId="31149"/>
    <cellStyle name="Comma 11 2 3 3 6 2" xfId="31150"/>
    <cellStyle name="Comma 11 2 3 3 6 3" xfId="31151"/>
    <cellStyle name="Comma 11 2 3 3 7" xfId="31152"/>
    <cellStyle name="Comma 11 2 3 3 7 2" xfId="31153"/>
    <cellStyle name="Comma 11 2 3 3 8" xfId="31154"/>
    <cellStyle name="Comma 11 2 3 3 9" xfId="31155"/>
    <cellStyle name="Comma 11 2 3 4" xfId="31156"/>
    <cellStyle name="Comma 11 2 3 4 2" xfId="31157"/>
    <cellStyle name="Comma 11 2 3 4 2 2" xfId="31158"/>
    <cellStyle name="Comma 11 2 3 4 2 2 2" xfId="31159"/>
    <cellStyle name="Comma 11 2 3 4 2 2 3" xfId="31160"/>
    <cellStyle name="Comma 11 2 3 4 2 3" xfId="31161"/>
    <cellStyle name="Comma 11 2 3 4 2 3 2" xfId="31162"/>
    <cellStyle name="Comma 11 2 3 4 2 3 3" xfId="31163"/>
    <cellStyle name="Comma 11 2 3 4 2 4" xfId="31164"/>
    <cellStyle name="Comma 11 2 3 4 2 4 2" xfId="31165"/>
    <cellStyle name="Comma 11 2 3 4 2 5" xfId="31166"/>
    <cellStyle name="Comma 11 2 3 4 2 6" xfId="31167"/>
    <cellStyle name="Comma 11 2 3 4 3" xfId="31168"/>
    <cellStyle name="Comma 11 2 3 4 3 2" xfId="31169"/>
    <cellStyle name="Comma 11 2 3 4 3 2 2" xfId="31170"/>
    <cellStyle name="Comma 11 2 3 4 3 2 3" xfId="31171"/>
    <cellStyle name="Comma 11 2 3 4 3 3" xfId="31172"/>
    <cellStyle name="Comma 11 2 3 4 3 3 2" xfId="31173"/>
    <cellStyle name="Comma 11 2 3 4 3 3 3" xfId="31174"/>
    <cellStyle name="Comma 11 2 3 4 3 4" xfId="31175"/>
    <cellStyle name="Comma 11 2 3 4 3 4 2" xfId="31176"/>
    <cellStyle name="Comma 11 2 3 4 3 5" xfId="31177"/>
    <cellStyle name="Comma 11 2 3 4 3 6" xfId="31178"/>
    <cellStyle name="Comma 11 2 3 4 4" xfId="31179"/>
    <cellStyle name="Comma 11 2 3 4 4 2" xfId="31180"/>
    <cellStyle name="Comma 11 2 3 4 4 2 2" xfId="31181"/>
    <cellStyle name="Comma 11 2 3 4 4 2 3" xfId="31182"/>
    <cellStyle name="Comma 11 2 3 4 4 3" xfId="31183"/>
    <cellStyle name="Comma 11 2 3 4 4 3 2" xfId="31184"/>
    <cellStyle name="Comma 11 2 3 4 4 4" xfId="31185"/>
    <cellStyle name="Comma 11 2 3 4 4 5" xfId="31186"/>
    <cellStyle name="Comma 11 2 3 4 5" xfId="31187"/>
    <cellStyle name="Comma 11 2 3 4 5 2" xfId="31188"/>
    <cellStyle name="Comma 11 2 3 4 5 3" xfId="31189"/>
    <cellStyle name="Comma 11 2 3 4 6" xfId="31190"/>
    <cellStyle name="Comma 11 2 3 4 6 2" xfId="31191"/>
    <cellStyle name="Comma 11 2 3 4 6 3" xfId="31192"/>
    <cellStyle name="Comma 11 2 3 4 7" xfId="31193"/>
    <cellStyle name="Comma 11 2 3 4 7 2" xfId="31194"/>
    <cellStyle name="Comma 11 2 3 4 8" xfId="31195"/>
    <cellStyle name="Comma 11 2 3 4 9" xfId="31196"/>
    <cellStyle name="Comma 11 2 3 5" xfId="31197"/>
    <cellStyle name="Comma 11 2 3 5 2" xfId="31198"/>
    <cellStyle name="Comma 11 2 3 5 2 2" xfId="31199"/>
    <cellStyle name="Comma 11 2 3 5 2 3" xfId="31200"/>
    <cellStyle name="Comma 11 2 3 5 3" xfId="31201"/>
    <cellStyle name="Comma 11 2 3 5 3 2" xfId="31202"/>
    <cellStyle name="Comma 11 2 3 5 3 3" xfId="31203"/>
    <cellStyle name="Comma 11 2 3 5 4" xfId="31204"/>
    <cellStyle name="Comma 11 2 3 5 4 2" xfId="31205"/>
    <cellStyle name="Comma 11 2 3 5 5" xfId="31206"/>
    <cellStyle name="Comma 11 2 3 5 6" xfId="31207"/>
    <cellStyle name="Comma 11 2 3 6" xfId="31208"/>
    <cellStyle name="Comma 11 2 3 6 2" xfId="31209"/>
    <cellStyle name="Comma 11 2 3 6 2 2" xfId="31210"/>
    <cellStyle name="Comma 11 2 3 6 2 3" xfId="31211"/>
    <cellStyle name="Comma 11 2 3 6 3" xfId="31212"/>
    <cellStyle name="Comma 11 2 3 6 3 2" xfId="31213"/>
    <cellStyle name="Comma 11 2 3 6 3 3" xfId="31214"/>
    <cellStyle name="Comma 11 2 3 6 4" xfId="31215"/>
    <cellStyle name="Comma 11 2 3 6 4 2" xfId="31216"/>
    <cellStyle name="Comma 11 2 3 6 5" xfId="31217"/>
    <cellStyle name="Comma 11 2 3 6 6" xfId="31218"/>
    <cellStyle name="Comma 11 2 3 7" xfId="31219"/>
    <cellStyle name="Comma 11 2 3 7 2" xfId="31220"/>
    <cellStyle name="Comma 11 2 3 7 2 2" xfId="31221"/>
    <cellStyle name="Comma 11 2 3 7 2 3" xfId="31222"/>
    <cellStyle name="Comma 11 2 3 7 3" xfId="31223"/>
    <cellStyle name="Comma 11 2 3 7 3 2" xfId="31224"/>
    <cellStyle name="Comma 11 2 3 7 4" xfId="31225"/>
    <cellStyle name="Comma 11 2 3 7 5" xfId="31226"/>
    <cellStyle name="Comma 11 2 3 8" xfId="31227"/>
    <cellStyle name="Comma 11 2 3 8 2" xfId="31228"/>
    <cellStyle name="Comma 11 2 3 8 3" xfId="31229"/>
    <cellStyle name="Comma 11 2 3 9" xfId="31230"/>
    <cellStyle name="Comma 11 2 3 9 2" xfId="31231"/>
    <cellStyle name="Comma 11 2 3 9 3" xfId="31232"/>
    <cellStyle name="Comma 11 2 4" xfId="8217"/>
    <cellStyle name="Comma 11 2 4 10" xfId="31233"/>
    <cellStyle name="Comma 11 2 4 11" xfId="31234"/>
    <cellStyle name="Comma 11 2 4 2" xfId="31235"/>
    <cellStyle name="Comma 11 2 4 2 2" xfId="31236"/>
    <cellStyle name="Comma 11 2 4 2 2 2" xfId="31237"/>
    <cellStyle name="Comma 11 2 4 2 2 2 2" xfId="31238"/>
    <cellStyle name="Comma 11 2 4 2 2 2 3" xfId="31239"/>
    <cellStyle name="Comma 11 2 4 2 2 3" xfId="31240"/>
    <cellStyle name="Comma 11 2 4 2 2 3 2" xfId="31241"/>
    <cellStyle name="Comma 11 2 4 2 2 3 3" xfId="31242"/>
    <cellStyle name="Comma 11 2 4 2 2 4" xfId="31243"/>
    <cellStyle name="Comma 11 2 4 2 2 4 2" xfId="31244"/>
    <cellStyle name="Comma 11 2 4 2 2 5" xfId="31245"/>
    <cellStyle name="Comma 11 2 4 2 2 6" xfId="31246"/>
    <cellStyle name="Comma 11 2 4 2 3" xfId="31247"/>
    <cellStyle name="Comma 11 2 4 2 3 2" xfId="31248"/>
    <cellStyle name="Comma 11 2 4 2 3 2 2" xfId="31249"/>
    <cellStyle name="Comma 11 2 4 2 3 2 3" xfId="31250"/>
    <cellStyle name="Comma 11 2 4 2 3 3" xfId="31251"/>
    <cellStyle name="Comma 11 2 4 2 3 3 2" xfId="31252"/>
    <cellStyle name="Comma 11 2 4 2 3 3 3" xfId="31253"/>
    <cellStyle name="Comma 11 2 4 2 3 4" xfId="31254"/>
    <cellStyle name="Comma 11 2 4 2 3 4 2" xfId="31255"/>
    <cellStyle name="Comma 11 2 4 2 3 5" xfId="31256"/>
    <cellStyle name="Comma 11 2 4 2 3 6" xfId="31257"/>
    <cellStyle name="Comma 11 2 4 2 4" xfId="31258"/>
    <cellStyle name="Comma 11 2 4 2 4 2" xfId="31259"/>
    <cellStyle name="Comma 11 2 4 2 4 2 2" xfId="31260"/>
    <cellStyle name="Comma 11 2 4 2 4 2 3" xfId="31261"/>
    <cellStyle name="Comma 11 2 4 2 4 3" xfId="31262"/>
    <cellStyle name="Comma 11 2 4 2 4 3 2" xfId="31263"/>
    <cellStyle name="Comma 11 2 4 2 4 4" xfId="31264"/>
    <cellStyle name="Comma 11 2 4 2 4 5" xfId="31265"/>
    <cellStyle name="Comma 11 2 4 2 5" xfId="31266"/>
    <cellStyle name="Comma 11 2 4 2 5 2" xfId="31267"/>
    <cellStyle name="Comma 11 2 4 2 5 3" xfId="31268"/>
    <cellStyle name="Comma 11 2 4 2 6" xfId="31269"/>
    <cellStyle name="Comma 11 2 4 2 6 2" xfId="31270"/>
    <cellStyle name="Comma 11 2 4 2 6 3" xfId="31271"/>
    <cellStyle name="Comma 11 2 4 2 7" xfId="31272"/>
    <cellStyle name="Comma 11 2 4 2 7 2" xfId="31273"/>
    <cellStyle name="Comma 11 2 4 2 8" xfId="31274"/>
    <cellStyle name="Comma 11 2 4 2 9" xfId="31275"/>
    <cellStyle name="Comma 11 2 4 3" xfId="31276"/>
    <cellStyle name="Comma 11 2 4 3 2" xfId="31277"/>
    <cellStyle name="Comma 11 2 4 3 2 2" xfId="31278"/>
    <cellStyle name="Comma 11 2 4 3 2 3" xfId="31279"/>
    <cellStyle name="Comma 11 2 4 3 3" xfId="31280"/>
    <cellStyle name="Comma 11 2 4 3 3 2" xfId="31281"/>
    <cellStyle name="Comma 11 2 4 3 3 3" xfId="31282"/>
    <cellStyle name="Comma 11 2 4 3 4" xfId="31283"/>
    <cellStyle name="Comma 11 2 4 3 4 2" xfId="31284"/>
    <cellStyle name="Comma 11 2 4 3 5" xfId="31285"/>
    <cellStyle name="Comma 11 2 4 3 6" xfId="31286"/>
    <cellStyle name="Comma 11 2 4 4" xfId="31287"/>
    <cellStyle name="Comma 11 2 4 4 2" xfId="31288"/>
    <cellStyle name="Comma 11 2 4 4 2 2" xfId="31289"/>
    <cellStyle name="Comma 11 2 4 4 2 3" xfId="31290"/>
    <cellStyle name="Comma 11 2 4 4 3" xfId="31291"/>
    <cellStyle name="Comma 11 2 4 4 3 2" xfId="31292"/>
    <cellStyle name="Comma 11 2 4 4 3 3" xfId="31293"/>
    <cellStyle name="Comma 11 2 4 4 4" xfId="31294"/>
    <cellStyle name="Comma 11 2 4 4 4 2" xfId="31295"/>
    <cellStyle name="Comma 11 2 4 4 5" xfId="31296"/>
    <cellStyle name="Comma 11 2 4 4 6" xfId="31297"/>
    <cellStyle name="Comma 11 2 4 5" xfId="31298"/>
    <cellStyle name="Comma 11 2 4 5 2" xfId="31299"/>
    <cellStyle name="Comma 11 2 4 5 2 2" xfId="31300"/>
    <cellStyle name="Comma 11 2 4 5 2 3" xfId="31301"/>
    <cellStyle name="Comma 11 2 4 5 3" xfId="31302"/>
    <cellStyle name="Comma 11 2 4 5 3 2" xfId="31303"/>
    <cellStyle name="Comma 11 2 4 5 4" xfId="31304"/>
    <cellStyle name="Comma 11 2 4 5 5" xfId="31305"/>
    <cellStyle name="Comma 11 2 4 6" xfId="31306"/>
    <cellStyle name="Comma 11 2 4 6 2" xfId="31307"/>
    <cellStyle name="Comma 11 2 4 6 3" xfId="31308"/>
    <cellStyle name="Comma 11 2 4 7" xfId="31309"/>
    <cellStyle name="Comma 11 2 4 7 2" xfId="31310"/>
    <cellStyle name="Comma 11 2 4 7 3" xfId="31311"/>
    <cellStyle name="Comma 11 2 4 8" xfId="31312"/>
    <cellStyle name="Comma 11 2 4 8 2" xfId="31313"/>
    <cellStyle name="Comma 11 2 4 9" xfId="31314"/>
    <cellStyle name="Comma 11 2 5" xfId="31315"/>
    <cellStyle name="Comma 11 2 5 2" xfId="31316"/>
    <cellStyle name="Comma 11 2 5 2 2" xfId="31317"/>
    <cellStyle name="Comma 11 2 5 2 2 2" xfId="31318"/>
    <cellStyle name="Comma 11 2 5 2 2 3" xfId="31319"/>
    <cellStyle name="Comma 11 2 5 2 3" xfId="31320"/>
    <cellStyle name="Comma 11 2 5 2 3 2" xfId="31321"/>
    <cellStyle name="Comma 11 2 5 2 3 3" xfId="31322"/>
    <cellStyle name="Comma 11 2 5 2 4" xfId="31323"/>
    <cellStyle name="Comma 11 2 5 2 4 2" xfId="31324"/>
    <cellStyle name="Comma 11 2 5 2 5" xfId="31325"/>
    <cellStyle name="Comma 11 2 5 2 6" xfId="31326"/>
    <cellStyle name="Comma 11 2 5 3" xfId="31327"/>
    <cellStyle name="Comma 11 2 5 3 2" xfId="31328"/>
    <cellStyle name="Comma 11 2 5 3 2 2" xfId="31329"/>
    <cellStyle name="Comma 11 2 5 3 2 3" xfId="31330"/>
    <cellStyle name="Comma 11 2 5 3 3" xfId="31331"/>
    <cellStyle name="Comma 11 2 5 3 3 2" xfId="31332"/>
    <cellStyle name="Comma 11 2 5 3 3 3" xfId="31333"/>
    <cellStyle name="Comma 11 2 5 3 4" xfId="31334"/>
    <cellStyle name="Comma 11 2 5 3 4 2" xfId="31335"/>
    <cellStyle name="Comma 11 2 5 3 5" xfId="31336"/>
    <cellStyle name="Comma 11 2 5 3 6" xfId="31337"/>
    <cellStyle name="Comma 11 2 5 4" xfId="31338"/>
    <cellStyle name="Comma 11 2 5 4 2" xfId="31339"/>
    <cellStyle name="Comma 11 2 5 4 2 2" xfId="31340"/>
    <cellStyle name="Comma 11 2 5 4 2 3" xfId="31341"/>
    <cellStyle name="Comma 11 2 5 4 3" xfId="31342"/>
    <cellStyle name="Comma 11 2 5 4 3 2" xfId="31343"/>
    <cellStyle name="Comma 11 2 5 4 4" xfId="31344"/>
    <cellStyle name="Comma 11 2 5 4 5" xfId="31345"/>
    <cellStyle name="Comma 11 2 5 5" xfId="31346"/>
    <cellStyle name="Comma 11 2 5 5 2" xfId="31347"/>
    <cellStyle name="Comma 11 2 5 5 3" xfId="31348"/>
    <cellStyle name="Comma 11 2 5 6" xfId="31349"/>
    <cellStyle name="Comma 11 2 5 6 2" xfId="31350"/>
    <cellStyle name="Comma 11 2 5 6 3" xfId="31351"/>
    <cellStyle name="Comma 11 2 5 7" xfId="31352"/>
    <cellStyle name="Comma 11 2 5 7 2" xfId="31353"/>
    <cellStyle name="Comma 11 2 5 8" xfId="31354"/>
    <cellStyle name="Comma 11 2 5 9" xfId="31355"/>
    <cellStyle name="Comma 11 2 6" xfId="31356"/>
    <cellStyle name="Comma 11 2 6 2" xfId="31357"/>
    <cellStyle name="Comma 11 2 6 2 2" xfId="31358"/>
    <cellStyle name="Comma 11 2 6 2 2 2" xfId="31359"/>
    <cellStyle name="Comma 11 2 6 2 2 3" xfId="31360"/>
    <cellStyle name="Comma 11 2 6 2 3" xfId="31361"/>
    <cellStyle name="Comma 11 2 6 2 3 2" xfId="31362"/>
    <cellStyle name="Comma 11 2 6 2 3 3" xfId="31363"/>
    <cellStyle name="Comma 11 2 6 2 4" xfId="31364"/>
    <cellStyle name="Comma 11 2 6 2 4 2" xfId="31365"/>
    <cellStyle name="Comma 11 2 6 2 5" xfId="31366"/>
    <cellStyle name="Comma 11 2 6 2 6" xfId="31367"/>
    <cellStyle name="Comma 11 2 6 3" xfId="31368"/>
    <cellStyle name="Comma 11 2 6 3 2" xfId="31369"/>
    <cellStyle name="Comma 11 2 6 3 2 2" xfId="31370"/>
    <cellStyle name="Comma 11 2 6 3 2 3" xfId="31371"/>
    <cellStyle name="Comma 11 2 6 3 3" xfId="31372"/>
    <cellStyle name="Comma 11 2 6 3 3 2" xfId="31373"/>
    <cellStyle name="Comma 11 2 6 3 3 3" xfId="31374"/>
    <cellStyle name="Comma 11 2 6 3 4" xfId="31375"/>
    <cellStyle name="Comma 11 2 6 3 4 2" xfId="31376"/>
    <cellStyle name="Comma 11 2 6 3 5" xfId="31377"/>
    <cellStyle name="Comma 11 2 6 3 6" xfId="31378"/>
    <cellStyle name="Comma 11 2 6 4" xfId="31379"/>
    <cellStyle name="Comma 11 2 6 4 2" xfId="31380"/>
    <cellStyle name="Comma 11 2 6 4 2 2" xfId="31381"/>
    <cellStyle name="Comma 11 2 6 4 2 3" xfId="31382"/>
    <cellStyle name="Comma 11 2 6 4 3" xfId="31383"/>
    <cellStyle name="Comma 11 2 6 4 3 2" xfId="31384"/>
    <cellStyle name="Comma 11 2 6 4 4" xfId="31385"/>
    <cellStyle name="Comma 11 2 6 4 5" xfId="31386"/>
    <cellStyle name="Comma 11 2 6 5" xfId="31387"/>
    <cellStyle name="Comma 11 2 6 5 2" xfId="31388"/>
    <cellStyle name="Comma 11 2 6 5 3" xfId="31389"/>
    <cellStyle name="Comma 11 2 6 6" xfId="31390"/>
    <cellStyle name="Comma 11 2 6 6 2" xfId="31391"/>
    <cellStyle name="Comma 11 2 6 6 3" xfId="31392"/>
    <cellStyle name="Comma 11 2 6 7" xfId="31393"/>
    <cellStyle name="Comma 11 2 6 7 2" xfId="31394"/>
    <cellStyle name="Comma 11 2 6 8" xfId="31395"/>
    <cellStyle name="Comma 11 2 6 9" xfId="31396"/>
    <cellStyle name="Comma 11 2 7" xfId="31397"/>
    <cellStyle name="Comma 11 2 7 2" xfId="31398"/>
    <cellStyle name="Comma 11 2 7 2 2" xfId="31399"/>
    <cellStyle name="Comma 11 2 7 2 3" xfId="31400"/>
    <cellStyle name="Comma 11 2 7 3" xfId="31401"/>
    <cellStyle name="Comma 11 2 7 3 2" xfId="31402"/>
    <cellStyle name="Comma 11 2 7 3 3" xfId="31403"/>
    <cellStyle name="Comma 11 2 7 4" xfId="31404"/>
    <cellStyle name="Comma 11 2 7 4 2" xfId="31405"/>
    <cellStyle name="Comma 11 2 7 5" xfId="31406"/>
    <cellStyle name="Comma 11 2 7 6" xfId="31407"/>
    <cellStyle name="Comma 11 2 8" xfId="31408"/>
    <cellStyle name="Comma 11 2 8 2" xfId="31409"/>
    <cellStyle name="Comma 11 2 8 2 2" xfId="31410"/>
    <cellStyle name="Comma 11 2 8 2 3" xfId="31411"/>
    <cellStyle name="Comma 11 2 8 3" xfId="31412"/>
    <cellStyle name="Comma 11 2 8 3 2" xfId="31413"/>
    <cellStyle name="Comma 11 2 8 3 3" xfId="31414"/>
    <cellStyle name="Comma 11 2 8 4" xfId="31415"/>
    <cellStyle name="Comma 11 2 8 4 2" xfId="31416"/>
    <cellStyle name="Comma 11 2 8 5" xfId="31417"/>
    <cellStyle name="Comma 11 2 8 6" xfId="31418"/>
    <cellStyle name="Comma 11 2 9" xfId="31419"/>
    <cellStyle name="Comma 11 2 9 2" xfId="31420"/>
    <cellStyle name="Comma 11 2 9 2 2" xfId="31421"/>
    <cellStyle name="Comma 11 2 9 2 3" xfId="31422"/>
    <cellStyle name="Comma 11 2 9 3" xfId="31423"/>
    <cellStyle name="Comma 11 2 9 3 2" xfId="31424"/>
    <cellStyle name="Comma 11 2 9 4" xfId="31425"/>
    <cellStyle name="Comma 11 2 9 5" xfId="31426"/>
    <cellStyle name="Comma 11 3" xfId="8218"/>
    <cellStyle name="Comma 11 3 10" xfId="31427"/>
    <cellStyle name="Comma 11 3 10 2" xfId="31428"/>
    <cellStyle name="Comma 11 3 10 3" xfId="31429"/>
    <cellStyle name="Comma 11 3 11" xfId="31430"/>
    <cellStyle name="Comma 11 3 11 2" xfId="31431"/>
    <cellStyle name="Comma 11 3 12" xfId="31432"/>
    <cellStyle name="Comma 11 3 13" xfId="31433"/>
    <cellStyle name="Comma 11 3 14" xfId="31434"/>
    <cellStyle name="Comma 11 3 2" xfId="8219"/>
    <cellStyle name="Comma 11 3 2 10" xfId="31435"/>
    <cellStyle name="Comma 11 3 2 10 2" xfId="31436"/>
    <cellStyle name="Comma 11 3 2 11" xfId="31437"/>
    <cellStyle name="Comma 11 3 2 12" xfId="31438"/>
    <cellStyle name="Comma 11 3 2 13" xfId="31439"/>
    <cellStyle name="Comma 11 3 2 2" xfId="8220"/>
    <cellStyle name="Comma 11 3 2 2 10" xfId="31440"/>
    <cellStyle name="Comma 11 3 2 2 11" xfId="31441"/>
    <cellStyle name="Comma 11 3 2 2 2" xfId="31442"/>
    <cellStyle name="Comma 11 3 2 2 2 2" xfId="31443"/>
    <cellStyle name="Comma 11 3 2 2 2 2 2" xfId="31444"/>
    <cellStyle name="Comma 11 3 2 2 2 2 2 2" xfId="31445"/>
    <cellStyle name="Comma 11 3 2 2 2 2 2 3" xfId="31446"/>
    <cellStyle name="Comma 11 3 2 2 2 2 3" xfId="31447"/>
    <cellStyle name="Comma 11 3 2 2 2 2 3 2" xfId="31448"/>
    <cellStyle name="Comma 11 3 2 2 2 2 3 3" xfId="31449"/>
    <cellStyle name="Comma 11 3 2 2 2 2 4" xfId="31450"/>
    <cellStyle name="Comma 11 3 2 2 2 2 4 2" xfId="31451"/>
    <cellStyle name="Comma 11 3 2 2 2 2 5" xfId="31452"/>
    <cellStyle name="Comma 11 3 2 2 2 2 6" xfId="31453"/>
    <cellStyle name="Comma 11 3 2 2 2 3" xfId="31454"/>
    <cellStyle name="Comma 11 3 2 2 2 3 2" xfId="31455"/>
    <cellStyle name="Comma 11 3 2 2 2 3 2 2" xfId="31456"/>
    <cellStyle name="Comma 11 3 2 2 2 3 2 3" xfId="31457"/>
    <cellStyle name="Comma 11 3 2 2 2 3 3" xfId="31458"/>
    <cellStyle name="Comma 11 3 2 2 2 3 3 2" xfId="31459"/>
    <cellStyle name="Comma 11 3 2 2 2 3 3 3" xfId="31460"/>
    <cellStyle name="Comma 11 3 2 2 2 3 4" xfId="31461"/>
    <cellStyle name="Comma 11 3 2 2 2 3 4 2" xfId="31462"/>
    <cellStyle name="Comma 11 3 2 2 2 3 5" xfId="31463"/>
    <cellStyle name="Comma 11 3 2 2 2 3 6" xfId="31464"/>
    <cellStyle name="Comma 11 3 2 2 2 4" xfId="31465"/>
    <cellStyle name="Comma 11 3 2 2 2 4 2" xfId="31466"/>
    <cellStyle name="Comma 11 3 2 2 2 4 2 2" xfId="31467"/>
    <cellStyle name="Comma 11 3 2 2 2 4 2 3" xfId="31468"/>
    <cellStyle name="Comma 11 3 2 2 2 4 3" xfId="31469"/>
    <cellStyle name="Comma 11 3 2 2 2 4 3 2" xfId="31470"/>
    <cellStyle name="Comma 11 3 2 2 2 4 4" xfId="31471"/>
    <cellStyle name="Comma 11 3 2 2 2 4 5" xfId="31472"/>
    <cellStyle name="Comma 11 3 2 2 2 5" xfId="31473"/>
    <cellStyle name="Comma 11 3 2 2 2 5 2" xfId="31474"/>
    <cellStyle name="Comma 11 3 2 2 2 5 3" xfId="31475"/>
    <cellStyle name="Comma 11 3 2 2 2 6" xfId="31476"/>
    <cellStyle name="Comma 11 3 2 2 2 6 2" xfId="31477"/>
    <cellStyle name="Comma 11 3 2 2 2 6 3" xfId="31478"/>
    <cellStyle name="Comma 11 3 2 2 2 7" xfId="31479"/>
    <cellStyle name="Comma 11 3 2 2 2 7 2" xfId="31480"/>
    <cellStyle name="Comma 11 3 2 2 2 8" xfId="31481"/>
    <cellStyle name="Comma 11 3 2 2 2 9" xfId="31482"/>
    <cellStyle name="Comma 11 3 2 2 3" xfId="31483"/>
    <cellStyle name="Comma 11 3 2 2 3 2" xfId="31484"/>
    <cellStyle name="Comma 11 3 2 2 3 2 2" xfId="31485"/>
    <cellStyle name="Comma 11 3 2 2 3 2 3" xfId="31486"/>
    <cellStyle name="Comma 11 3 2 2 3 3" xfId="31487"/>
    <cellStyle name="Comma 11 3 2 2 3 3 2" xfId="31488"/>
    <cellStyle name="Comma 11 3 2 2 3 3 3" xfId="31489"/>
    <cellStyle name="Comma 11 3 2 2 3 4" xfId="31490"/>
    <cellStyle name="Comma 11 3 2 2 3 4 2" xfId="31491"/>
    <cellStyle name="Comma 11 3 2 2 3 5" xfId="31492"/>
    <cellStyle name="Comma 11 3 2 2 3 6" xfId="31493"/>
    <cellStyle name="Comma 11 3 2 2 4" xfId="31494"/>
    <cellStyle name="Comma 11 3 2 2 4 2" xfId="31495"/>
    <cellStyle name="Comma 11 3 2 2 4 2 2" xfId="31496"/>
    <cellStyle name="Comma 11 3 2 2 4 2 3" xfId="31497"/>
    <cellStyle name="Comma 11 3 2 2 4 3" xfId="31498"/>
    <cellStyle name="Comma 11 3 2 2 4 3 2" xfId="31499"/>
    <cellStyle name="Comma 11 3 2 2 4 3 3" xfId="31500"/>
    <cellStyle name="Comma 11 3 2 2 4 4" xfId="31501"/>
    <cellStyle name="Comma 11 3 2 2 4 4 2" xfId="31502"/>
    <cellStyle name="Comma 11 3 2 2 4 5" xfId="31503"/>
    <cellStyle name="Comma 11 3 2 2 4 6" xfId="31504"/>
    <cellStyle name="Comma 11 3 2 2 5" xfId="31505"/>
    <cellStyle name="Comma 11 3 2 2 5 2" xfId="31506"/>
    <cellStyle name="Comma 11 3 2 2 5 2 2" xfId="31507"/>
    <cellStyle name="Comma 11 3 2 2 5 2 3" xfId="31508"/>
    <cellStyle name="Comma 11 3 2 2 5 3" xfId="31509"/>
    <cellStyle name="Comma 11 3 2 2 5 3 2" xfId="31510"/>
    <cellStyle name="Comma 11 3 2 2 5 4" xfId="31511"/>
    <cellStyle name="Comma 11 3 2 2 5 5" xfId="31512"/>
    <cellStyle name="Comma 11 3 2 2 6" xfId="31513"/>
    <cellStyle name="Comma 11 3 2 2 6 2" xfId="31514"/>
    <cellStyle name="Comma 11 3 2 2 6 3" xfId="31515"/>
    <cellStyle name="Comma 11 3 2 2 7" xfId="31516"/>
    <cellStyle name="Comma 11 3 2 2 7 2" xfId="31517"/>
    <cellStyle name="Comma 11 3 2 2 7 3" xfId="31518"/>
    <cellStyle name="Comma 11 3 2 2 8" xfId="31519"/>
    <cellStyle name="Comma 11 3 2 2 8 2" xfId="31520"/>
    <cellStyle name="Comma 11 3 2 2 9" xfId="31521"/>
    <cellStyle name="Comma 11 3 2 3" xfId="31522"/>
    <cellStyle name="Comma 11 3 2 3 2" xfId="31523"/>
    <cellStyle name="Comma 11 3 2 3 2 2" xfId="31524"/>
    <cellStyle name="Comma 11 3 2 3 2 2 2" xfId="31525"/>
    <cellStyle name="Comma 11 3 2 3 2 2 3" xfId="31526"/>
    <cellStyle name="Comma 11 3 2 3 2 3" xfId="31527"/>
    <cellStyle name="Comma 11 3 2 3 2 3 2" xfId="31528"/>
    <cellStyle name="Comma 11 3 2 3 2 3 3" xfId="31529"/>
    <cellStyle name="Comma 11 3 2 3 2 4" xfId="31530"/>
    <cellStyle name="Comma 11 3 2 3 2 4 2" xfId="31531"/>
    <cellStyle name="Comma 11 3 2 3 2 5" xfId="31532"/>
    <cellStyle name="Comma 11 3 2 3 2 6" xfId="31533"/>
    <cellStyle name="Comma 11 3 2 3 3" xfId="31534"/>
    <cellStyle name="Comma 11 3 2 3 3 2" xfId="31535"/>
    <cellStyle name="Comma 11 3 2 3 3 2 2" xfId="31536"/>
    <cellStyle name="Comma 11 3 2 3 3 2 3" xfId="31537"/>
    <cellStyle name="Comma 11 3 2 3 3 3" xfId="31538"/>
    <cellStyle name="Comma 11 3 2 3 3 3 2" xfId="31539"/>
    <cellStyle name="Comma 11 3 2 3 3 3 3" xfId="31540"/>
    <cellStyle name="Comma 11 3 2 3 3 4" xfId="31541"/>
    <cellStyle name="Comma 11 3 2 3 3 4 2" xfId="31542"/>
    <cellStyle name="Comma 11 3 2 3 3 5" xfId="31543"/>
    <cellStyle name="Comma 11 3 2 3 3 6" xfId="31544"/>
    <cellStyle name="Comma 11 3 2 3 4" xfId="31545"/>
    <cellStyle name="Comma 11 3 2 3 4 2" xfId="31546"/>
    <cellStyle name="Comma 11 3 2 3 4 2 2" xfId="31547"/>
    <cellStyle name="Comma 11 3 2 3 4 2 3" xfId="31548"/>
    <cellStyle name="Comma 11 3 2 3 4 3" xfId="31549"/>
    <cellStyle name="Comma 11 3 2 3 4 3 2" xfId="31550"/>
    <cellStyle name="Comma 11 3 2 3 4 4" xfId="31551"/>
    <cellStyle name="Comma 11 3 2 3 4 5" xfId="31552"/>
    <cellStyle name="Comma 11 3 2 3 5" xfId="31553"/>
    <cellStyle name="Comma 11 3 2 3 5 2" xfId="31554"/>
    <cellStyle name="Comma 11 3 2 3 5 3" xfId="31555"/>
    <cellStyle name="Comma 11 3 2 3 6" xfId="31556"/>
    <cellStyle name="Comma 11 3 2 3 6 2" xfId="31557"/>
    <cellStyle name="Comma 11 3 2 3 6 3" xfId="31558"/>
    <cellStyle name="Comma 11 3 2 3 7" xfId="31559"/>
    <cellStyle name="Comma 11 3 2 3 7 2" xfId="31560"/>
    <cellStyle name="Comma 11 3 2 3 8" xfId="31561"/>
    <cellStyle name="Comma 11 3 2 3 9" xfId="31562"/>
    <cellStyle name="Comma 11 3 2 4" xfId="31563"/>
    <cellStyle name="Comma 11 3 2 4 2" xfId="31564"/>
    <cellStyle name="Comma 11 3 2 4 2 2" xfId="31565"/>
    <cellStyle name="Comma 11 3 2 4 2 2 2" xfId="31566"/>
    <cellStyle name="Comma 11 3 2 4 2 2 3" xfId="31567"/>
    <cellStyle name="Comma 11 3 2 4 2 3" xfId="31568"/>
    <cellStyle name="Comma 11 3 2 4 2 3 2" xfId="31569"/>
    <cellStyle name="Comma 11 3 2 4 2 3 3" xfId="31570"/>
    <cellStyle name="Comma 11 3 2 4 2 4" xfId="31571"/>
    <cellStyle name="Comma 11 3 2 4 2 4 2" xfId="31572"/>
    <cellStyle name="Comma 11 3 2 4 2 5" xfId="31573"/>
    <cellStyle name="Comma 11 3 2 4 2 6" xfId="31574"/>
    <cellStyle name="Comma 11 3 2 4 3" xfId="31575"/>
    <cellStyle name="Comma 11 3 2 4 3 2" xfId="31576"/>
    <cellStyle name="Comma 11 3 2 4 3 2 2" xfId="31577"/>
    <cellStyle name="Comma 11 3 2 4 3 2 3" xfId="31578"/>
    <cellStyle name="Comma 11 3 2 4 3 3" xfId="31579"/>
    <cellStyle name="Comma 11 3 2 4 3 3 2" xfId="31580"/>
    <cellStyle name="Comma 11 3 2 4 3 3 3" xfId="31581"/>
    <cellStyle name="Comma 11 3 2 4 3 4" xfId="31582"/>
    <cellStyle name="Comma 11 3 2 4 3 4 2" xfId="31583"/>
    <cellStyle name="Comma 11 3 2 4 3 5" xfId="31584"/>
    <cellStyle name="Comma 11 3 2 4 3 6" xfId="31585"/>
    <cellStyle name="Comma 11 3 2 4 4" xfId="31586"/>
    <cellStyle name="Comma 11 3 2 4 4 2" xfId="31587"/>
    <cellStyle name="Comma 11 3 2 4 4 2 2" xfId="31588"/>
    <cellStyle name="Comma 11 3 2 4 4 2 3" xfId="31589"/>
    <cellStyle name="Comma 11 3 2 4 4 3" xfId="31590"/>
    <cellStyle name="Comma 11 3 2 4 4 3 2" xfId="31591"/>
    <cellStyle name="Comma 11 3 2 4 4 4" xfId="31592"/>
    <cellStyle name="Comma 11 3 2 4 4 5" xfId="31593"/>
    <cellStyle name="Comma 11 3 2 4 5" xfId="31594"/>
    <cellStyle name="Comma 11 3 2 4 5 2" xfId="31595"/>
    <cellStyle name="Comma 11 3 2 4 5 3" xfId="31596"/>
    <cellStyle name="Comma 11 3 2 4 6" xfId="31597"/>
    <cellStyle name="Comma 11 3 2 4 6 2" xfId="31598"/>
    <cellStyle name="Comma 11 3 2 4 6 3" xfId="31599"/>
    <cellStyle name="Comma 11 3 2 4 7" xfId="31600"/>
    <cellStyle name="Comma 11 3 2 4 7 2" xfId="31601"/>
    <cellStyle name="Comma 11 3 2 4 8" xfId="31602"/>
    <cellStyle name="Comma 11 3 2 4 9" xfId="31603"/>
    <cellStyle name="Comma 11 3 2 5" xfId="31604"/>
    <cellStyle name="Comma 11 3 2 5 2" xfId="31605"/>
    <cellStyle name="Comma 11 3 2 5 2 2" xfId="31606"/>
    <cellStyle name="Comma 11 3 2 5 2 3" xfId="31607"/>
    <cellStyle name="Comma 11 3 2 5 3" xfId="31608"/>
    <cellStyle name="Comma 11 3 2 5 3 2" xfId="31609"/>
    <cellStyle name="Comma 11 3 2 5 3 3" xfId="31610"/>
    <cellStyle name="Comma 11 3 2 5 4" xfId="31611"/>
    <cellStyle name="Comma 11 3 2 5 4 2" xfId="31612"/>
    <cellStyle name="Comma 11 3 2 5 5" xfId="31613"/>
    <cellStyle name="Comma 11 3 2 5 6" xfId="31614"/>
    <cellStyle name="Comma 11 3 2 6" xfId="31615"/>
    <cellStyle name="Comma 11 3 2 6 2" xfId="31616"/>
    <cellStyle name="Comma 11 3 2 6 2 2" xfId="31617"/>
    <cellStyle name="Comma 11 3 2 6 2 3" xfId="31618"/>
    <cellStyle name="Comma 11 3 2 6 3" xfId="31619"/>
    <cellStyle name="Comma 11 3 2 6 3 2" xfId="31620"/>
    <cellStyle name="Comma 11 3 2 6 3 3" xfId="31621"/>
    <cellStyle name="Comma 11 3 2 6 4" xfId="31622"/>
    <cellStyle name="Comma 11 3 2 6 4 2" xfId="31623"/>
    <cellStyle name="Comma 11 3 2 6 5" xfId="31624"/>
    <cellStyle name="Comma 11 3 2 6 6" xfId="31625"/>
    <cellStyle name="Comma 11 3 2 7" xfId="31626"/>
    <cellStyle name="Comma 11 3 2 7 2" xfId="31627"/>
    <cellStyle name="Comma 11 3 2 7 2 2" xfId="31628"/>
    <cellStyle name="Comma 11 3 2 7 2 3" xfId="31629"/>
    <cellStyle name="Comma 11 3 2 7 3" xfId="31630"/>
    <cellStyle name="Comma 11 3 2 7 3 2" xfId="31631"/>
    <cellStyle name="Comma 11 3 2 7 4" xfId="31632"/>
    <cellStyle name="Comma 11 3 2 7 5" xfId="31633"/>
    <cellStyle name="Comma 11 3 2 8" xfId="31634"/>
    <cellStyle name="Comma 11 3 2 8 2" xfId="31635"/>
    <cellStyle name="Comma 11 3 2 8 3" xfId="31636"/>
    <cellStyle name="Comma 11 3 2 9" xfId="31637"/>
    <cellStyle name="Comma 11 3 2 9 2" xfId="31638"/>
    <cellStyle name="Comma 11 3 2 9 3" xfId="31639"/>
    <cellStyle name="Comma 11 3 3" xfId="8221"/>
    <cellStyle name="Comma 11 3 3 10" xfId="31640"/>
    <cellStyle name="Comma 11 3 3 11" xfId="31641"/>
    <cellStyle name="Comma 11 3 3 2" xfId="31642"/>
    <cellStyle name="Comma 11 3 3 2 2" xfId="31643"/>
    <cellStyle name="Comma 11 3 3 2 2 2" xfId="31644"/>
    <cellStyle name="Comma 11 3 3 2 2 2 2" xfId="31645"/>
    <cellStyle name="Comma 11 3 3 2 2 2 3" xfId="31646"/>
    <cellStyle name="Comma 11 3 3 2 2 3" xfId="31647"/>
    <cellStyle name="Comma 11 3 3 2 2 3 2" xfId="31648"/>
    <cellStyle name="Comma 11 3 3 2 2 3 3" xfId="31649"/>
    <cellStyle name="Comma 11 3 3 2 2 4" xfId="31650"/>
    <cellStyle name="Comma 11 3 3 2 2 4 2" xfId="31651"/>
    <cellStyle name="Comma 11 3 3 2 2 5" xfId="31652"/>
    <cellStyle name="Comma 11 3 3 2 2 6" xfId="31653"/>
    <cellStyle name="Comma 11 3 3 2 3" xfId="31654"/>
    <cellStyle name="Comma 11 3 3 2 3 2" xfId="31655"/>
    <cellStyle name="Comma 11 3 3 2 3 2 2" xfId="31656"/>
    <cellStyle name="Comma 11 3 3 2 3 2 3" xfId="31657"/>
    <cellStyle name="Comma 11 3 3 2 3 3" xfId="31658"/>
    <cellStyle name="Comma 11 3 3 2 3 3 2" xfId="31659"/>
    <cellStyle name="Comma 11 3 3 2 3 3 3" xfId="31660"/>
    <cellStyle name="Comma 11 3 3 2 3 4" xfId="31661"/>
    <cellStyle name="Comma 11 3 3 2 3 4 2" xfId="31662"/>
    <cellStyle name="Comma 11 3 3 2 3 5" xfId="31663"/>
    <cellStyle name="Comma 11 3 3 2 3 6" xfId="31664"/>
    <cellStyle name="Comma 11 3 3 2 4" xfId="31665"/>
    <cellStyle name="Comma 11 3 3 2 4 2" xfId="31666"/>
    <cellStyle name="Comma 11 3 3 2 4 2 2" xfId="31667"/>
    <cellStyle name="Comma 11 3 3 2 4 2 3" xfId="31668"/>
    <cellStyle name="Comma 11 3 3 2 4 3" xfId="31669"/>
    <cellStyle name="Comma 11 3 3 2 4 3 2" xfId="31670"/>
    <cellStyle name="Comma 11 3 3 2 4 4" xfId="31671"/>
    <cellStyle name="Comma 11 3 3 2 4 5" xfId="31672"/>
    <cellStyle name="Comma 11 3 3 2 5" xfId="31673"/>
    <cellStyle name="Comma 11 3 3 2 5 2" xfId="31674"/>
    <cellStyle name="Comma 11 3 3 2 5 3" xfId="31675"/>
    <cellStyle name="Comma 11 3 3 2 6" xfId="31676"/>
    <cellStyle name="Comma 11 3 3 2 6 2" xfId="31677"/>
    <cellStyle name="Comma 11 3 3 2 6 3" xfId="31678"/>
    <cellStyle name="Comma 11 3 3 2 7" xfId="31679"/>
    <cellStyle name="Comma 11 3 3 2 7 2" xfId="31680"/>
    <cellStyle name="Comma 11 3 3 2 8" xfId="31681"/>
    <cellStyle name="Comma 11 3 3 2 9" xfId="31682"/>
    <cellStyle name="Comma 11 3 3 3" xfId="31683"/>
    <cellStyle name="Comma 11 3 3 3 2" xfId="31684"/>
    <cellStyle name="Comma 11 3 3 3 2 2" xfId="31685"/>
    <cellStyle name="Comma 11 3 3 3 2 3" xfId="31686"/>
    <cellStyle name="Comma 11 3 3 3 3" xfId="31687"/>
    <cellStyle name="Comma 11 3 3 3 3 2" xfId="31688"/>
    <cellStyle name="Comma 11 3 3 3 3 3" xfId="31689"/>
    <cellStyle name="Comma 11 3 3 3 4" xfId="31690"/>
    <cellStyle name="Comma 11 3 3 3 4 2" xfId="31691"/>
    <cellStyle name="Comma 11 3 3 3 5" xfId="31692"/>
    <cellStyle name="Comma 11 3 3 3 6" xfId="31693"/>
    <cellStyle name="Comma 11 3 3 4" xfId="31694"/>
    <cellStyle name="Comma 11 3 3 4 2" xfId="31695"/>
    <cellStyle name="Comma 11 3 3 4 2 2" xfId="31696"/>
    <cellStyle name="Comma 11 3 3 4 2 3" xfId="31697"/>
    <cellStyle name="Comma 11 3 3 4 3" xfId="31698"/>
    <cellStyle name="Comma 11 3 3 4 3 2" xfId="31699"/>
    <cellStyle name="Comma 11 3 3 4 3 3" xfId="31700"/>
    <cellStyle name="Comma 11 3 3 4 4" xfId="31701"/>
    <cellStyle name="Comma 11 3 3 4 4 2" xfId="31702"/>
    <cellStyle name="Comma 11 3 3 4 5" xfId="31703"/>
    <cellStyle name="Comma 11 3 3 4 6" xfId="31704"/>
    <cellStyle name="Comma 11 3 3 5" xfId="31705"/>
    <cellStyle name="Comma 11 3 3 5 2" xfId="31706"/>
    <cellStyle name="Comma 11 3 3 5 2 2" xfId="31707"/>
    <cellStyle name="Comma 11 3 3 5 2 3" xfId="31708"/>
    <cellStyle name="Comma 11 3 3 5 3" xfId="31709"/>
    <cellStyle name="Comma 11 3 3 5 3 2" xfId="31710"/>
    <cellStyle name="Comma 11 3 3 5 4" xfId="31711"/>
    <cellStyle name="Comma 11 3 3 5 5" xfId="31712"/>
    <cellStyle name="Comma 11 3 3 6" xfId="31713"/>
    <cellStyle name="Comma 11 3 3 6 2" xfId="31714"/>
    <cellStyle name="Comma 11 3 3 6 3" xfId="31715"/>
    <cellStyle name="Comma 11 3 3 7" xfId="31716"/>
    <cellStyle name="Comma 11 3 3 7 2" xfId="31717"/>
    <cellStyle name="Comma 11 3 3 7 3" xfId="31718"/>
    <cellStyle name="Comma 11 3 3 8" xfId="31719"/>
    <cellStyle name="Comma 11 3 3 8 2" xfId="31720"/>
    <cellStyle name="Comma 11 3 3 9" xfId="31721"/>
    <cellStyle name="Comma 11 3 4" xfId="31722"/>
    <cellStyle name="Comma 11 3 4 2" xfId="31723"/>
    <cellStyle name="Comma 11 3 4 2 2" xfId="31724"/>
    <cellStyle name="Comma 11 3 4 2 2 2" xfId="31725"/>
    <cellStyle name="Comma 11 3 4 2 2 3" xfId="31726"/>
    <cellStyle name="Comma 11 3 4 2 3" xfId="31727"/>
    <cellStyle name="Comma 11 3 4 2 3 2" xfId="31728"/>
    <cellStyle name="Comma 11 3 4 2 3 3" xfId="31729"/>
    <cellStyle name="Comma 11 3 4 2 4" xfId="31730"/>
    <cellStyle name="Comma 11 3 4 2 4 2" xfId="31731"/>
    <cellStyle name="Comma 11 3 4 2 5" xfId="31732"/>
    <cellStyle name="Comma 11 3 4 2 6" xfId="31733"/>
    <cellStyle name="Comma 11 3 4 3" xfId="31734"/>
    <cellStyle name="Comma 11 3 4 3 2" xfId="31735"/>
    <cellStyle name="Comma 11 3 4 3 2 2" xfId="31736"/>
    <cellStyle name="Comma 11 3 4 3 2 3" xfId="31737"/>
    <cellStyle name="Comma 11 3 4 3 3" xfId="31738"/>
    <cellStyle name="Comma 11 3 4 3 3 2" xfId="31739"/>
    <cellStyle name="Comma 11 3 4 3 3 3" xfId="31740"/>
    <cellStyle name="Comma 11 3 4 3 4" xfId="31741"/>
    <cellStyle name="Comma 11 3 4 3 4 2" xfId="31742"/>
    <cellStyle name="Comma 11 3 4 3 5" xfId="31743"/>
    <cellStyle name="Comma 11 3 4 3 6" xfId="31744"/>
    <cellStyle name="Comma 11 3 4 4" xfId="31745"/>
    <cellStyle name="Comma 11 3 4 4 2" xfId="31746"/>
    <cellStyle name="Comma 11 3 4 4 2 2" xfId="31747"/>
    <cellStyle name="Comma 11 3 4 4 2 3" xfId="31748"/>
    <cellStyle name="Comma 11 3 4 4 3" xfId="31749"/>
    <cellStyle name="Comma 11 3 4 4 3 2" xfId="31750"/>
    <cellStyle name="Comma 11 3 4 4 4" xfId="31751"/>
    <cellStyle name="Comma 11 3 4 4 5" xfId="31752"/>
    <cellStyle name="Comma 11 3 4 5" xfId="31753"/>
    <cellStyle name="Comma 11 3 4 5 2" xfId="31754"/>
    <cellStyle name="Comma 11 3 4 5 3" xfId="31755"/>
    <cellStyle name="Comma 11 3 4 6" xfId="31756"/>
    <cellStyle name="Comma 11 3 4 6 2" xfId="31757"/>
    <cellStyle name="Comma 11 3 4 6 3" xfId="31758"/>
    <cellStyle name="Comma 11 3 4 7" xfId="31759"/>
    <cellStyle name="Comma 11 3 4 7 2" xfId="31760"/>
    <cellStyle name="Comma 11 3 4 8" xfId="31761"/>
    <cellStyle name="Comma 11 3 4 9" xfId="31762"/>
    <cellStyle name="Comma 11 3 5" xfId="31763"/>
    <cellStyle name="Comma 11 3 5 2" xfId="31764"/>
    <cellStyle name="Comma 11 3 5 2 2" xfId="31765"/>
    <cellStyle name="Comma 11 3 5 2 2 2" xfId="31766"/>
    <cellStyle name="Comma 11 3 5 2 2 3" xfId="31767"/>
    <cellStyle name="Comma 11 3 5 2 3" xfId="31768"/>
    <cellStyle name="Comma 11 3 5 2 3 2" xfId="31769"/>
    <cellStyle name="Comma 11 3 5 2 3 3" xfId="31770"/>
    <cellStyle name="Comma 11 3 5 2 4" xfId="31771"/>
    <cellStyle name="Comma 11 3 5 2 4 2" xfId="31772"/>
    <cellStyle name="Comma 11 3 5 2 5" xfId="31773"/>
    <cellStyle name="Comma 11 3 5 2 6" xfId="31774"/>
    <cellStyle name="Comma 11 3 5 3" xfId="31775"/>
    <cellStyle name="Comma 11 3 5 3 2" xfId="31776"/>
    <cellStyle name="Comma 11 3 5 3 2 2" xfId="31777"/>
    <cellStyle name="Comma 11 3 5 3 2 3" xfId="31778"/>
    <cellStyle name="Comma 11 3 5 3 3" xfId="31779"/>
    <cellStyle name="Comma 11 3 5 3 3 2" xfId="31780"/>
    <cellStyle name="Comma 11 3 5 3 3 3" xfId="31781"/>
    <cellStyle name="Comma 11 3 5 3 4" xfId="31782"/>
    <cellStyle name="Comma 11 3 5 3 4 2" xfId="31783"/>
    <cellStyle name="Comma 11 3 5 3 5" xfId="31784"/>
    <cellStyle name="Comma 11 3 5 3 6" xfId="31785"/>
    <cellStyle name="Comma 11 3 5 4" xfId="31786"/>
    <cellStyle name="Comma 11 3 5 4 2" xfId="31787"/>
    <cellStyle name="Comma 11 3 5 4 2 2" xfId="31788"/>
    <cellStyle name="Comma 11 3 5 4 2 3" xfId="31789"/>
    <cellStyle name="Comma 11 3 5 4 3" xfId="31790"/>
    <cellStyle name="Comma 11 3 5 4 3 2" xfId="31791"/>
    <cellStyle name="Comma 11 3 5 4 4" xfId="31792"/>
    <cellStyle name="Comma 11 3 5 4 5" xfId="31793"/>
    <cellStyle name="Comma 11 3 5 5" xfId="31794"/>
    <cellStyle name="Comma 11 3 5 5 2" xfId="31795"/>
    <cellStyle name="Comma 11 3 5 5 3" xfId="31796"/>
    <cellStyle name="Comma 11 3 5 6" xfId="31797"/>
    <cellStyle name="Comma 11 3 5 6 2" xfId="31798"/>
    <cellStyle name="Comma 11 3 5 6 3" xfId="31799"/>
    <cellStyle name="Comma 11 3 5 7" xfId="31800"/>
    <cellStyle name="Comma 11 3 5 7 2" xfId="31801"/>
    <cellStyle name="Comma 11 3 5 8" xfId="31802"/>
    <cellStyle name="Comma 11 3 5 9" xfId="31803"/>
    <cellStyle name="Comma 11 3 6" xfId="31804"/>
    <cellStyle name="Comma 11 3 6 2" xfId="31805"/>
    <cellStyle name="Comma 11 3 6 2 2" xfId="31806"/>
    <cellStyle name="Comma 11 3 6 2 3" xfId="31807"/>
    <cellStyle name="Comma 11 3 6 3" xfId="31808"/>
    <cellStyle name="Comma 11 3 6 3 2" xfId="31809"/>
    <cellStyle name="Comma 11 3 6 3 3" xfId="31810"/>
    <cellStyle name="Comma 11 3 6 4" xfId="31811"/>
    <cellStyle name="Comma 11 3 6 4 2" xfId="31812"/>
    <cellStyle name="Comma 11 3 6 5" xfId="31813"/>
    <cellStyle name="Comma 11 3 6 6" xfId="31814"/>
    <cellStyle name="Comma 11 3 7" xfId="31815"/>
    <cellStyle name="Comma 11 3 7 2" xfId="31816"/>
    <cellStyle name="Comma 11 3 7 2 2" xfId="31817"/>
    <cellStyle name="Comma 11 3 7 2 3" xfId="31818"/>
    <cellStyle name="Comma 11 3 7 3" xfId="31819"/>
    <cellStyle name="Comma 11 3 7 3 2" xfId="31820"/>
    <cellStyle name="Comma 11 3 7 3 3" xfId="31821"/>
    <cellStyle name="Comma 11 3 7 4" xfId="31822"/>
    <cellStyle name="Comma 11 3 7 4 2" xfId="31823"/>
    <cellStyle name="Comma 11 3 7 5" xfId="31824"/>
    <cellStyle name="Comma 11 3 7 6" xfId="31825"/>
    <cellStyle name="Comma 11 3 8" xfId="31826"/>
    <cellStyle name="Comma 11 3 8 2" xfId="31827"/>
    <cellStyle name="Comma 11 3 8 2 2" xfId="31828"/>
    <cellStyle name="Comma 11 3 8 2 3" xfId="31829"/>
    <cellStyle name="Comma 11 3 8 3" xfId="31830"/>
    <cellStyle name="Comma 11 3 8 3 2" xfId="31831"/>
    <cellStyle name="Comma 11 3 8 4" xfId="31832"/>
    <cellStyle name="Comma 11 3 8 5" xfId="31833"/>
    <cellStyle name="Comma 11 3 9" xfId="31834"/>
    <cellStyle name="Comma 11 3 9 2" xfId="31835"/>
    <cellStyle name="Comma 11 3 9 3" xfId="31836"/>
    <cellStyle name="Comma 11 4" xfId="8222"/>
    <cellStyle name="Comma 11 4 10" xfId="31837"/>
    <cellStyle name="Comma 11 4 10 2" xfId="31838"/>
    <cellStyle name="Comma 11 4 11" xfId="31839"/>
    <cellStyle name="Comma 11 4 12" xfId="31840"/>
    <cellStyle name="Comma 11 4 13" xfId="31841"/>
    <cellStyle name="Comma 11 4 2" xfId="8223"/>
    <cellStyle name="Comma 11 4 2 10" xfId="31842"/>
    <cellStyle name="Comma 11 4 2 11" xfId="31843"/>
    <cellStyle name="Comma 11 4 2 2" xfId="31844"/>
    <cellStyle name="Comma 11 4 2 2 2" xfId="31845"/>
    <cellStyle name="Comma 11 4 2 2 2 2" xfId="31846"/>
    <cellStyle name="Comma 11 4 2 2 2 2 2" xfId="31847"/>
    <cellStyle name="Comma 11 4 2 2 2 2 3" xfId="31848"/>
    <cellStyle name="Comma 11 4 2 2 2 3" xfId="31849"/>
    <cellStyle name="Comma 11 4 2 2 2 3 2" xfId="31850"/>
    <cellStyle name="Comma 11 4 2 2 2 3 3" xfId="31851"/>
    <cellStyle name="Comma 11 4 2 2 2 4" xfId="31852"/>
    <cellStyle name="Comma 11 4 2 2 2 4 2" xfId="31853"/>
    <cellStyle name="Comma 11 4 2 2 2 5" xfId="31854"/>
    <cellStyle name="Comma 11 4 2 2 2 6" xfId="31855"/>
    <cellStyle name="Comma 11 4 2 2 3" xfId="31856"/>
    <cellStyle name="Comma 11 4 2 2 3 2" xfId="31857"/>
    <cellStyle name="Comma 11 4 2 2 3 2 2" xfId="31858"/>
    <cellStyle name="Comma 11 4 2 2 3 2 3" xfId="31859"/>
    <cellStyle name="Comma 11 4 2 2 3 3" xfId="31860"/>
    <cellStyle name="Comma 11 4 2 2 3 3 2" xfId="31861"/>
    <cellStyle name="Comma 11 4 2 2 3 3 3" xfId="31862"/>
    <cellStyle name="Comma 11 4 2 2 3 4" xfId="31863"/>
    <cellStyle name="Comma 11 4 2 2 3 4 2" xfId="31864"/>
    <cellStyle name="Comma 11 4 2 2 3 5" xfId="31865"/>
    <cellStyle name="Comma 11 4 2 2 3 6" xfId="31866"/>
    <cellStyle name="Comma 11 4 2 2 4" xfId="31867"/>
    <cellStyle name="Comma 11 4 2 2 4 2" xfId="31868"/>
    <cellStyle name="Comma 11 4 2 2 4 2 2" xfId="31869"/>
    <cellStyle name="Comma 11 4 2 2 4 2 3" xfId="31870"/>
    <cellStyle name="Comma 11 4 2 2 4 3" xfId="31871"/>
    <cellStyle name="Comma 11 4 2 2 4 3 2" xfId="31872"/>
    <cellStyle name="Comma 11 4 2 2 4 4" xfId="31873"/>
    <cellStyle name="Comma 11 4 2 2 4 5" xfId="31874"/>
    <cellStyle name="Comma 11 4 2 2 5" xfId="31875"/>
    <cellStyle name="Comma 11 4 2 2 5 2" xfId="31876"/>
    <cellStyle name="Comma 11 4 2 2 5 3" xfId="31877"/>
    <cellStyle name="Comma 11 4 2 2 6" xfId="31878"/>
    <cellStyle name="Comma 11 4 2 2 6 2" xfId="31879"/>
    <cellStyle name="Comma 11 4 2 2 6 3" xfId="31880"/>
    <cellStyle name="Comma 11 4 2 2 7" xfId="31881"/>
    <cellStyle name="Comma 11 4 2 2 7 2" xfId="31882"/>
    <cellStyle name="Comma 11 4 2 2 8" xfId="31883"/>
    <cellStyle name="Comma 11 4 2 2 9" xfId="31884"/>
    <cellStyle name="Comma 11 4 2 3" xfId="31885"/>
    <cellStyle name="Comma 11 4 2 3 2" xfId="31886"/>
    <cellStyle name="Comma 11 4 2 3 2 2" xfId="31887"/>
    <cellStyle name="Comma 11 4 2 3 2 3" xfId="31888"/>
    <cellStyle name="Comma 11 4 2 3 3" xfId="31889"/>
    <cellStyle name="Comma 11 4 2 3 3 2" xfId="31890"/>
    <cellStyle name="Comma 11 4 2 3 3 3" xfId="31891"/>
    <cellStyle name="Comma 11 4 2 3 4" xfId="31892"/>
    <cellStyle name="Comma 11 4 2 3 4 2" xfId="31893"/>
    <cellStyle name="Comma 11 4 2 3 5" xfId="31894"/>
    <cellStyle name="Comma 11 4 2 3 6" xfId="31895"/>
    <cellStyle name="Comma 11 4 2 4" xfId="31896"/>
    <cellStyle name="Comma 11 4 2 4 2" xfId="31897"/>
    <cellStyle name="Comma 11 4 2 4 2 2" xfId="31898"/>
    <cellStyle name="Comma 11 4 2 4 2 3" xfId="31899"/>
    <cellStyle name="Comma 11 4 2 4 3" xfId="31900"/>
    <cellStyle name="Comma 11 4 2 4 3 2" xfId="31901"/>
    <cellStyle name="Comma 11 4 2 4 3 3" xfId="31902"/>
    <cellStyle name="Comma 11 4 2 4 4" xfId="31903"/>
    <cellStyle name="Comma 11 4 2 4 4 2" xfId="31904"/>
    <cellStyle name="Comma 11 4 2 4 5" xfId="31905"/>
    <cellStyle name="Comma 11 4 2 4 6" xfId="31906"/>
    <cellStyle name="Comma 11 4 2 5" xfId="31907"/>
    <cellStyle name="Comma 11 4 2 5 2" xfId="31908"/>
    <cellStyle name="Comma 11 4 2 5 2 2" xfId="31909"/>
    <cellStyle name="Comma 11 4 2 5 2 3" xfId="31910"/>
    <cellStyle name="Comma 11 4 2 5 3" xfId="31911"/>
    <cellStyle name="Comma 11 4 2 5 3 2" xfId="31912"/>
    <cellStyle name="Comma 11 4 2 5 4" xfId="31913"/>
    <cellStyle name="Comma 11 4 2 5 5" xfId="31914"/>
    <cellStyle name="Comma 11 4 2 6" xfId="31915"/>
    <cellStyle name="Comma 11 4 2 6 2" xfId="31916"/>
    <cellStyle name="Comma 11 4 2 6 3" xfId="31917"/>
    <cellStyle name="Comma 11 4 2 7" xfId="31918"/>
    <cellStyle name="Comma 11 4 2 7 2" xfId="31919"/>
    <cellStyle name="Comma 11 4 2 7 3" xfId="31920"/>
    <cellStyle name="Comma 11 4 2 8" xfId="31921"/>
    <cellStyle name="Comma 11 4 2 8 2" xfId="31922"/>
    <cellStyle name="Comma 11 4 2 9" xfId="31923"/>
    <cellStyle name="Comma 11 4 3" xfId="31924"/>
    <cellStyle name="Comma 11 4 3 2" xfId="31925"/>
    <cellStyle name="Comma 11 4 3 2 2" xfId="31926"/>
    <cellStyle name="Comma 11 4 3 2 2 2" xfId="31927"/>
    <cellStyle name="Comma 11 4 3 2 2 3" xfId="31928"/>
    <cellStyle name="Comma 11 4 3 2 3" xfId="31929"/>
    <cellStyle name="Comma 11 4 3 2 3 2" xfId="31930"/>
    <cellStyle name="Comma 11 4 3 2 3 3" xfId="31931"/>
    <cellStyle name="Comma 11 4 3 2 4" xfId="31932"/>
    <cellStyle name="Comma 11 4 3 2 4 2" xfId="31933"/>
    <cellStyle name="Comma 11 4 3 2 5" xfId="31934"/>
    <cellStyle name="Comma 11 4 3 2 6" xfId="31935"/>
    <cellStyle name="Comma 11 4 3 3" xfId="31936"/>
    <cellStyle name="Comma 11 4 3 3 2" xfId="31937"/>
    <cellStyle name="Comma 11 4 3 3 2 2" xfId="31938"/>
    <cellStyle name="Comma 11 4 3 3 2 3" xfId="31939"/>
    <cellStyle name="Comma 11 4 3 3 3" xfId="31940"/>
    <cellStyle name="Comma 11 4 3 3 3 2" xfId="31941"/>
    <cellStyle name="Comma 11 4 3 3 3 3" xfId="31942"/>
    <cellStyle name="Comma 11 4 3 3 4" xfId="31943"/>
    <cellStyle name="Comma 11 4 3 3 4 2" xfId="31944"/>
    <cellStyle name="Comma 11 4 3 3 5" xfId="31945"/>
    <cellStyle name="Comma 11 4 3 3 6" xfId="31946"/>
    <cellStyle name="Comma 11 4 3 4" xfId="31947"/>
    <cellStyle name="Comma 11 4 3 4 2" xfId="31948"/>
    <cellStyle name="Comma 11 4 3 4 2 2" xfId="31949"/>
    <cellStyle name="Comma 11 4 3 4 2 3" xfId="31950"/>
    <cellStyle name="Comma 11 4 3 4 3" xfId="31951"/>
    <cellStyle name="Comma 11 4 3 4 3 2" xfId="31952"/>
    <cellStyle name="Comma 11 4 3 4 4" xfId="31953"/>
    <cellStyle name="Comma 11 4 3 4 5" xfId="31954"/>
    <cellStyle name="Comma 11 4 3 5" xfId="31955"/>
    <cellStyle name="Comma 11 4 3 5 2" xfId="31956"/>
    <cellStyle name="Comma 11 4 3 5 3" xfId="31957"/>
    <cellStyle name="Comma 11 4 3 6" xfId="31958"/>
    <cellStyle name="Comma 11 4 3 6 2" xfId="31959"/>
    <cellStyle name="Comma 11 4 3 6 3" xfId="31960"/>
    <cellStyle name="Comma 11 4 3 7" xfId="31961"/>
    <cellStyle name="Comma 11 4 3 7 2" xfId="31962"/>
    <cellStyle name="Comma 11 4 3 8" xfId="31963"/>
    <cellStyle name="Comma 11 4 3 9" xfId="31964"/>
    <cellStyle name="Comma 11 4 4" xfId="31965"/>
    <cellStyle name="Comma 11 4 4 2" xfId="31966"/>
    <cellStyle name="Comma 11 4 4 2 2" xfId="31967"/>
    <cellStyle name="Comma 11 4 4 2 2 2" xfId="31968"/>
    <cellStyle name="Comma 11 4 4 2 2 3" xfId="31969"/>
    <cellStyle name="Comma 11 4 4 2 3" xfId="31970"/>
    <cellStyle name="Comma 11 4 4 2 3 2" xfId="31971"/>
    <cellStyle name="Comma 11 4 4 2 3 3" xfId="31972"/>
    <cellStyle name="Comma 11 4 4 2 4" xfId="31973"/>
    <cellStyle name="Comma 11 4 4 2 4 2" xfId="31974"/>
    <cellStyle name="Comma 11 4 4 2 5" xfId="31975"/>
    <cellStyle name="Comma 11 4 4 2 6" xfId="31976"/>
    <cellStyle name="Comma 11 4 4 3" xfId="31977"/>
    <cellStyle name="Comma 11 4 4 3 2" xfId="31978"/>
    <cellStyle name="Comma 11 4 4 3 2 2" xfId="31979"/>
    <cellStyle name="Comma 11 4 4 3 2 3" xfId="31980"/>
    <cellStyle name="Comma 11 4 4 3 3" xfId="31981"/>
    <cellStyle name="Comma 11 4 4 3 3 2" xfId="31982"/>
    <cellStyle name="Comma 11 4 4 3 3 3" xfId="31983"/>
    <cellStyle name="Comma 11 4 4 3 4" xfId="31984"/>
    <cellStyle name="Comma 11 4 4 3 4 2" xfId="31985"/>
    <cellStyle name="Comma 11 4 4 3 5" xfId="31986"/>
    <cellStyle name="Comma 11 4 4 3 6" xfId="31987"/>
    <cellStyle name="Comma 11 4 4 4" xfId="31988"/>
    <cellStyle name="Comma 11 4 4 4 2" xfId="31989"/>
    <cellStyle name="Comma 11 4 4 4 2 2" xfId="31990"/>
    <cellStyle name="Comma 11 4 4 4 2 3" xfId="31991"/>
    <cellStyle name="Comma 11 4 4 4 3" xfId="31992"/>
    <cellStyle name="Comma 11 4 4 4 3 2" xfId="31993"/>
    <cellStyle name="Comma 11 4 4 4 4" xfId="31994"/>
    <cellStyle name="Comma 11 4 4 4 5" xfId="31995"/>
    <cellStyle name="Comma 11 4 4 5" xfId="31996"/>
    <cellStyle name="Comma 11 4 4 5 2" xfId="31997"/>
    <cellStyle name="Comma 11 4 4 5 3" xfId="31998"/>
    <cellStyle name="Comma 11 4 4 6" xfId="31999"/>
    <cellStyle name="Comma 11 4 4 6 2" xfId="32000"/>
    <cellStyle name="Comma 11 4 4 6 3" xfId="32001"/>
    <cellStyle name="Comma 11 4 4 7" xfId="32002"/>
    <cellStyle name="Comma 11 4 4 7 2" xfId="32003"/>
    <cellStyle name="Comma 11 4 4 8" xfId="32004"/>
    <cellStyle name="Comma 11 4 4 9" xfId="32005"/>
    <cellStyle name="Comma 11 4 5" xfId="32006"/>
    <cellStyle name="Comma 11 4 5 2" xfId="32007"/>
    <cellStyle name="Comma 11 4 5 2 2" xfId="32008"/>
    <cellStyle name="Comma 11 4 5 2 3" xfId="32009"/>
    <cellStyle name="Comma 11 4 5 3" xfId="32010"/>
    <cellStyle name="Comma 11 4 5 3 2" xfId="32011"/>
    <cellStyle name="Comma 11 4 5 3 3" xfId="32012"/>
    <cellStyle name="Comma 11 4 5 4" xfId="32013"/>
    <cellStyle name="Comma 11 4 5 4 2" xfId="32014"/>
    <cellStyle name="Comma 11 4 5 5" xfId="32015"/>
    <cellStyle name="Comma 11 4 5 6" xfId="32016"/>
    <cellStyle name="Comma 11 4 6" xfId="32017"/>
    <cellStyle name="Comma 11 4 6 2" xfId="32018"/>
    <cellStyle name="Comma 11 4 6 2 2" xfId="32019"/>
    <cellStyle name="Comma 11 4 6 2 3" xfId="32020"/>
    <cellStyle name="Comma 11 4 6 3" xfId="32021"/>
    <cellStyle name="Comma 11 4 6 3 2" xfId="32022"/>
    <cellStyle name="Comma 11 4 6 3 3" xfId="32023"/>
    <cellStyle name="Comma 11 4 6 4" xfId="32024"/>
    <cellStyle name="Comma 11 4 6 4 2" xfId="32025"/>
    <cellStyle name="Comma 11 4 6 5" xfId="32026"/>
    <cellStyle name="Comma 11 4 6 6" xfId="32027"/>
    <cellStyle name="Comma 11 4 7" xfId="32028"/>
    <cellStyle name="Comma 11 4 7 2" xfId="32029"/>
    <cellStyle name="Comma 11 4 7 2 2" xfId="32030"/>
    <cellStyle name="Comma 11 4 7 2 3" xfId="32031"/>
    <cellStyle name="Comma 11 4 7 3" xfId="32032"/>
    <cellStyle name="Comma 11 4 7 3 2" xfId="32033"/>
    <cellStyle name="Comma 11 4 7 4" xfId="32034"/>
    <cellStyle name="Comma 11 4 7 5" xfId="32035"/>
    <cellStyle name="Comma 11 4 8" xfId="32036"/>
    <cellStyle name="Comma 11 4 8 2" xfId="32037"/>
    <cellStyle name="Comma 11 4 8 3" xfId="32038"/>
    <cellStyle name="Comma 11 4 9" xfId="32039"/>
    <cellStyle name="Comma 11 4 9 2" xfId="32040"/>
    <cellStyle name="Comma 11 4 9 3" xfId="32041"/>
    <cellStyle name="Comma 11 5" xfId="8224"/>
    <cellStyle name="Comma 11 5 10" xfId="32042"/>
    <cellStyle name="Comma 11 5 11" xfId="32043"/>
    <cellStyle name="Comma 11 5 2" xfId="8225"/>
    <cellStyle name="Comma 11 5 2 10" xfId="32044"/>
    <cellStyle name="Comma 11 5 2 2" xfId="32045"/>
    <cellStyle name="Comma 11 5 2 2 2" xfId="32046"/>
    <cellStyle name="Comma 11 5 2 2 2 2" xfId="32047"/>
    <cellStyle name="Comma 11 5 2 2 2 3" xfId="32048"/>
    <cellStyle name="Comma 11 5 2 2 3" xfId="32049"/>
    <cellStyle name="Comma 11 5 2 2 3 2" xfId="32050"/>
    <cellStyle name="Comma 11 5 2 2 3 3" xfId="32051"/>
    <cellStyle name="Comma 11 5 2 2 4" xfId="32052"/>
    <cellStyle name="Comma 11 5 2 2 4 2" xfId="32053"/>
    <cellStyle name="Comma 11 5 2 2 5" xfId="32054"/>
    <cellStyle name="Comma 11 5 2 2 6" xfId="32055"/>
    <cellStyle name="Comma 11 5 2 3" xfId="32056"/>
    <cellStyle name="Comma 11 5 2 3 2" xfId="32057"/>
    <cellStyle name="Comma 11 5 2 3 2 2" xfId="32058"/>
    <cellStyle name="Comma 11 5 2 3 2 3" xfId="32059"/>
    <cellStyle name="Comma 11 5 2 3 3" xfId="32060"/>
    <cellStyle name="Comma 11 5 2 3 3 2" xfId="32061"/>
    <cellStyle name="Comma 11 5 2 3 3 3" xfId="32062"/>
    <cellStyle name="Comma 11 5 2 3 4" xfId="32063"/>
    <cellStyle name="Comma 11 5 2 3 4 2" xfId="32064"/>
    <cellStyle name="Comma 11 5 2 3 5" xfId="32065"/>
    <cellStyle name="Comma 11 5 2 3 6" xfId="32066"/>
    <cellStyle name="Comma 11 5 2 4" xfId="32067"/>
    <cellStyle name="Comma 11 5 2 4 2" xfId="32068"/>
    <cellStyle name="Comma 11 5 2 4 2 2" xfId="32069"/>
    <cellStyle name="Comma 11 5 2 4 2 3" xfId="32070"/>
    <cellStyle name="Comma 11 5 2 4 3" xfId="32071"/>
    <cellStyle name="Comma 11 5 2 4 3 2" xfId="32072"/>
    <cellStyle name="Comma 11 5 2 4 4" xfId="32073"/>
    <cellStyle name="Comma 11 5 2 4 5" xfId="32074"/>
    <cellStyle name="Comma 11 5 2 5" xfId="32075"/>
    <cellStyle name="Comma 11 5 2 5 2" xfId="32076"/>
    <cellStyle name="Comma 11 5 2 5 3" xfId="32077"/>
    <cellStyle name="Comma 11 5 2 6" xfId="32078"/>
    <cellStyle name="Comma 11 5 2 6 2" xfId="32079"/>
    <cellStyle name="Comma 11 5 2 6 3" xfId="32080"/>
    <cellStyle name="Comma 11 5 2 7" xfId="32081"/>
    <cellStyle name="Comma 11 5 2 7 2" xfId="32082"/>
    <cellStyle name="Comma 11 5 2 8" xfId="32083"/>
    <cellStyle name="Comma 11 5 2 9" xfId="32084"/>
    <cellStyle name="Comma 11 5 3" xfId="32085"/>
    <cellStyle name="Comma 11 5 3 2" xfId="32086"/>
    <cellStyle name="Comma 11 5 3 2 2" xfId="32087"/>
    <cellStyle name="Comma 11 5 3 2 3" xfId="32088"/>
    <cellStyle name="Comma 11 5 3 3" xfId="32089"/>
    <cellStyle name="Comma 11 5 3 3 2" xfId="32090"/>
    <cellStyle name="Comma 11 5 3 3 3" xfId="32091"/>
    <cellStyle name="Comma 11 5 3 4" xfId="32092"/>
    <cellStyle name="Comma 11 5 3 4 2" xfId="32093"/>
    <cellStyle name="Comma 11 5 3 5" xfId="32094"/>
    <cellStyle name="Comma 11 5 3 6" xfId="32095"/>
    <cellStyle name="Comma 11 5 4" xfId="32096"/>
    <cellStyle name="Comma 11 5 4 2" xfId="32097"/>
    <cellStyle name="Comma 11 5 4 2 2" xfId="32098"/>
    <cellStyle name="Comma 11 5 4 2 3" xfId="32099"/>
    <cellStyle name="Comma 11 5 4 3" xfId="32100"/>
    <cellStyle name="Comma 11 5 4 3 2" xfId="32101"/>
    <cellStyle name="Comma 11 5 4 3 3" xfId="32102"/>
    <cellStyle name="Comma 11 5 4 4" xfId="32103"/>
    <cellStyle name="Comma 11 5 4 4 2" xfId="32104"/>
    <cellStyle name="Comma 11 5 4 5" xfId="32105"/>
    <cellStyle name="Comma 11 5 4 6" xfId="32106"/>
    <cellStyle name="Comma 11 5 5" xfId="32107"/>
    <cellStyle name="Comma 11 5 5 2" xfId="32108"/>
    <cellStyle name="Comma 11 5 5 2 2" xfId="32109"/>
    <cellStyle name="Comma 11 5 5 2 3" xfId="32110"/>
    <cellStyle name="Comma 11 5 5 3" xfId="32111"/>
    <cellStyle name="Comma 11 5 5 3 2" xfId="32112"/>
    <cellStyle name="Comma 11 5 5 4" xfId="32113"/>
    <cellStyle name="Comma 11 5 5 5" xfId="32114"/>
    <cellStyle name="Comma 11 5 6" xfId="32115"/>
    <cellStyle name="Comma 11 5 6 2" xfId="32116"/>
    <cellStyle name="Comma 11 5 6 3" xfId="32117"/>
    <cellStyle name="Comma 11 5 7" xfId="32118"/>
    <cellStyle name="Comma 11 5 7 2" xfId="32119"/>
    <cellStyle name="Comma 11 5 7 3" xfId="32120"/>
    <cellStyle name="Comma 11 5 8" xfId="32121"/>
    <cellStyle name="Comma 11 5 8 2" xfId="32122"/>
    <cellStyle name="Comma 11 5 9" xfId="32123"/>
    <cellStyle name="Comma 11 6" xfId="8226"/>
    <cellStyle name="Comma 11 6 10" xfId="32124"/>
    <cellStyle name="Comma 11 6 2" xfId="32125"/>
    <cellStyle name="Comma 11 6 2 2" xfId="32126"/>
    <cellStyle name="Comma 11 6 2 2 2" xfId="32127"/>
    <cellStyle name="Comma 11 6 2 2 3" xfId="32128"/>
    <cellStyle name="Comma 11 6 2 3" xfId="32129"/>
    <cellStyle name="Comma 11 6 2 3 2" xfId="32130"/>
    <cellStyle name="Comma 11 6 2 3 3" xfId="32131"/>
    <cellStyle name="Comma 11 6 2 4" xfId="32132"/>
    <cellStyle name="Comma 11 6 2 4 2" xfId="32133"/>
    <cellStyle name="Comma 11 6 2 5" xfId="32134"/>
    <cellStyle name="Comma 11 6 2 6" xfId="32135"/>
    <cellStyle name="Comma 11 6 3" xfId="32136"/>
    <cellStyle name="Comma 11 6 3 2" xfId="32137"/>
    <cellStyle name="Comma 11 6 3 2 2" xfId="32138"/>
    <cellStyle name="Comma 11 6 3 2 3" xfId="32139"/>
    <cellStyle name="Comma 11 6 3 3" xfId="32140"/>
    <cellStyle name="Comma 11 6 3 3 2" xfId="32141"/>
    <cellStyle name="Comma 11 6 3 3 3" xfId="32142"/>
    <cellStyle name="Comma 11 6 3 4" xfId="32143"/>
    <cellStyle name="Comma 11 6 3 4 2" xfId="32144"/>
    <cellStyle name="Comma 11 6 3 5" xfId="32145"/>
    <cellStyle name="Comma 11 6 3 6" xfId="32146"/>
    <cellStyle name="Comma 11 6 4" xfId="32147"/>
    <cellStyle name="Comma 11 6 4 2" xfId="32148"/>
    <cellStyle name="Comma 11 6 4 2 2" xfId="32149"/>
    <cellStyle name="Comma 11 6 4 2 3" xfId="32150"/>
    <cellStyle name="Comma 11 6 4 3" xfId="32151"/>
    <cellStyle name="Comma 11 6 4 3 2" xfId="32152"/>
    <cellStyle name="Comma 11 6 4 4" xfId="32153"/>
    <cellStyle name="Comma 11 6 4 5" xfId="32154"/>
    <cellStyle name="Comma 11 6 5" xfId="32155"/>
    <cellStyle name="Comma 11 6 5 2" xfId="32156"/>
    <cellStyle name="Comma 11 6 5 3" xfId="32157"/>
    <cellStyle name="Comma 11 6 6" xfId="32158"/>
    <cellStyle name="Comma 11 6 6 2" xfId="32159"/>
    <cellStyle name="Comma 11 6 6 3" xfId="32160"/>
    <cellStyle name="Comma 11 6 7" xfId="32161"/>
    <cellStyle name="Comma 11 6 7 2" xfId="32162"/>
    <cellStyle name="Comma 11 6 8" xfId="32163"/>
    <cellStyle name="Comma 11 6 9" xfId="32164"/>
    <cellStyle name="Comma 11 7" xfId="32165"/>
    <cellStyle name="Comma 11 7 2" xfId="32166"/>
    <cellStyle name="Comma 11 7 2 2" xfId="32167"/>
    <cellStyle name="Comma 11 7 2 2 2" xfId="32168"/>
    <cellStyle name="Comma 11 7 2 2 3" xfId="32169"/>
    <cellStyle name="Comma 11 7 2 3" xfId="32170"/>
    <cellStyle name="Comma 11 7 2 3 2" xfId="32171"/>
    <cellStyle name="Comma 11 7 2 3 3" xfId="32172"/>
    <cellStyle name="Comma 11 7 2 4" xfId="32173"/>
    <cellStyle name="Comma 11 7 2 4 2" xfId="32174"/>
    <cellStyle name="Comma 11 7 2 5" xfId="32175"/>
    <cellStyle name="Comma 11 7 2 6" xfId="32176"/>
    <cellStyle name="Comma 11 7 3" xfId="32177"/>
    <cellStyle name="Comma 11 7 3 2" xfId="32178"/>
    <cellStyle name="Comma 11 7 3 2 2" xfId="32179"/>
    <cellStyle name="Comma 11 7 3 2 3" xfId="32180"/>
    <cellStyle name="Comma 11 7 3 3" xfId="32181"/>
    <cellStyle name="Comma 11 7 3 3 2" xfId="32182"/>
    <cellStyle name="Comma 11 7 3 3 3" xfId="32183"/>
    <cellStyle name="Comma 11 7 3 4" xfId="32184"/>
    <cellStyle name="Comma 11 7 3 4 2" xfId="32185"/>
    <cellStyle name="Comma 11 7 3 5" xfId="32186"/>
    <cellStyle name="Comma 11 7 3 6" xfId="32187"/>
    <cellStyle name="Comma 11 7 4" xfId="32188"/>
    <cellStyle name="Comma 11 7 4 2" xfId="32189"/>
    <cellStyle name="Comma 11 7 4 2 2" xfId="32190"/>
    <cellStyle name="Comma 11 7 4 2 3" xfId="32191"/>
    <cellStyle name="Comma 11 7 4 3" xfId="32192"/>
    <cellStyle name="Comma 11 7 4 3 2" xfId="32193"/>
    <cellStyle name="Comma 11 7 4 4" xfId="32194"/>
    <cellStyle name="Comma 11 7 4 5" xfId="32195"/>
    <cellStyle name="Comma 11 7 5" xfId="32196"/>
    <cellStyle name="Comma 11 7 5 2" xfId="32197"/>
    <cellStyle name="Comma 11 7 5 3" xfId="32198"/>
    <cellStyle name="Comma 11 7 6" xfId="32199"/>
    <cellStyle name="Comma 11 7 6 2" xfId="32200"/>
    <cellStyle name="Comma 11 7 6 3" xfId="32201"/>
    <cellStyle name="Comma 11 7 7" xfId="32202"/>
    <cellStyle name="Comma 11 7 7 2" xfId="32203"/>
    <cellStyle name="Comma 11 7 8" xfId="32204"/>
    <cellStyle name="Comma 11 7 9" xfId="32205"/>
    <cellStyle name="Comma 11 8" xfId="32206"/>
    <cellStyle name="Comma 11 8 2" xfId="32207"/>
    <cellStyle name="Comma 11 8 2 2" xfId="32208"/>
    <cellStyle name="Comma 11 8 2 3" xfId="32209"/>
    <cellStyle name="Comma 11 8 3" xfId="32210"/>
    <cellStyle name="Comma 11 8 3 2" xfId="32211"/>
    <cellStyle name="Comma 11 8 3 3" xfId="32212"/>
    <cellStyle name="Comma 11 8 4" xfId="32213"/>
    <cellStyle name="Comma 11 8 4 2" xfId="32214"/>
    <cellStyle name="Comma 11 8 5" xfId="32215"/>
    <cellStyle name="Comma 11 8 6" xfId="32216"/>
    <cellStyle name="Comma 11 9" xfId="32217"/>
    <cellStyle name="Comma 11 9 2" xfId="32218"/>
    <cellStyle name="Comma 11 9 2 2" xfId="32219"/>
    <cellStyle name="Comma 11 9 2 3" xfId="32220"/>
    <cellStyle name="Comma 11 9 3" xfId="32221"/>
    <cellStyle name="Comma 11 9 3 2" xfId="32222"/>
    <cellStyle name="Comma 11 9 3 3" xfId="32223"/>
    <cellStyle name="Comma 11 9 4" xfId="32224"/>
    <cellStyle name="Comma 11 9 4 2" xfId="32225"/>
    <cellStyle name="Comma 11 9 5" xfId="32226"/>
    <cellStyle name="Comma 11 9 6" xfId="32227"/>
    <cellStyle name="Comma 110" xfId="57825"/>
    <cellStyle name="Comma 111" xfId="57826"/>
    <cellStyle name="Comma 112" xfId="57827"/>
    <cellStyle name="Comma 113" xfId="57828"/>
    <cellStyle name="Comma 114" xfId="57829"/>
    <cellStyle name="Comma 115" xfId="57830"/>
    <cellStyle name="Comma 116" xfId="57831"/>
    <cellStyle name="Comma 117" xfId="57832"/>
    <cellStyle name="Comma 118" xfId="57833"/>
    <cellStyle name="Comma 119" xfId="57834"/>
    <cellStyle name="Comma 12" xfId="3238"/>
    <cellStyle name="Comma 12 10" xfId="32228"/>
    <cellStyle name="Comma 12 10 2" xfId="32229"/>
    <cellStyle name="Comma 12 10 2 2" xfId="32230"/>
    <cellStyle name="Comma 12 10 2 3" xfId="32231"/>
    <cellStyle name="Comma 12 10 3" xfId="32232"/>
    <cellStyle name="Comma 12 10 3 2" xfId="32233"/>
    <cellStyle name="Comma 12 10 4" xfId="32234"/>
    <cellStyle name="Comma 12 10 5" xfId="32235"/>
    <cellStyle name="Comma 12 11" xfId="32236"/>
    <cellStyle name="Comma 12 11 2" xfId="32237"/>
    <cellStyle name="Comma 12 11 3" xfId="32238"/>
    <cellStyle name="Comma 12 12" xfId="32239"/>
    <cellStyle name="Comma 12 12 2" xfId="32240"/>
    <cellStyle name="Comma 12 12 3" xfId="32241"/>
    <cellStyle name="Comma 12 13" xfId="32242"/>
    <cellStyle name="Comma 12 13 2" xfId="32243"/>
    <cellStyle name="Comma 12 14" xfId="32244"/>
    <cellStyle name="Comma 12 15" xfId="32245"/>
    <cellStyle name="Comma 12 16" xfId="32246"/>
    <cellStyle name="Comma 12 2" xfId="3239"/>
    <cellStyle name="Comma 12 2 10" xfId="32247"/>
    <cellStyle name="Comma 12 2 10 2" xfId="32248"/>
    <cellStyle name="Comma 12 2 10 3" xfId="32249"/>
    <cellStyle name="Comma 12 2 11" xfId="32250"/>
    <cellStyle name="Comma 12 2 11 2" xfId="32251"/>
    <cellStyle name="Comma 12 2 11 3" xfId="32252"/>
    <cellStyle name="Comma 12 2 12" xfId="32253"/>
    <cellStyle name="Comma 12 2 12 2" xfId="32254"/>
    <cellStyle name="Comma 12 2 13" xfId="32255"/>
    <cellStyle name="Comma 12 2 14" xfId="32256"/>
    <cellStyle name="Comma 12 2 15" xfId="32257"/>
    <cellStyle name="Comma 12 2 2" xfId="9083"/>
    <cellStyle name="Comma 12 2 2 10" xfId="32258"/>
    <cellStyle name="Comma 12 2 2 10 2" xfId="32259"/>
    <cellStyle name="Comma 12 2 2 10 3" xfId="32260"/>
    <cellStyle name="Comma 12 2 2 11" xfId="32261"/>
    <cellStyle name="Comma 12 2 2 11 2" xfId="32262"/>
    <cellStyle name="Comma 12 2 2 12" xfId="32263"/>
    <cellStyle name="Comma 12 2 2 13" xfId="32264"/>
    <cellStyle name="Comma 12 2 2 2" xfId="32265"/>
    <cellStyle name="Comma 12 2 2 2 10" xfId="32266"/>
    <cellStyle name="Comma 12 2 2 2 10 2" xfId="32267"/>
    <cellStyle name="Comma 12 2 2 2 11" xfId="32268"/>
    <cellStyle name="Comma 12 2 2 2 12" xfId="32269"/>
    <cellStyle name="Comma 12 2 2 2 2" xfId="32270"/>
    <cellStyle name="Comma 12 2 2 2 2 10" xfId="32271"/>
    <cellStyle name="Comma 12 2 2 2 2 2" xfId="32272"/>
    <cellStyle name="Comma 12 2 2 2 2 2 2" xfId="32273"/>
    <cellStyle name="Comma 12 2 2 2 2 2 2 2" xfId="32274"/>
    <cellStyle name="Comma 12 2 2 2 2 2 2 2 2" xfId="32275"/>
    <cellStyle name="Comma 12 2 2 2 2 2 2 2 3" xfId="32276"/>
    <cellStyle name="Comma 12 2 2 2 2 2 2 3" xfId="32277"/>
    <cellStyle name="Comma 12 2 2 2 2 2 2 3 2" xfId="32278"/>
    <cellStyle name="Comma 12 2 2 2 2 2 2 3 3" xfId="32279"/>
    <cellStyle name="Comma 12 2 2 2 2 2 2 4" xfId="32280"/>
    <cellStyle name="Comma 12 2 2 2 2 2 2 4 2" xfId="32281"/>
    <cellStyle name="Comma 12 2 2 2 2 2 2 5" xfId="32282"/>
    <cellStyle name="Comma 12 2 2 2 2 2 2 6" xfId="32283"/>
    <cellStyle name="Comma 12 2 2 2 2 2 3" xfId="32284"/>
    <cellStyle name="Comma 12 2 2 2 2 2 3 2" xfId="32285"/>
    <cellStyle name="Comma 12 2 2 2 2 2 3 2 2" xfId="32286"/>
    <cellStyle name="Comma 12 2 2 2 2 2 3 2 3" xfId="32287"/>
    <cellStyle name="Comma 12 2 2 2 2 2 3 3" xfId="32288"/>
    <cellStyle name="Comma 12 2 2 2 2 2 3 3 2" xfId="32289"/>
    <cellStyle name="Comma 12 2 2 2 2 2 3 3 3" xfId="32290"/>
    <cellStyle name="Comma 12 2 2 2 2 2 3 4" xfId="32291"/>
    <cellStyle name="Comma 12 2 2 2 2 2 3 4 2" xfId="32292"/>
    <cellStyle name="Comma 12 2 2 2 2 2 3 5" xfId="32293"/>
    <cellStyle name="Comma 12 2 2 2 2 2 3 6" xfId="32294"/>
    <cellStyle name="Comma 12 2 2 2 2 2 4" xfId="32295"/>
    <cellStyle name="Comma 12 2 2 2 2 2 4 2" xfId="32296"/>
    <cellStyle name="Comma 12 2 2 2 2 2 4 2 2" xfId="32297"/>
    <cellStyle name="Comma 12 2 2 2 2 2 4 2 3" xfId="32298"/>
    <cellStyle name="Comma 12 2 2 2 2 2 4 3" xfId="32299"/>
    <cellStyle name="Comma 12 2 2 2 2 2 4 3 2" xfId="32300"/>
    <cellStyle name="Comma 12 2 2 2 2 2 4 4" xfId="32301"/>
    <cellStyle name="Comma 12 2 2 2 2 2 4 5" xfId="32302"/>
    <cellStyle name="Comma 12 2 2 2 2 2 5" xfId="32303"/>
    <cellStyle name="Comma 12 2 2 2 2 2 5 2" xfId="32304"/>
    <cellStyle name="Comma 12 2 2 2 2 2 5 3" xfId="32305"/>
    <cellStyle name="Comma 12 2 2 2 2 2 6" xfId="32306"/>
    <cellStyle name="Comma 12 2 2 2 2 2 6 2" xfId="32307"/>
    <cellStyle name="Comma 12 2 2 2 2 2 6 3" xfId="32308"/>
    <cellStyle name="Comma 12 2 2 2 2 2 7" xfId="32309"/>
    <cellStyle name="Comma 12 2 2 2 2 2 7 2" xfId="32310"/>
    <cellStyle name="Comma 12 2 2 2 2 2 8" xfId="32311"/>
    <cellStyle name="Comma 12 2 2 2 2 2 9" xfId="32312"/>
    <cellStyle name="Comma 12 2 2 2 2 3" xfId="32313"/>
    <cellStyle name="Comma 12 2 2 2 2 3 2" xfId="32314"/>
    <cellStyle name="Comma 12 2 2 2 2 3 2 2" xfId="32315"/>
    <cellStyle name="Comma 12 2 2 2 2 3 2 3" xfId="32316"/>
    <cellStyle name="Comma 12 2 2 2 2 3 3" xfId="32317"/>
    <cellStyle name="Comma 12 2 2 2 2 3 3 2" xfId="32318"/>
    <cellStyle name="Comma 12 2 2 2 2 3 3 3" xfId="32319"/>
    <cellStyle name="Comma 12 2 2 2 2 3 4" xfId="32320"/>
    <cellStyle name="Comma 12 2 2 2 2 3 4 2" xfId="32321"/>
    <cellStyle name="Comma 12 2 2 2 2 3 5" xfId="32322"/>
    <cellStyle name="Comma 12 2 2 2 2 3 6" xfId="32323"/>
    <cellStyle name="Comma 12 2 2 2 2 4" xfId="32324"/>
    <cellStyle name="Comma 12 2 2 2 2 4 2" xfId="32325"/>
    <cellStyle name="Comma 12 2 2 2 2 4 2 2" xfId="32326"/>
    <cellStyle name="Comma 12 2 2 2 2 4 2 3" xfId="32327"/>
    <cellStyle name="Comma 12 2 2 2 2 4 3" xfId="32328"/>
    <cellStyle name="Comma 12 2 2 2 2 4 3 2" xfId="32329"/>
    <cellStyle name="Comma 12 2 2 2 2 4 3 3" xfId="32330"/>
    <cellStyle name="Comma 12 2 2 2 2 4 4" xfId="32331"/>
    <cellStyle name="Comma 12 2 2 2 2 4 4 2" xfId="32332"/>
    <cellStyle name="Comma 12 2 2 2 2 4 5" xfId="32333"/>
    <cellStyle name="Comma 12 2 2 2 2 4 6" xfId="32334"/>
    <cellStyle name="Comma 12 2 2 2 2 5" xfId="32335"/>
    <cellStyle name="Comma 12 2 2 2 2 5 2" xfId="32336"/>
    <cellStyle name="Comma 12 2 2 2 2 5 2 2" xfId="32337"/>
    <cellStyle name="Comma 12 2 2 2 2 5 2 3" xfId="32338"/>
    <cellStyle name="Comma 12 2 2 2 2 5 3" xfId="32339"/>
    <cellStyle name="Comma 12 2 2 2 2 5 3 2" xfId="32340"/>
    <cellStyle name="Comma 12 2 2 2 2 5 4" xfId="32341"/>
    <cellStyle name="Comma 12 2 2 2 2 5 5" xfId="32342"/>
    <cellStyle name="Comma 12 2 2 2 2 6" xfId="32343"/>
    <cellStyle name="Comma 12 2 2 2 2 6 2" xfId="32344"/>
    <cellStyle name="Comma 12 2 2 2 2 6 3" xfId="32345"/>
    <cellStyle name="Comma 12 2 2 2 2 7" xfId="32346"/>
    <cellStyle name="Comma 12 2 2 2 2 7 2" xfId="32347"/>
    <cellStyle name="Comma 12 2 2 2 2 7 3" xfId="32348"/>
    <cellStyle name="Comma 12 2 2 2 2 8" xfId="32349"/>
    <cellStyle name="Comma 12 2 2 2 2 8 2" xfId="32350"/>
    <cellStyle name="Comma 12 2 2 2 2 9" xfId="32351"/>
    <cellStyle name="Comma 12 2 2 2 3" xfId="32352"/>
    <cellStyle name="Comma 12 2 2 2 3 2" xfId="32353"/>
    <cellStyle name="Comma 12 2 2 2 3 2 2" xfId="32354"/>
    <cellStyle name="Comma 12 2 2 2 3 2 2 2" xfId="32355"/>
    <cellStyle name="Comma 12 2 2 2 3 2 2 3" xfId="32356"/>
    <cellStyle name="Comma 12 2 2 2 3 2 3" xfId="32357"/>
    <cellStyle name="Comma 12 2 2 2 3 2 3 2" xfId="32358"/>
    <cellStyle name="Comma 12 2 2 2 3 2 3 3" xfId="32359"/>
    <cellStyle name="Comma 12 2 2 2 3 2 4" xfId="32360"/>
    <cellStyle name="Comma 12 2 2 2 3 2 4 2" xfId="32361"/>
    <cellStyle name="Comma 12 2 2 2 3 2 5" xfId="32362"/>
    <cellStyle name="Comma 12 2 2 2 3 2 6" xfId="32363"/>
    <cellStyle name="Comma 12 2 2 2 3 3" xfId="32364"/>
    <cellStyle name="Comma 12 2 2 2 3 3 2" xfId="32365"/>
    <cellStyle name="Comma 12 2 2 2 3 3 2 2" xfId="32366"/>
    <cellStyle name="Comma 12 2 2 2 3 3 2 3" xfId="32367"/>
    <cellStyle name="Comma 12 2 2 2 3 3 3" xfId="32368"/>
    <cellStyle name="Comma 12 2 2 2 3 3 3 2" xfId="32369"/>
    <cellStyle name="Comma 12 2 2 2 3 3 3 3" xfId="32370"/>
    <cellStyle name="Comma 12 2 2 2 3 3 4" xfId="32371"/>
    <cellStyle name="Comma 12 2 2 2 3 3 4 2" xfId="32372"/>
    <cellStyle name="Comma 12 2 2 2 3 3 5" xfId="32373"/>
    <cellStyle name="Comma 12 2 2 2 3 3 6" xfId="32374"/>
    <cellStyle name="Comma 12 2 2 2 3 4" xfId="32375"/>
    <cellStyle name="Comma 12 2 2 2 3 4 2" xfId="32376"/>
    <cellStyle name="Comma 12 2 2 2 3 4 2 2" xfId="32377"/>
    <cellStyle name="Comma 12 2 2 2 3 4 2 3" xfId="32378"/>
    <cellStyle name="Comma 12 2 2 2 3 4 3" xfId="32379"/>
    <cellStyle name="Comma 12 2 2 2 3 4 3 2" xfId="32380"/>
    <cellStyle name="Comma 12 2 2 2 3 4 4" xfId="32381"/>
    <cellStyle name="Comma 12 2 2 2 3 4 5" xfId="32382"/>
    <cellStyle name="Comma 12 2 2 2 3 5" xfId="32383"/>
    <cellStyle name="Comma 12 2 2 2 3 5 2" xfId="32384"/>
    <cellStyle name="Comma 12 2 2 2 3 5 3" xfId="32385"/>
    <cellStyle name="Comma 12 2 2 2 3 6" xfId="32386"/>
    <cellStyle name="Comma 12 2 2 2 3 6 2" xfId="32387"/>
    <cellStyle name="Comma 12 2 2 2 3 6 3" xfId="32388"/>
    <cellStyle name="Comma 12 2 2 2 3 7" xfId="32389"/>
    <cellStyle name="Comma 12 2 2 2 3 7 2" xfId="32390"/>
    <cellStyle name="Comma 12 2 2 2 3 8" xfId="32391"/>
    <cellStyle name="Comma 12 2 2 2 3 9" xfId="32392"/>
    <cellStyle name="Comma 12 2 2 2 4" xfId="32393"/>
    <cellStyle name="Comma 12 2 2 2 4 2" xfId="32394"/>
    <cellStyle name="Comma 12 2 2 2 4 2 2" xfId="32395"/>
    <cellStyle name="Comma 12 2 2 2 4 2 2 2" xfId="32396"/>
    <cellStyle name="Comma 12 2 2 2 4 2 2 3" xfId="32397"/>
    <cellStyle name="Comma 12 2 2 2 4 2 3" xfId="32398"/>
    <cellStyle name="Comma 12 2 2 2 4 2 3 2" xfId="32399"/>
    <cellStyle name="Comma 12 2 2 2 4 2 3 3" xfId="32400"/>
    <cellStyle name="Comma 12 2 2 2 4 2 4" xfId="32401"/>
    <cellStyle name="Comma 12 2 2 2 4 2 4 2" xfId="32402"/>
    <cellStyle name="Comma 12 2 2 2 4 2 5" xfId="32403"/>
    <cellStyle name="Comma 12 2 2 2 4 2 6" xfId="32404"/>
    <cellStyle name="Comma 12 2 2 2 4 3" xfId="32405"/>
    <cellStyle name="Comma 12 2 2 2 4 3 2" xfId="32406"/>
    <cellStyle name="Comma 12 2 2 2 4 3 2 2" xfId="32407"/>
    <cellStyle name="Comma 12 2 2 2 4 3 2 3" xfId="32408"/>
    <cellStyle name="Comma 12 2 2 2 4 3 3" xfId="32409"/>
    <cellStyle name="Comma 12 2 2 2 4 3 3 2" xfId="32410"/>
    <cellStyle name="Comma 12 2 2 2 4 3 3 3" xfId="32411"/>
    <cellStyle name="Comma 12 2 2 2 4 3 4" xfId="32412"/>
    <cellStyle name="Comma 12 2 2 2 4 3 4 2" xfId="32413"/>
    <cellStyle name="Comma 12 2 2 2 4 3 5" xfId="32414"/>
    <cellStyle name="Comma 12 2 2 2 4 3 6" xfId="32415"/>
    <cellStyle name="Comma 12 2 2 2 4 4" xfId="32416"/>
    <cellStyle name="Comma 12 2 2 2 4 4 2" xfId="32417"/>
    <cellStyle name="Comma 12 2 2 2 4 4 2 2" xfId="32418"/>
    <cellStyle name="Comma 12 2 2 2 4 4 2 3" xfId="32419"/>
    <cellStyle name="Comma 12 2 2 2 4 4 3" xfId="32420"/>
    <cellStyle name="Comma 12 2 2 2 4 4 3 2" xfId="32421"/>
    <cellStyle name="Comma 12 2 2 2 4 4 4" xfId="32422"/>
    <cellStyle name="Comma 12 2 2 2 4 4 5" xfId="32423"/>
    <cellStyle name="Comma 12 2 2 2 4 5" xfId="32424"/>
    <cellStyle name="Comma 12 2 2 2 4 5 2" xfId="32425"/>
    <cellStyle name="Comma 12 2 2 2 4 5 3" xfId="32426"/>
    <cellStyle name="Comma 12 2 2 2 4 6" xfId="32427"/>
    <cellStyle name="Comma 12 2 2 2 4 6 2" xfId="32428"/>
    <cellStyle name="Comma 12 2 2 2 4 6 3" xfId="32429"/>
    <cellStyle name="Comma 12 2 2 2 4 7" xfId="32430"/>
    <cellStyle name="Comma 12 2 2 2 4 7 2" xfId="32431"/>
    <cellStyle name="Comma 12 2 2 2 4 8" xfId="32432"/>
    <cellStyle name="Comma 12 2 2 2 4 9" xfId="32433"/>
    <cellStyle name="Comma 12 2 2 2 5" xfId="32434"/>
    <cellStyle name="Comma 12 2 2 2 5 2" xfId="32435"/>
    <cellStyle name="Comma 12 2 2 2 5 2 2" xfId="32436"/>
    <cellStyle name="Comma 12 2 2 2 5 2 3" xfId="32437"/>
    <cellStyle name="Comma 12 2 2 2 5 3" xfId="32438"/>
    <cellStyle name="Comma 12 2 2 2 5 3 2" xfId="32439"/>
    <cellStyle name="Comma 12 2 2 2 5 3 3" xfId="32440"/>
    <cellStyle name="Comma 12 2 2 2 5 4" xfId="32441"/>
    <cellStyle name="Comma 12 2 2 2 5 4 2" xfId="32442"/>
    <cellStyle name="Comma 12 2 2 2 5 5" xfId="32443"/>
    <cellStyle name="Comma 12 2 2 2 5 6" xfId="32444"/>
    <cellStyle name="Comma 12 2 2 2 6" xfId="32445"/>
    <cellStyle name="Comma 12 2 2 2 6 2" xfId="32446"/>
    <cellStyle name="Comma 12 2 2 2 6 2 2" xfId="32447"/>
    <cellStyle name="Comma 12 2 2 2 6 2 3" xfId="32448"/>
    <cellStyle name="Comma 12 2 2 2 6 3" xfId="32449"/>
    <cellStyle name="Comma 12 2 2 2 6 3 2" xfId="32450"/>
    <cellStyle name="Comma 12 2 2 2 6 3 3" xfId="32451"/>
    <cellStyle name="Comma 12 2 2 2 6 4" xfId="32452"/>
    <cellStyle name="Comma 12 2 2 2 6 4 2" xfId="32453"/>
    <cellStyle name="Comma 12 2 2 2 6 5" xfId="32454"/>
    <cellStyle name="Comma 12 2 2 2 6 6" xfId="32455"/>
    <cellStyle name="Comma 12 2 2 2 7" xfId="32456"/>
    <cellStyle name="Comma 12 2 2 2 7 2" xfId="32457"/>
    <cellStyle name="Comma 12 2 2 2 7 2 2" xfId="32458"/>
    <cellStyle name="Comma 12 2 2 2 7 2 3" xfId="32459"/>
    <cellStyle name="Comma 12 2 2 2 7 3" xfId="32460"/>
    <cellStyle name="Comma 12 2 2 2 7 3 2" xfId="32461"/>
    <cellStyle name="Comma 12 2 2 2 7 4" xfId="32462"/>
    <cellStyle name="Comma 12 2 2 2 7 5" xfId="32463"/>
    <cellStyle name="Comma 12 2 2 2 8" xfId="32464"/>
    <cellStyle name="Comma 12 2 2 2 8 2" xfId="32465"/>
    <cellStyle name="Comma 12 2 2 2 8 3" xfId="32466"/>
    <cellStyle name="Comma 12 2 2 2 9" xfId="32467"/>
    <cellStyle name="Comma 12 2 2 2 9 2" xfId="32468"/>
    <cellStyle name="Comma 12 2 2 2 9 3" xfId="32469"/>
    <cellStyle name="Comma 12 2 2 3" xfId="32470"/>
    <cellStyle name="Comma 12 2 2 3 10" xfId="32471"/>
    <cellStyle name="Comma 12 2 2 3 2" xfId="32472"/>
    <cellStyle name="Comma 12 2 2 3 2 2" xfId="32473"/>
    <cellStyle name="Comma 12 2 2 3 2 2 2" xfId="32474"/>
    <cellStyle name="Comma 12 2 2 3 2 2 2 2" xfId="32475"/>
    <cellStyle name="Comma 12 2 2 3 2 2 2 3" xfId="32476"/>
    <cellStyle name="Comma 12 2 2 3 2 2 3" xfId="32477"/>
    <cellStyle name="Comma 12 2 2 3 2 2 3 2" xfId="32478"/>
    <cellStyle name="Comma 12 2 2 3 2 2 3 3" xfId="32479"/>
    <cellStyle name="Comma 12 2 2 3 2 2 4" xfId="32480"/>
    <cellStyle name="Comma 12 2 2 3 2 2 4 2" xfId="32481"/>
    <cellStyle name="Comma 12 2 2 3 2 2 5" xfId="32482"/>
    <cellStyle name="Comma 12 2 2 3 2 2 6" xfId="32483"/>
    <cellStyle name="Comma 12 2 2 3 2 3" xfId="32484"/>
    <cellStyle name="Comma 12 2 2 3 2 3 2" xfId="32485"/>
    <cellStyle name="Comma 12 2 2 3 2 3 2 2" xfId="32486"/>
    <cellStyle name="Comma 12 2 2 3 2 3 2 3" xfId="32487"/>
    <cellStyle name="Comma 12 2 2 3 2 3 3" xfId="32488"/>
    <cellStyle name="Comma 12 2 2 3 2 3 3 2" xfId="32489"/>
    <cellStyle name="Comma 12 2 2 3 2 3 3 3" xfId="32490"/>
    <cellStyle name="Comma 12 2 2 3 2 3 4" xfId="32491"/>
    <cellStyle name="Comma 12 2 2 3 2 3 4 2" xfId="32492"/>
    <cellStyle name="Comma 12 2 2 3 2 3 5" xfId="32493"/>
    <cellStyle name="Comma 12 2 2 3 2 3 6" xfId="32494"/>
    <cellStyle name="Comma 12 2 2 3 2 4" xfId="32495"/>
    <cellStyle name="Comma 12 2 2 3 2 4 2" xfId="32496"/>
    <cellStyle name="Comma 12 2 2 3 2 4 2 2" xfId="32497"/>
    <cellStyle name="Comma 12 2 2 3 2 4 2 3" xfId="32498"/>
    <cellStyle name="Comma 12 2 2 3 2 4 3" xfId="32499"/>
    <cellStyle name="Comma 12 2 2 3 2 4 3 2" xfId="32500"/>
    <cellStyle name="Comma 12 2 2 3 2 4 4" xfId="32501"/>
    <cellStyle name="Comma 12 2 2 3 2 4 5" xfId="32502"/>
    <cellStyle name="Comma 12 2 2 3 2 5" xfId="32503"/>
    <cellStyle name="Comma 12 2 2 3 2 5 2" xfId="32504"/>
    <cellStyle name="Comma 12 2 2 3 2 5 3" xfId="32505"/>
    <cellStyle name="Comma 12 2 2 3 2 6" xfId="32506"/>
    <cellStyle name="Comma 12 2 2 3 2 6 2" xfId="32507"/>
    <cellStyle name="Comma 12 2 2 3 2 6 3" xfId="32508"/>
    <cellStyle name="Comma 12 2 2 3 2 7" xfId="32509"/>
    <cellStyle name="Comma 12 2 2 3 2 7 2" xfId="32510"/>
    <cellStyle name="Comma 12 2 2 3 2 8" xfId="32511"/>
    <cellStyle name="Comma 12 2 2 3 2 9" xfId="32512"/>
    <cellStyle name="Comma 12 2 2 3 3" xfId="32513"/>
    <cellStyle name="Comma 12 2 2 3 3 2" xfId="32514"/>
    <cellStyle name="Comma 12 2 2 3 3 2 2" xfId="32515"/>
    <cellStyle name="Comma 12 2 2 3 3 2 3" xfId="32516"/>
    <cellStyle name="Comma 12 2 2 3 3 3" xfId="32517"/>
    <cellStyle name="Comma 12 2 2 3 3 3 2" xfId="32518"/>
    <cellStyle name="Comma 12 2 2 3 3 3 3" xfId="32519"/>
    <cellStyle name="Comma 12 2 2 3 3 4" xfId="32520"/>
    <cellStyle name="Comma 12 2 2 3 3 4 2" xfId="32521"/>
    <cellStyle name="Comma 12 2 2 3 3 5" xfId="32522"/>
    <cellStyle name="Comma 12 2 2 3 3 6" xfId="32523"/>
    <cellStyle name="Comma 12 2 2 3 4" xfId="32524"/>
    <cellStyle name="Comma 12 2 2 3 4 2" xfId="32525"/>
    <cellStyle name="Comma 12 2 2 3 4 2 2" xfId="32526"/>
    <cellStyle name="Comma 12 2 2 3 4 2 3" xfId="32527"/>
    <cellStyle name="Comma 12 2 2 3 4 3" xfId="32528"/>
    <cellStyle name="Comma 12 2 2 3 4 3 2" xfId="32529"/>
    <cellStyle name="Comma 12 2 2 3 4 3 3" xfId="32530"/>
    <cellStyle name="Comma 12 2 2 3 4 4" xfId="32531"/>
    <cellStyle name="Comma 12 2 2 3 4 4 2" xfId="32532"/>
    <cellStyle name="Comma 12 2 2 3 4 5" xfId="32533"/>
    <cellStyle name="Comma 12 2 2 3 4 6" xfId="32534"/>
    <cellStyle name="Comma 12 2 2 3 5" xfId="32535"/>
    <cellStyle name="Comma 12 2 2 3 5 2" xfId="32536"/>
    <cellStyle name="Comma 12 2 2 3 5 2 2" xfId="32537"/>
    <cellStyle name="Comma 12 2 2 3 5 2 3" xfId="32538"/>
    <cellStyle name="Comma 12 2 2 3 5 3" xfId="32539"/>
    <cellStyle name="Comma 12 2 2 3 5 3 2" xfId="32540"/>
    <cellStyle name="Comma 12 2 2 3 5 4" xfId="32541"/>
    <cellStyle name="Comma 12 2 2 3 5 5" xfId="32542"/>
    <cellStyle name="Comma 12 2 2 3 6" xfId="32543"/>
    <cellStyle name="Comma 12 2 2 3 6 2" xfId="32544"/>
    <cellStyle name="Comma 12 2 2 3 6 3" xfId="32545"/>
    <cellStyle name="Comma 12 2 2 3 7" xfId="32546"/>
    <cellStyle name="Comma 12 2 2 3 7 2" xfId="32547"/>
    <cellStyle name="Comma 12 2 2 3 7 3" xfId="32548"/>
    <cellStyle name="Comma 12 2 2 3 8" xfId="32549"/>
    <cellStyle name="Comma 12 2 2 3 8 2" xfId="32550"/>
    <cellStyle name="Comma 12 2 2 3 9" xfId="32551"/>
    <cellStyle name="Comma 12 2 2 4" xfId="32552"/>
    <cellStyle name="Comma 12 2 2 4 2" xfId="32553"/>
    <cellStyle name="Comma 12 2 2 4 2 2" xfId="32554"/>
    <cellStyle name="Comma 12 2 2 4 2 2 2" xfId="32555"/>
    <cellStyle name="Comma 12 2 2 4 2 2 3" xfId="32556"/>
    <cellStyle name="Comma 12 2 2 4 2 3" xfId="32557"/>
    <cellStyle name="Comma 12 2 2 4 2 3 2" xfId="32558"/>
    <cellStyle name="Comma 12 2 2 4 2 3 3" xfId="32559"/>
    <cellStyle name="Comma 12 2 2 4 2 4" xfId="32560"/>
    <cellStyle name="Comma 12 2 2 4 2 4 2" xfId="32561"/>
    <cellStyle name="Comma 12 2 2 4 2 5" xfId="32562"/>
    <cellStyle name="Comma 12 2 2 4 2 6" xfId="32563"/>
    <cellStyle name="Comma 12 2 2 4 3" xfId="32564"/>
    <cellStyle name="Comma 12 2 2 4 3 2" xfId="32565"/>
    <cellStyle name="Comma 12 2 2 4 3 2 2" xfId="32566"/>
    <cellStyle name="Comma 12 2 2 4 3 2 3" xfId="32567"/>
    <cellStyle name="Comma 12 2 2 4 3 3" xfId="32568"/>
    <cellStyle name="Comma 12 2 2 4 3 3 2" xfId="32569"/>
    <cellStyle name="Comma 12 2 2 4 3 3 3" xfId="32570"/>
    <cellStyle name="Comma 12 2 2 4 3 4" xfId="32571"/>
    <cellStyle name="Comma 12 2 2 4 3 4 2" xfId="32572"/>
    <cellStyle name="Comma 12 2 2 4 3 5" xfId="32573"/>
    <cellStyle name="Comma 12 2 2 4 3 6" xfId="32574"/>
    <cellStyle name="Comma 12 2 2 4 4" xfId="32575"/>
    <cellStyle name="Comma 12 2 2 4 4 2" xfId="32576"/>
    <cellStyle name="Comma 12 2 2 4 4 2 2" xfId="32577"/>
    <cellStyle name="Comma 12 2 2 4 4 2 3" xfId="32578"/>
    <cellStyle name="Comma 12 2 2 4 4 3" xfId="32579"/>
    <cellStyle name="Comma 12 2 2 4 4 3 2" xfId="32580"/>
    <cellStyle name="Comma 12 2 2 4 4 4" xfId="32581"/>
    <cellStyle name="Comma 12 2 2 4 4 5" xfId="32582"/>
    <cellStyle name="Comma 12 2 2 4 5" xfId="32583"/>
    <cellStyle name="Comma 12 2 2 4 5 2" xfId="32584"/>
    <cellStyle name="Comma 12 2 2 4 5 3" xfId="32585"/>
    <cellStyle name="Comma 12 2 2 4 6" xfId="32586"/>
    <cellStyle name="Comma 12 2 2 4 6 2" xfId="32587"/>
    <cellStyle name="Comma 12 2 2 4 6 3" xfId="32588"/>
    <cellStyle name="Comma 12 2 2 4 7" xfId="32589"/>
    <cellStyle name="Comma 12 2 2 4 7 2" xfId="32590"/>
    <cellStyle name="Comma 12 2 2 4 8" xfId="32591"/>
    <cellStyle name="Comma 12 2 2 4 9" xfId="32592"/>
    <cellStyle name="Comma 12 2 2 5" xfId="32593"/>
    <cellStyle name="Comma 12 2 2 5 2" xfId="32594"/>
    <cellStyle name="Comma 12 2 2 5 2 2" xfId="32595"/>
    <cellStyle name="Comma 12 2 2 5 2 2 2" xfId="32596"/>
    <cellStyle name="Comma 12 2 2 5 2 2 3" xfId="32597"/>
    <cellStyle name="Comma 12 2 2 5 2 3" xfId="32598"/>
    <cellStyle name="Comma 12 2 2 5 2 3 2" xfId="32599"/>
    <cellStyle name="Comma 12 2 2 5 2 3 3" xfId="32600"/>
    <cellStyle name="Comma 12 2 2 5 2 4" xfId="32601"/>
    <cellStyle name="Comma 12 2 2 5 2 4 2" xfId="32602"/>
    <cellStyle name="Comma 12 2 2 5 2 5" xfId="32603"/>
    <cellStyle name="Comma 12 2 2 5 2 6" xfId="32604"/>
    <cellStyle name="Comma 12 2 2 5 3" xfId="32605"/>
    <cellStyle name="Comma 12 2 2 5 3 2" xfId="32606"/>
    <cellStyle name="Comma 12 2 2 5 3 2 2" xfId="32607"/>
    <cellStyle name="Comma 12 2 2 5 3 2 3" xfId="32608"/>
    <cellStyle name="Comma 12 2 2 5 3 3" xfId="32609"/>
    <cellStyle name="Comma 12 2 2 5 3 3 2" xfId="32610"/>
    <cellStyle name="Comma 12 2 2 5 3 3 3" xfId="32611"/>
    <cellStyle name="Comma 12 2 2 5 3 4" xfId="32612"/>
    <cellStyle name="Comma 12 2 2 5 3 4 2" xfId="32613"/>
    <cellStyle name="Comma 12 2 2 5 3 5" xfId="32614"/>
    <cellStyle name="Comma 12 2 2 5 3 6" xfId="32615"/>
    <cellStyle name="Comma 12 2 2 5 4" xfId="32616"/>
    <cellStyle name="Comma 12 2 2 5 4 2" xfId="32617"/>
    <cellStyle name="Comma 12 2 2 5 4 2 2" xfId="32618"/>
    <cellStyle name="Comma 12 2 2 5 4 2 3" xfId="32619"/>
    <cellStyle name="Comma 12 2 2 5 4 3" xfId="32620"/>
    <cellStyle name="Comma 12 2 2 5 4 3 2" xfId="32621"/>
    <cellStyle name="Comma 12 2 2 5 4 4" xfId="32622"/>
    <cellStyle name="Comma 12 2 2 5 4 5" xfId="32623"/>
    <cellStyle name="Comma 12 2 2 5 5" xfId="32624"/>
    <cellStyle name="Comma 12 2 2 5 5 2" xfId="32625"/>
    <cellStyle name="Comma 12 2 2 5 5 3" xfId="32626"/>
    <cellStyle name="Comma 12 2 2 5 6" xfId="32627"/>
    <cellStyle name="Comma 12 2 2 5 6 2" xfId="32628"/>
    <cellStyle name="Comma 12 2 2 5 6 3" xfId="32629"/>
    <cellStyle name="Comma 12 2 2 5 7" xfId="32630"/>
    <cellStyle name="Comma 12 2 2 5 7 2" xfId="32631"/>
    <cellStyle name="Comma 12 2 2 5 8" xfId="32632"/>
    <cellStyle name="Comma 12 2 2 5 9" xfId="32633"/>
    <cellStyle name="Comma 12 2 2 6" xfId="32634"/>
    <cellStyle name="Comma 12 2 2 6 2" xfId="32635"/>
    <cellStyle name="Comma 12 2 2 6 2 2" xfId="32636"/>
    <cellStyle name="Comma 12 2 2 6 2 3" xfId="32637"/>
    <cellStyle name="Comma 12 2 2 6 3" xfId="32638"/>
    <cellStyle name="Comma 12 2 2 6 3 2" xfId="32639"/>
    <cellStyle name="Comma 12 2 2 6 3 3" xfId="32640"/>
    <cellStyle name="Comma 12 2 2 6 4" xfId="32641"/>
    <cellStyle name="Comma 12 2 2 6 4 2" xfId="32642"/>
    <cellStyle name="Comma 12 2 2 6 5" xfId="32643"/>
    <cellStyle name="Comma 12 2 2 6 6" xfId="32644"/>
    <cellStyle name="Comma 12 2 2 7" xfId="32645"/>
    <cellStyle name="Comma 12 2 2 7 2" xfId="32646"/>
    <cellStyle name="Comma 12 2 2 7 2 2" xfId="32647"/>
    <cellStyle name="Comma 12 2 2 7 2 3" xfId="32648"/>
    <cellStyle name="Comma 12 2 2 7 3" xfId="32649"/>
    <cellStyle name="Comma 12 2 2 7 3 2" xfId="32650"/>
    <cellStyle name="Comma 12 2 2 7 3 3" xfId="32651"/>
    <cellStyle name="Comma 12 2 2 7 4" xfId="32652"/>
    <cellStyle name="Comma 12 2 2 7 4 2" xfId="32653"/>
    <cellStyle name="Comma 12 2 2 7 5" xfId="32654"/>
    <cellStyle name="Comma 12 2 2 7 6" xfId="32655"/>
    <cellStyle name="Comma 12 2 2 8" xfId="32656"/>
    <cellStyle name="Comma 12 2 2 8 2" xfId="32657"/>
    <cellStyle name="Comma 12 2 2 8 2 2" xfId="32658"/>
    <cellStyle name="Comma 12 2 2 8 2 3" xfId="32659"/>
    <cellStyle name="Comma 12 2 2 8 3" xfId="32660"/>
    <cellStyle name="Comma 12 2 2 8 3 2" xfId="32661"/>
    <cellStyle name="Comma 12 2 2 8 4" xfId="32662"/>
    <cellStyle name="Comma 12 2 2 8 5" xfId="32663"/>
    <cellStyle name="Comma 12 2 2 9" xfId="32664"/>
    <cellStyle name="Comma 12 2 2 9 2" xfId="32665"/>
    <cellStyle name="Comma 12 2 2 9 3" xfId="32666"/>
    <cellStyle name="Comma 12 2 3" xfId="32667"/>
    <cellStyle name="Comma 12 2 3 10" xfId="32668"/>
    <cellStyle name="Comma 12 2 3 10 2" xfId="32669"/>
    <cellStyle name="Comma 12 2 3 11" xfId="32670"/>
    <cellStyle name="Comma 12 2 3 12" xfId="32671"/>
    <cellStyle name="Comma 12 2 3 2" xfId="32672"/>
    <cellStyle name="Comma 12 2 3 2 10" xfId="32673"/>
    <cellStyle name="Comma 12 2 3 2 2" xfId="32674"/>
    <cellStyle name="Comma 12 2 3 2 2 2" xfId="32675"/>
    <cellStyle name="Comma 12 2 3 2 2 2 2" xfId="32676"/>
    <cellStyle name="Comma 12 2 3 2 2 2 2 2" xfId="32677"/>
    <cellStyle name="Comma 12 2 3 2 2 2 2 3" xfId="32678"/>
    <cellStyle name="Comma 12 2 3 2 2 2 3" xfId="32679"/>
    <cellStyle name="Comma 12 2 3 2 2 2 3 2" xfId="32680"/>
    <cellStyle name="Comma 12 2 3 2 2 2 3 3" xfId="32681"/>
    <cellStyle name="Comma 12 2 3 2 2 2 4" xfId="32682"/>
    <cellStyle name="Comma 12 2 3 2 2 2 4 2" xfId="32683"/>
    <cellStyle name="Comma 12 2 3 2 2 2 5" xfId="32684"/>
    <cellStyle name="Comma 12 2 3 2 2 2 6" xfId="32685"/>
    <cellStyle name="Comma 12 2 3 2 2 3" xfId="32686"/>
    <cellStyle name="Comma 12 2 3 2 2 3 2" xfId="32687"/>
    <cellStyle name="Comma 12 2 3 2 2 3 2 2" xfId="32688"/>
    <cellStyle name="Comma 12 2 3 2 2 3 2 3" xfId="32689"/>
    <cellStyle name="Comma 12 2 3 2 2 3 3" xfId="32690"/>
    <cellStyle name="Comma 12 2 3 2 2 3 3 2" xfId="32691"/>
    <cellStyle name="Comma 12 2 3 2 2 3 3 3" xfId="32692"/>
    <cellStyle name="Comma 12 2 3 2 2 3 4" xfId="32693"/>
    <cellStyle name="Comma 12 2 3 2 2 3 4 2" xfId="32694"/>
    <cellStyle name="Comma 12 2 3 2 2 3 5" xfId="32695"/>
    <cellStyle name="Comma 12 2 3 2 2 3 6" xfId="32696"/>
    <cellStyle name="Comma 12 2 3 2 2 4" xfId="32697"/>
    <cellStyle name="Comma 12 2 3 2 2 4 2" xfId="32698"/>
    <cellStyle name="Comma 12 2 3 2 2 4 2 2" xfId="32699"/>
    <cellStyle name="Comma 12 2 3 2 2 4 2 3" xfId="32700"/>
    <cellStyle name="Comma 12 2 3 2 2 4 3" xfId="32701"/>
    <cellStyle name="Comma 12 2 3 2 2 4 3 2" xfId="32702"/>
    <cellStyle name="Comma 12 2 3 2 2 4 4" xfId="32703"/>
    <cellStyle name="Comma 12 2 3 2 2 4 5" xfId="32704"/>
    <cellStyle name="Comma 12 2 3 2 2 5" xfId="32705"/>
    <cellStyle name="Comma 12 2 3 2 2 5 2" xfId="32706"/>
    <cellStyle name="Comma 12 2 3 2 2 5 3" xfId="32707"/>
    <cellStyle name="Comma 12 2 3 2 2 6" xfId="32708"/>
    <cellStyle name="Comma 12 2 3 2 2 6 2" xfId="32709"/>
    <cellStyle name="Comma 12 2 3 2 2 6 3" xfId="32710"/>
    <cellStyle name="Comma 12 2 3 2 2 7" xfId="32711"/>
    <cellStyle name="Comma 12 2 3 2 2 7 2" xfId="32712"/>
    <cellStyle name="Comma 12 2 3 2 2 8" xfId="32713"/>
    <cellStyle name="Comma 12 2 3 2 2 9" xfId="32714"/>
    <cellStyle name="Comma 12 2 3 2 3" xfId="32715"/>
    <cellStyle name="Comma 12 2 3 2 3 2" xfId="32716"/>
    <cellStyle name="Comma 12 2 3 2 3 2 2" xfId="32717"/>
    <cellStyle name="Comma 12 2 3 2 3 2 3" xfId="32718"/>
    <cellStyle name="Comma 12 2 3 2 3 3" xfId="32719"/>
    <cellStyle name="Comma 12 2 3 2 3 3 2" xfId="32720"/>
    <cellStyle name="Comma 12 2 3 2 3 3 3" xfId="32721"/>
    <cellStyle name="Comma 12 2 3 2 3 4" xfId="32722"/>
    <cellStyle name="Comma 12 2 3 2 3 4 2" xfId="32723"/>
    <cellStyle name="Comma 12 2 3 2 3 5" xfId="32724"/>
    <cellStyle name="Comma 12 2 3 2 3 6" xfId="32725"/>
    <cellStyle name="Comma 12 2 3 2 4" xfId="32726"/>
    <cellStyle name="Comma 12 2 3 2 4 2" xfId="32727"/>
    <cellStyle name="Comma 12 2 3 2 4 2 2" xfId="32728"/>
    <cellStyle name="Comma 12 2 3 2 4 2 3" xfId="32729"/>
    <cellStyle name="Comma 12 2 3 2 4 3" xfId="32730"/>
    <cellStyle name="Comma 12 2 3 2 4 3 2" xfId="32731"/>
    <cellStyle name="Comma 12 2 3 2 4 3 3" xfId="32732"/>
    <cellStyle name="Comma 12 2 3 2 4 4" xfId="32733"/>
    <cellStyle name="Comma 12 2 3 2 4 4 2" xfId="32734"/>
    <cellStyle name="Comma 12 2 3 2 4 5" xfId="32735"/>
    <cellStyle name="Comma 12 2 3 2 4 6" xfId="32736"/>
    <cellStyle name="Comma 12 2 3 2 5" xfId="32737"/>
    <cellStyle name="Comma 12 2 3 2 5 2" xfId="32738"/>
    <cellStyle name="Comma 12 2 3 2 5 2 2" xfId="32739"/>
    <cellStyle name="Comma 12 2 3 2 5 2 3" xfId="32740"/>
    <cellStyle name="Comma 12 2 3 2 5 3" xfId="32741"/>
    <cellStyle name="Comma 12 2 3 2 5 3 2" xfId="32742"/>
    <cellStyle name="Comma 12 2 3 2 5 4" xfId="32743"/>
    <cellStyle name="Comma 12 2 3 2 5 5" xfId="32744"/>
    <cellStyle name="Comma 12 2 3 2 6" xfId="32745"/>
    <cellStyle name="Comma 12 2 3 2 6 2" xfId="32746"/>
    <cellStyle name="Comma 12 2 3 2 6 3" xfId="32747"/>
    <cellStyle name="Comma 12 2 3 2 7" xfId="32748"/>
    <cellStyle name="Comma 12 2 3 2 7 2" xfId="32749"/>
    <cellStyle name="Comma 12 2 3 2 7 3" xfId="32750"/>
    <cellStyle name="Comma 12 2 3 2 8" xfId="32751"/>
    <cellStyle name="Comma 12 2 3 2 8 2" xfId="32752"/>
    <cellStyle name="Comma 12 2 3 2 9" xfId="32753"/>
    <cellStyle name="Comma 12 2 3 3" xfId="32754"/>
    <cellStyle name="Comma 12 2 3 3 2" xfId="32755"/>
    <cellStyle name="Comma 12 2 3 3 2 2" xfId="32756"/>
    <cellStyle name="Comma 12 2 3 3 2 2 2" xfId="32757"/>
    <cellStyle name="Comma 12 2 3 3 2 2 3" xfId="32758"/>
    <cellStyle name="Comma 12 2 3 3 2 3" xfId="32759"/>
    <cellStyle name="Comma 12 2 3 3 2 3 2" xfId="32760"/>
    <cellStyle name="Comma 12 2 3 3 2 3 3" xfId="32761"/>
    <cellStyle name="Comma 12 2 3 3 2 4" xfId="32762"/>
    <cellStyle name="Comma 12 2 3 3 2 4 2" xfId="32763"/>
    <cellStyle name="Comma 12 2 3 3 2 5" xfId="32764"/>
    <cellStyle name="Comma 12 2 3 3 2 6" xfId="32765"/>
    <cellStyle name="Comma 12 2 3 3 3" xfId="32766"/>
    <cellStyle name="Comma 12 2 3 3 3 2" xfId="32767"/>
    <cellStyle name="Comma 12 2 3 3 3 2 2" xfId="32768"/>
    <cellStyle name="Comma 12 2 3 3 3 2 3" xfId="32769"/>
    <cellStyle name="Comma 12 2 3 3 3 3" xfId="32770"/>
    <cellStyle name="Comma 12 2 3 3 3 3 2" xfId="32771"/>
    <cellStyle name="Comma 12 2 3 3 3 3 3" xfId="32772"/>
    <cellStyle name="Comma 12 2 3 3 3 4" xfId="32773"/>
    <cellStyle name="Comma 12 2 3 3 3 4 2" xfId="32774"/>
    <cellStyle name="Comma 12 2 3 3 3 5" xfId="32775"/>
    <cellStyle name="Comma 12 2 3 3 3 6" xfId="32776"/>
    <cellStyle name="Comma 12 2 3 3 4" xfId="32777"/>
    <cellStyle name="Comma 12 2 3 3 4 2" xfId="32778"/>
    <cellStyle name="Comma 12 2 3 3 4 2 2" xfId="32779"/>
    <cellStyle name="Comma 12 2 3 3 4 2 3" xfId="32780"/>
    <cellStyle name="Comma 12 2 3 3 4 3" xfId="32781"/>
    <cellStyle name="Comma 12 2 3 3 4 3 2" xfId="32782"/>
    <cellStyle name="Comma 12 2 3 3 4 4" xfId="32783"/>
    <cellStyle name="Comma 12 2 3 3 4 5" xfId="32784"/>
    <cellStyle name="Comma 12 2 3 3 5" xfId="32785"/>
    <cellStyle name="Comma 12 2 3 3 5 2" xfId="32786"/>
    <cellStyle name="Comma 12 2 3 3 5 3" xfId="32787"/>
    <cellStyle name="Comma 12 2 3 3 6" xfId="32788"/>
    <cellStyle name="Comma 12 2 3 3 6 2" xfId="32789"/>
    <cellStyle name="Comma 12 2 3 3 6 3" xfId="32790"/>
    <cellStyle name="Comma 12 2 3 3 7" xfId="32791"/>
    <cellStyle name="Comma 12 2 3 3 7 2" xfId="32792"/>
    <cellStyle name="Comma 12 2 3 3 8" xfId="32793"/>
    <cellStyle name="Comma 12 2 3 3 9" xfId="32794"/>
    <cellStyle name="Comma 12 2 3 4" xfId="32795"/>
    <cellStyle name="Comma 12 2 3 4 2" xfId="32796"/>
    <cellStyle name="Comma 12 2 3 4 2 2" xfId="32797"/>
    <cellStyle name="Comma 12 2 3 4 2 2 2" xfId="32798"/>
    <cellStyle name="Comma 12 2 3 4 2 2 3" xfId="32799"/>
    <cellStyle name="Comma 12 2 3 4 2 3" xfId="32800"/>
    <cellStyle name="Comma 12 2 3 4 2 3 2" xfId="32801"/>
    <cellStyle name="Comma 12 2 3 4 2 3 3" xfId="32802"/>
    <cellStyle name="Comma 12 2 3 4 2 4" xfId="32803"/>
    <cellStyle name="Comma 12 2 3 4 2 4 2" xfId="32804"/>
    <cellStyle name="Comma 12 2 3 4 2 5" xfId="32805"/>
    <cellStyle name="Comma 12 2 3 4 2 6" xfId="32806"/>
    <cellStyle name="Comma 12 2 3 4 3" xfId="32807"/>
    <cellStyle name="Comma 12 2 3 4 3 2" xfId="32808"/>
    <cellStyle name="Comma 12 2 3 4 3 2 2" xfId="32809"/>
    <cellStyle name="Comma 12 2 3 4 3 2 3" xfId="32810"/>
    <cellStyle name="Comma 12 2 3 4 3 3" xfId="32811"/>
    <cellStyle name="Comma 12 2 3 4 3 3 2" xfId="32812"/>
    <cellStyle name="Comma 12 2 3 4 3 3 3" xfId="32813"/>
    <cellStyle name="Comma 12 2 3 4 3 4" xfId="32814"/>
    <cellStyle name="Comma 12 2 3 4 3 4 2" xfId="32815"/>
    <cellStyle name="Comma 12 2 3 4 3 5" xfId="32816"/>
    <cellStyle name="Comma 12 2 3 4 3 6" xfId="32817"/>
    <cellStyle name="Comma 12 2 3 4 4" xfId="32818"/>
    <cellStyle name="Comma 12 2 3 4 4 2" xfId="32819"/>
    <cellStyle name="Comma 12 2 3 4 4 2 2" xfId="32820"/>
    <cellStyle name="Comma 12 2 3 4 4 2 3" xfId="32821"/>
    <cellStyle name="Comma 12 2 3 4 4 3" xfId="32822"/>
    <cellStyle name="Comma 12 2 3 4 4 3 2" xfId="32823"/>
    <cellStyle name="Comma 12 2 3 4 4 4" xfId="32824"/>
    <cellStyle name="Comma 12 2 3 4 4 5" xfId="32825"/>
    <cellStyle name="Comma 12 2 3 4 5" xfId="32826"/>
    <cellStyle name="Comma 12 2 3 4 5 2" xfId="32827"/>
    <cellStyle name="Comma 12 2 3 4 5 3" xfId="32828"/>
    <cellStyle name="Comma 12 2 3 4 6" xfId="32829"/>
    <cellStyle name="Comma 12 2 3 4 6 2" xfId="32830"/>
    <cellStyle name="Comma 12 2 3 4 6 3" xfId="32831"/>
    <cellStyle name="Comma 12 2 3 4 7" xfId="32832"/>
    <cellStyle name="Comma 12 2 3 4 7 2" xfId="32833"/>
    <cellStyle name="Comma 12 2 3 4 8" xfId="32834"/>
    <cellStyle name="Comma 12 2 3 4 9" xfId="32835"/>
    <cellStyle name="Comma 12 2 3 5" xfId="32836"/>
    <cellStyle name="Comma 12 2 3 5 2" xfId="32837"/>
    <cellStyle name="Comma 12 2 3 5 2 2" xfId="32838"/>
    <cellStyle name="Comma 12 2 3 5 2 3" xfId="32839"/>
    <cellStyle name="Comma 12 2 3 5 3" xfId="32840"/>
    <cellStyle name="Comma 12 2 3 5 3 2" xfId="32841"/>
    <cellStyle name="Comma 12 2 3 5 3 3" xfId="32842"/>
    <cellStyle name="Comma 12 2 3 5 4" xfId="32843"/>
    <cellStyle name="Comma 12 2 3 5 4 2" xfId="32844"/>
    <cellStyle name="Comma 12 2 3 5 5" xfId="32845"/>
    <cellStyle name="Comma 12 2 3 5 6" xfId="32846"/>
    <cellStyle name="Comma 12 2 3 6" xfId="32847"/>
    <cellStyle name="Comma 12 2 3 6 2" xfId="32848"/>
    <cellStyle name="Comma 12 2 3 6 2 2" xfId="32849"/>
    <cellStyle name="Comma 12 2 3 6 2 3" xfId="32850"/>
    <cellStyle name="Comma 12 2 3 6 3" xfId="32851"/>
    <cellStyle name="Comma 12 2 3 6 3 2" xfId="32852"/>
    <cellStyle name="Comma 12 2 3 6 3 3" xfId="32853"/>
    <cellStyle name="Comma 12 2 3 6 4" xfId="32854"/>
    <cellStyle name="Comma 12 2 3 6 4 2" xfId="32855"/>
    <cellStyle name="Comma 12 2 3 6 5" xfId="32856"/>
    <cellStyle name="Comma 12 2 3 6 6" xfId="32857"/>
    <cellStyle name="Comma 12 2 3 7" xfId="32858"/>
    <cellStyle name="Comma 12 2 3 7 2" xfId="32859"/>
    <cellStyle name="Comma 12 2 3 7 2 2" xfId="32860"/>
    <cellStyle name="Comma 12 2 3 7 2 3" xfId="32861"/>
    <cellStyle name="Comma 12 2 3 7 3" xfId="32862"/>
    <cellStyle name="Comma 12 2 3 7 3 2" xfId="32863"/>
    <cellStyle name="Comma 12 2 3 7 4" xfId="32864"/>
    <cellStyle name="Comma 12 2 3 7 5" xfId="32865"/>
    <cellStyle name="Comma 12 2 3 8" xfId="32866"/>
    <cellStyle name="Comma 12 2 3 8 2" xfId="32867"/>
    <cellStyle name="Comma 12 2 3 8 3" xfId="32868"/>
    <cellStyle name="Comma 12 2 3 9" xfId="32869"/>
    <cellStyle name="Comma 12 2 3 9 2" xfId="32870"/>
    <cellStyle name="Comma 12 2 3 9 3" xfId="32871"/>
    <cellStyle name="Comma 12 2 4" xfId="32872"/>
    <cellStyle name="Comma 12 2 4 10" xfId="32873"/>
    <cellStyle name="Comma 12 2 4 2" xfId="32874"/>
    <cellStyle name="Comma 12 2 4 2 2" xfId="32875"/>
    <cellStyle name="Comma 12 2 4 2 2 2" xfId="32876"/>
    <cellStyle name="Comma 12 2 4 2 2 2 2" xfId="32877"/>
    <cellStyle name="Comma 12 2 4 2 2 2 3" xfId="32878"/>
    <cellStyle name="Comma 12 2 4 2 2 3" xfId="32879"/>
    <cellStyle name="Comma 12 2 4 2 2 3 2" xfId="32880"/>
    <cellStyle name="Comma 12 2 4 2 2 3 3" xfId="32881"/>
    <cellStyle name="Comma 12 2 4 2 2 4" xfId="32882"/>
    <cellStyle name="Comma 12 2 4 2 2 4 2" xfId="32883"/>
    <cellStyle name="Comma 12 2 4 2 2 5" xfId="32884"/>
    <cellStyle name="Comma 12 2 4 2 2 6" xfId="32885"/>
    <cellStyle name="Comma 12 2 4 2 3" xfId="32886"/>
    <cellStyle name="Comma 12 2 4 2 3 2" xfId="32887"/>
    <cellStyle name="Comma 12 2 4 2 3 2 2" xfId="32888"/>
    <cellStyle name="Comma 12 2 4 2 3 2 3" xfId="32889"/>
    <cellStyle name="Comma 12 2 4 2 3 3" xfId="32890"/>
    <cellStyle name="Comma 12 2 4 2 3 3 2" xfId="32891"/>
    <cellStyle name="Comma 12 2 4 2 3 3 3" xfId="32892"/>
    <cellStyle name="Comma 12 2 4 2 3 4" xfId="32893"/>
    <cellStyle name="Comma 12 2 4 2 3 4 2" xfId="32894"/>
    <cellStyle name="Comma 12 2 4 2 3 5" xfId="32895"/>
    <cellStyle name="Comma 12 2 4 2 3 6" xfId="32896"/>
    <cellStyle name="Comma 12 2 4 2 4" xfId="32897"/>
    <cellStyle name="Comma 12 2 4 2 4 2" xfId="32898"/>
    <cellStyle name="Comma 12 2 4 2 4 2 2" xfId="32899"/>
    <cellStyle name="Comma 12 2 4 2 4 2 3" xfId="32900"/>
    <cellStyle name="Comma 12 2 4 2 4 3" xfId="32901"/>
    <cellStyle name="Comma 12 2 4 2 4 3 2" xfId="32902"/>
    <cellStyle name="Comma 12 2 4 2 4 4" xfId="32903"/>
    <cellStyle name="Comma 12 2 4 2 4 5" xfId="32904"/>
    <cellStyle name="Comma 12 2 4 2 5" xfId="32905"/>
    <cellStyle name="Comma 12 2 4 2 5 2" xfId="32906"/>
    <cellStyle name="Comma 12 2 4 2 5 3" xfId="32907"/>
    <cellStyle name="Comma 12 2 4 2 6" xfId="32908"/>
    <cellStyle name="Comma 12 2 4 2 6 2" xfId="32909"/>
    <cellStyle name="Comma 12 2 4 2 6 3" xfId="32910"/>
    <cellStyle name="Comma 12 2 4 2 7" xfId="32911"/>
    <cellStyle name="Comma 12 2 4 2 7 2" xfId="32912"/>
    <cellStyle name="Comma 12 2 4 2 8" xfId="32913"/>
    <cellStyle name="Comma 12 2 4 2 9" xfId="32914"/>
    <cellStyle name="Comma 12 2 4 3" xfId="32915"/>
    <cellStyle name="Comma 12 2 4 3 2" xfId="32916"/>
    <cellStyle name="Comma 12 2 4 3 2 2" xfId="32917"/>
    <cellStyle name="Comma 12 2 4 3 2 3" xfId="32918"/>
    <cellStyle name="Comma 12 2 4 3 3" xfId="32919"/>
    <cellStyle name="Comma 12 2 4 3 3 2" xfId="32920"/>
    <cellStyle name="Comma 12 2 4 3 3 3" xfId="32921"/>
    <cellStyle name="Comma 12 2 4 3 4" xfId="32922"/>
    <cellStyle name="Comma 12 2 4 3 4 2" xfId="32923"/>
    <cellStyle name="Comma 12 2 4 3 5" xfId="32924"/>
    <cellStyle name="Comma 12 2 4 3 6" xfId="32925"/>
    <cellStyle name="Comma 12 2 4 4" xfId="32926"/>
    <cellStyle name="Comma 12 2 4 4 2" xfId="32927"/>
    <cellStyle name="Comma 12 2 4 4 2 2" xfId="32928"/>
    <cellStyle name="Comma 12 2 4 4 2 3" xfId="32929"/>
    <cellStyle name="Comma 12 2 4 4 3" xfId="32930"/>
    <cellStyle name="Comma 12 2 4 4 3 2" xfId="32931"/>
    <cellStyle name="Comma 12 2 4 4 3 3" xfId="32932"/>
    <cellStyle name="Comma 12 2 4 4 4" xfId="32933"/>
    <cellStyle name="Comma 12 2 4 4 4 2" xfId="32934"/>
    <cellStyle name="Comma 12 2 4 4 5" xfId="32935"/>
    <cellStyle name="Comma 12 2 4 4 6" xfId="32936"/>
    <cellStyle name="Comma 12 2 4 5" xfId="32937"/>
    <cellStyle name="Comma 12 2 4 5 2" xfId="32938"/>
    <cellStyle name="Comma 12 2 4 5 2 2" xfId="32939"/>
    <cellStyle name="Comma 12 2 4 5 2 3" xfId="32940"/>
    <cellStyle name="Comma 12 2 4 5 3" xfId="32941"/>
    <cellStyle name="Comma 12 2 4 5 3 2" xfId="32942"/>
    <cellStyle name="Comma 12 2 4 5 4" xfId="32943"/>
    <cellStyle name="Comma 12 2 4 5 5" xfId="32944"/>
    <cellStyle name="Comma 12 2 4 6" xfId="32945"/>
    <cellStyle name="Comma 12 2 4 6 2" xfId="32946"/>
    <cellStyle name="Comma 12 2 4 6 3" xfId="32947"/>
    <cellStyle name="Comma 12 2 4 7" xfId="32948"/>
    <cellStyle name="Comma 12 2 4 7 2" xfId="32949"/>
    <cellStyle name="Comma 12 2 4 7 3" xfId="32950"/>
    <cellStyle name="Comma 12 2 4 8" xfId="32951"/>
    <cellStyle name="Comma 12 2 4 8 2" xfId="32952"/>
    <cellStyle name="Comma 12 2 4 9" xfId="32953"/>
    <cellStyle name="Comma 12 2 5" xfId="32954"/>
    <cellStyle name="Comma 12 2 5 2" xfId="32955"/>
    <cellStyle name="Comma 12 2 5 2 2" xfId="32956"/>
    <cellStyle name="Comma 12 2 5 2 2 2" xfId="32957"/>
    <cellStyle name="Comma 12 2 5 2 2 3" xfId="32958"/>
    <cellStyle name="Comma 12 2 5 2 3" xfId="32959"/>
    <cellStyle name="Comma 12 2 5 2 3 2" xfId="32960"/>
    <cellStyle name="Comma 12 2 5 2 3 3" xfId="32961"/>
    <cellStyle name="Comma 12 2 5 2 4" xfId="32962"/>
    <cellStyle name="Comma 12 2 5 2 4 2" xfId="32963"/>
    <cellStyle name="Comma 12 2 5 2 5" xfId="32964"/>
    <cellStyle name="Comma 12 2 5 2 6" xfId="32965"/>
    <cellStyle name="Comma 12 2 5 3" xfId="32966"/>
    <cellStyle name="Comma 12 2 5 3 2" xfId="32967"/>
    <cellStyle name="Comma 12 2 5 3 2 2" xfId="32968"/>
    <cellStyle name="Comma 12 2 5 3 2 3" xfId="32969"/>
    <cellStyle name="Comma 12 2 5 3 3" xfId="32970"/>
    <cellStyle name="Comma 12 2 5 3 3 2" xfId="32971"/>
    <cellStyle name="Comma 12 2 5 3 3 3" xfId="32972"/>
    <cellStyle name="Comma 12 2 5 3 4" xfId="32973"/>
    <cellStyle name="Comma 12 2 5 3 4 2" xfId="32974"/>
    <cellStyle name="Comma 12 2 5 3 5" xfId="32975"/>
    <cellStyle name="Comma 12 2 5 3 6" xfId="32976"/>
    <cellStyle name="Comma 12 2 5 4" xfId="32977"/>
    <cellStyle name="Comma 12 2 5 4 2" xfId="32978"/>
    <cellStyle name="Comma 12 2 5 4 2 2" xfId="32979"/>
    <cellStyle name="Comma 12 2 5 4 2 3" xfId="32980"/>
    <cellStyle name="Comma 12 2 5 4 3" xfId="32981"/>
    <cellStyle name="Comma 12 2 5 4 3 2" xfId="32982"/>
    <cellStyle name="Comma 12 2 5 4 4" xfId="32983"/>
    <cellStyle name="Comma 12 2 5 4 5" xfId="32984"/>
    <cellStyle name="Comma 12 2 5 5" xfId="32985"/>
    <cellStyle name="Comma 12 2 5 5 2" xfId="32986"/>
    <cellStyle name="Comma 12 2 5 5 3" xfId="32987"/>
    <cellStyle name="Comma 12 2 5 6" xfId="32988"/>
    <cellStyle name="Comma 12 2 5 6 2" xfId="32989"/>
    <cellStyle name="Comma 12 2 5 6 3" xfId="32990"/>
    <cellStyle name="Comma 12 2 5 7" xfId="32991"/>
    <cellStyle name="Comma 12 2 5 7 2" xfId="32992"/>
    <cellStyle name="Comma 12 2 5 8" xfId="32993"/>
    <cellStyle name="Comma 12 2 5 9" xfId="32994"/>
    <cellStyle name="Comma 12 2 6" xfId="32995"/>
    <cellStyle name="Comma 12 2 6 2" xfId="32996"/>
    <cellStyle name="Comma 12 2 6 2 2" xfId="32997"/>
    <cellStyle name="Comma 12 2 6 2 2 2" xfId="32998"/>
    <cellStyle name="Comma 12 2 6 2 2 3" xfId="32999"/>
    <cellStyle name="Comma 12 2 6 2 3" xfId="33000"/>
    <cellStyle name="Comma 12 2 6 2 3 2" xfId="33001"/>
    <cellStyle name="Comma 12 2 6 2 3 3" xfId="33002"/>
    <cellStyle name="Comma 12 2 6 2 4" xfId="33003"/>
    <cellStyle name="Comma 12 2 6 2 4 2" xfId="33004"/>
    <cellStyle name="Comma 12 2 6 2 5" xfId="33005"/>
    <cellStyle name="Comma 12 2 6 2 6" xfId="33006"/>
    <cellStyle name="Comma 12 2 6 3" xfId="33007"/>
    <cellStyle name="Comma 12 2 6 3 2" xfId="33008"/>
    <cellStyle name="Comma 12 2 6 3 2 2" xfId="33009"/>
    <cellStyle name="Comma 12 2 6 3 2 3" xfId="33010"/>
    <cellStyle name="Comma 12 2 6 3 3" xfId="33011"/>
    <cellStyle name="Comma 12 2 6 3 3 2" xfId="33012"/>
    <cellStyle name="Comma 12 2 6 3 3 3" xfId="33013"/>
    <cellStyle name="Comma 12 2 6 3 4" xfId="33014"/>
    <cellStyle name="Comma 12 2 6 3 4 2" xfId="33015"/>
    <cellStyle name="Comma 12 2 6 3 5" xfId="33016"/>
    <cellStyle name="Comma 12 2 6 3 6" xfId="33017"/>
    <cellStyle name="Comma 12 2 6 4" xfId="33018"/>
    <cellStyle name="Comma 12 2 6 4 2" xfId="33019"/>
    <cellStyle name="Comma 12 2 6 4 2 2" xfId="33020"/>
    <cellStyle name="Comma 12 2 6 4 2 3" xfId="33021"/>
    <cellStyle name="Comma 12 2 6 4 3" xfId="33022"/>
    <cellStyle name="Comma 12 2 6 4 3 2" xfId="33023"/>
    <cellStyle name="Comma 12 2 6 4 4" xfId="33024"/>
    <cellStyle name="Comma 12 2 6 4 5" xfId="33025"/>
    <cellStyle name="Comma 12 2 6 5" xfId="33026"/>
    <cellStyle name="Comma 12 2 6 5 2" xfId="33027"/>
    <cellStyle name="Comma 12 2 6 5 3" xfId="33028"/>
    <cellStyle name="Comma 12 2 6 6" xfId="33029"/>
    <cellStyle name="Comma 12 2 6 6 2" xfId="33030"/>
    <cellStyle name="Comma 12 2 6 6 3" xfId="33031"/>
    <cellStyle name="Comma 12 2 6 7" xfId="33032"/>
    <cellStyle name="Comma 12 2 6 7 2" xfId="33033"/>
    <cellStyle name="Comma 12 2 6 8" xfId="33034"/>
    <cellStyle name="Comma 12 2 6 9" xfId="33035"/>
    <cellStyle name="Comma 12 2 7" xfId="33036"/>
    <cellStyle name="Comma 12 2 7 2" xfId="33037"/>
    <cellStyle name="Comma 12 2 7 2 2" xfId="33038"/>
    <cellStyle name="Comma 12 2 7 2 3" xfId="33039"/>
    <cellStyle name="Comma 12 2 7 3" xfId="33040"/>
    <cellStyle name="Comma 12 2 7 3 2" xfId="33041"/>
    <cellStyle name="Comma 12 2 7 3 3" xfId="33042"/>
    <cellStyle name="Comma 12 2 7 4" xfId="33043"/>
    <cellStyle name="Comma 12 2 7 4 2" xfId="33044"/>
    <cellStyle name="Comma 12 2 7 5" xfId="33045"/>
    <cellStyle name="Comma 12 2 7 6" xfId="33046"/>
    <cellStyle name="Comma 12 2 8" xfId="33047"/>
    <cellStyle name="Comma 12 2 8 2" xfId="33048"/>
    <cellStyle name="Comma 12 2 8 2 2" xfId="33049"/>
    <cellStyle name="Comma 12 2 8 2 3" xfId="33050"/>
    <cellStyle name="Comma 12 2 8 3" xfId="33051"/>
    <cellStyle name="Comma 12 2 8 3 2" xfId="33052"/>
    <cellStyle name="Comma 12 2 8 3 3" xfId="33053"/>
    <cellStyle name="Comma 12 2 8 4" xfId="33054"/>
    <cellStyle name="Comma 12 2 8 4 2" xfId="33055"/>
    <cellStyle name="Comma 12 2 8 5" xfId="33056"/>
    <cellStyle name="Comma 12 2 8 6" xfId="33057"/>
    <cellStyle name="Comma 12 2 9" xfId="33058"/>
    <cellStyle name="Comma 12 2 9 2" xfId="33059"/>
    <cellStyle name="Comma 12 2 9 2 2" xfId="33060"/>
    <cellStyle name="Comma 12 2 9 2 3" xfId="33061"/>
    <cellStyle name="Comma 12 2 9 3" xfId="33062"/>
    <cellStyle name="Comma 12 2 9 3 2" xfId="33063"/>
    <cellStyle name="Comma 12 2 9 4" xfId="33064"/>
    <cellStyle name="Comma 12 2 9 5" xfId="33065"/>
    <cellStyle name="Comma 12 3" xfId="33066"/>
    <cellStyle name="Comma 12 3 10" xfId="33067"/>
    <cellStyle name="Comma 12 3 10 2" xfId="33068"/>
    <cellStyle name="Comma 12 3 10 3" xfId="33069"/>
    <cellStyle name="Comma 12 3 11" xfId="33070"/>
    <cellStyle name="Comma 12 3 11 2" xfId="33071"/>
    <cellStyle name="Comma 12 3 12" xfId="33072"/>
    <cellStyle name="Comma 12 3 13" xfId="33073"/>
    <cellStyle name="Comma 12 3 2" xfId="33074"/>
    <cellStyle name="Comma 12 3 2 10" xfId="33075"/>
    <cellStyle name="Comma 12 3 2 10 2" xfId="33076"/>
    <cellStyle name="Comma 12 3 2 11" xfId="33077"/>
    <cellStyle name="Comma 12 3 2 12" xfId="33078"/>
    <cellStyle name="Comma 12 3 2 2" xfId="33079"/>
    <cellStyle name="Comma 12 3 2 2 10" xfId="33080"/>
    <cellStyle name="Comma 12 3 2 2 2" xfId="33081"/>
    <cellStyle name="Comma 12 3 2 2 2 2" xfId="33082"/>
    <cellStyle name="Comma 12 3 2 2 2 2 2" xfId="33083"/>
    <cellStyle name="Comma 12 3 2 2 2 2 2 2" xfId="33084"/>
    <cellStyle name="Comma 12 3 2 2 2 2 2 3" xfId="33085"/>
    <cellStyle name="Comma 12 3 2 2 2 2 3" xfId="33086"/>
    <cellStyle name="Comma 12 3 2 2 2 2 3 2" xfId="33087"/>
    <cellStyle name="Comma 12 3 2 2 2 2 3 3" xfId="33088"/>
    <cellStyle name="Comma 12 3 2 2 2 2 4" xfId="33089"/>
    <cellStyle name="Comma 12 3 2 2 2 2 4 2" xfId="33090"/>
    <cellStyle name="Comma 12 3 2 2 2 2 5" xfId="33091"/>
    <cellStyle name="Comma 12 3 2 2 2 2 6" xfId="33092"/>
    <cellStyle name="Comma 12 3 2 2 2 3" xfId="33093"/>
    <cellStyle name="Comma 12 3 2 2 2 3 2" xfId="33094"/>
    <cellStyle name="Comma 12 3 2 2 2 3 2 2" xfId="33095"/>
    <cellStyle name="Comma 12 3 2 2 2 3 2 3" xfId="33096"/>
    <cellStyle name="Comma 12 3 2 2 2 3 3" xfId="33097"/>
    <cellStyle name="Comma 12 3 2 2 2 3 3 2" xfId="33098"/>
    <cellStyle name="Comma 12 3 2 2 2 3 3 3" xfId="33099"/>
    <cellStyle name="Comma 12 3 2 2 2 3 4" xfId="33100"/>
    <cellStyle name="Comma 12 3 2 2 2 3 4 2" xfId="33101"/>
    <cellStyle name="Comma 12 3 2 2 2 3 5" xfId="33102"/>
    <cellStyle name="Comma 12 3 2 2 2 3 6" xfId="33103"/>
    <cellStyle name="Comma 12 3 2 2 2 4" xfId="33104"/>
    <cellStyle name="Comma 12 3 2 2 2 4 2" xfId="33105"/>
    <cellStyle name="Comma 12 3 2 2 2 4 2 2" xfId="33106"/>
    <cellStyle name="Comma 12 3 2 2 2 4 2 3" xfId="33107"/>
    <cellStyle name="Comma 12 3 2 2 2 4 3" xfId="33108"/>
    <cellStyle name="Comma 12 3 2 2 2 4 3 2" xfId="33109"/>
    <cellStyle name="Comma 12 3 2 2 2 4 4" xfId="33110"/>
    <cellStyle name="Comma 12 3 2 2 2 4 5" xfId="33111"/>
    <cellStyle name="Comma 12 3 2 2 2 5" xfId="33112"/>
    <cellStyle name="Comma 12 3 2 2 2 5 2" xfId="33113"/>
    <cellStyle name="Comma 12 3 2 2 2 5 3" xfId="33114"/>
    <cellStyle name="Comma 12 3 2 2 2 6" xfId="33115"/>
    <cellStyle name="Comma 12 3 2 2 2 6 2" xfId="33116"/>
    <cellStyle name="Comma 12 3 2 2 2 6 3" xfId="33117"/>
    <cellStyle name="Comma 12 3 2 2 2 7" xfId="33118"/>
    <cellStyle name="Comma 12 3 2 2 2 7 2" xfId="33119"/>
    <cellStyle name="Comma 12 3 2 2 2 8" xfId="33120"/>
    <cellStyle name="Comma 12 3 2 2 2 9" xfId="33121"/>
    <cellStyle name="Comma 12 3 2 2 3" xfId="33122"/>
    <cellStyle name="Comma 12 3 2 2 3 2" xfId="33123"/>
    <cellStyle name="Comma 12 3 2 2 3 2 2" xfId="33124"/>
    <cellStyle name="Comma 12 3 2 2 3 2 3" xfId="33125"/>
    <cellStyle name="Comma 12 3 2 2 3 3" xfId="33126"/>
    <cellStyle name="Comma 12 3 2 2 3 3 2" xfId="33127"/>
    <cellStyle name="Comma 12 3 2 2 3 3 3" xfId="33128"/>
    <cellStyle name="Comma 12 3 2 2 3 4" xfId="33129"/>
    <cellStyle name="Comma 12 3 2 2 3 4 2" xfId="33130"/>
    <cellStyle name="Comma 12 3 2 2 3 5" xfId="33131"/>
    <cellStyle name="Comma 12 3 2 2 3 6" xfId="33132"/>
    <cellStyle name="Comma 12 3 2 2 4" xfId="33133"/>
    <cellStyle name="Comma 12 3 2 2 4 2" xfId="33134"/>
    <cellStyle name="Comma 12 3 2 2 4 2 2" xfId="33135"/>
    <cellStyle name="Comma 12 3 2 2 4 2 3" xfId="33136"/>
    <cellStyle name="Comma 12 3 2 2 4 3" xfId="33137"/>
    <cellStyle name="Comma 12 3 2 2 4 3 2" xfId="33138"/>
    <cellStyle name="Comma 12 3 2 2 4 3 3" xfId="33139"/>
    <cellStyle name="Comma 12 3 2 2 4 4" xfId="33140"/>
    <cellStyle name="Comma 12 3 2 2 4 4 2" xfId="33141"/>
    <cellStyle name="Comma 12 3 2 2 4 5" xfId="33142"/>
    <cellStyle name="Comma 12 3 2 2 4 6" xfId="33143"/>
    <cellStyle name="Comma 12 3 2 2 5" xfId="33144"/>
    <cellStyle name="Comma 12 3 2 2 5 2" xfId="33145"/>
    <cellStyle name="Comma 12 3 2 2 5 2 2" xfId="33146"/>
    <cellStyle name="Comma 12 3 2 2 5 2 3" xfId="33147"/>
    <cellStyle name="Comma 12 3 2 2 5 3" xfId="33148"/>
    <cellStyle name="Comma 12 3 2 2 5 3 2" xfId="33149"/>
    <cellStyle name="Comma 12 3 2 2 5 4" xfId="33150"/>
    <cellStyle name="Comma 12 3 2 2 5 5" xfId="33151"/>
    <cellStyle name="Comma 12 3 2 2 6" xfId="33152"/>
    <cellStyle name="Comma 12 3 2 2 6 2" xfId="33153"/>
    <cellStyle name="Comma 12 3 2 2 6 3" xfId="33154"/>
    <cellStyle name="Comma 12 3 2 2 7" xfId="33155"/>
    <cellStyle name="Comma 12 3 2 2 7 2" xfId="33156"/>
    <cellStyle name="Comma 12 3 2 2 7 3" xfId="33157"/>
    <cellStyle name="Comma 12 3 2 2 8" xfId="33158"/>
    <cellStyle name="Comma 12 3 2 2 8 2" xfId="33159"/>
    <cellStyle name="Comma 12 3 2 2 9" xfId="33160"/>
    <cellStyle name="Comma 12 3 2 3" xfId="33161"/>
    <cellStyle name="Comma 12 3 2 3 2" xfId="33162"/>
    <cellStyle name="Comma 12 3 2 3 2 2" xfId="33163"/>
    <cellStyle name="Comma 12 3 2 3 2 2 2" xfId="33164"/>
    <cellStyle name="Comma 12 3 2 3 2 2 3" xfId="33165"/>
    <cellStyle name="Comma 12 3 2 3 2 3" xfId="33166"/>
    <cellStyle name="Comma 12 3 2 3 2 3 2" xfId="33167"/>
    <cellStyle name="Comma 12 3 2 3 2 3 3" xfId="33168"/>
    <cellStyle name="Comma 12 3 2 3 2 4" xfId="33169"/>
    <cellStyle name="Comma 12 3 2 3 2 4 2" xfId="33170"/>
    <cellStyle name="Comma 12 3 2 3 2 5" xfId="33171"/>
    <cellStyle name="Comma 12 3 2 3 2 6" xfId="33172"/>
    <cellStyle name="Comma 12 3 2 3 3" xfId="33173"/>
    <cellStyle name="Comma 12 3 2 3 3 2" xfId="33174"/>
    <cellStyle name="Comma 12 3 2 3 3 2 2" xfId="33175"/>
    <cellStyle name="Comma 12 3 2 3 3 2 3" xfId="33176"/>
    <cellStyle name="Comma 12 3 2 3 3 3" xfId="33177"/>
    <cellStyle name="Comma 12 3 2 3 3 3 2" xfId="33178"/>
    <cellStyle name="Comma 12 3 2 3 3 3 3" xfId="33179"/>
    <cellStyle name="Comma 12 3 2 3 3 4" xfId="33180"/>
    <cellStyle name="Comma 12 3 2 3 3 4 2" xfId="33181"/>
    <cellStyle name="Comma 12 3 2 3 3 5" xfId="33182"/>
    <cellStyle name="Comma 12 3 2 3 3 6" xfId="33183"/>
    <cellStyle name="Comma 12 3 2 3 4" xfId="33184"/>
    <cellStyle name="Comma 12 3 2 3 4 2" xfId="33185"/>
    <cellStyle name="Comma 12 3 2 3 4 2 2" xfId="33186"/>
    <cellStyle name="Comma 12 3 2 3 4 2 3" xfId="33187"/>
    <cellStyle name="Comma 12 3 2 3 4 3" xfId="33188"/>
    <cellStyle name="Comma 12 3 2 3 4 3 2" xfId="33189"/>
    <cellStyle name="Comma 12 3 2 3 4 4" xfId="33190"/>
    <cellStyle name="Comma 12 3 2 3 4 5" xfId="33191"/>
    <cellStyle name="Comma 12 3 2 3 5" xfId="33192"/>
    <cellStyle name="Comma 12 3 2 3 5 2" xfId="33193"/>
    <cellStyle name="Comma 12 3 2 3 5 3" xfId="33194"/>
    <cellStyle name="Comma 12 3 2 3 6" xfId="33195"/>
    <cellStyle name="Comma 12 3 2 3 6 2" xfId="33196"/>
    <cellStyle name="Comma 12 3 2 3 6 3" xfId="33197"/>
    <cellStyle name="Comma 12 3 2 3 7" xfId="33198"/>
    <cellStyle name="Comma 12 3 2 3 7 2" xfId="33199"/>
    <cellStyle name="Comma 12 3 2 3 8" xfId="33200"/>
    <cellStyle name="Comma 12 3 2 3 9" xfId="33201"/>
    <cellStyle name="Comma 12 3 2 4" xfId="33202"/>
    <cellStyle name="Comma 12 3 2 4 2" xfId="33203"/>
    <cellStyle name="Comma 12 3 2 4 2 2" xfId="33204"/>
    <cellStyle name="Comma 12 3 2 4 2 2 2" xfId="33205"/>
    <cellStyle name="Comma 12 3 2 4 2 2 3" xfId="33206"/>
    <cellStyle name="Comma 12 3 2 4 2 3" xfId="33207"/>
    <cellStyle name="Comma 12 3 2 4 2 3 2" xfId="33208"/>
    <cellStyle name="Comma 12 3 2 4 2 3 3" xfId="33209"/>
    <cellStyle name="Comma 12 3 2 4 2 4" xfId="33210"/>
    <cellStyle name="Comma 12 3 2 4 2 4 2" xfId="33211"/>
    <cellStyle name="Comma 12 3 2 4 2 5" xfId="33212"/>
    <cellStyle name="Comma 12 3 2 4 2 6" xfId="33213"/>
    <cellStyle name="Comma 12 3 2 4 3" xfId="33214"/>
    <cellStyle name="Comma 12 3 2 4 3 2" xfId="33215"/>
    <cellStyle name="Comma 12 3 2 4 3 2 2" xfId="33216"/>
    <cellStyle name="Comma 12 3 2 4 3 2 3" xfId="33217"/>
    <cellStyle name="Comma 12 3 2 4 3 3" xfId="33218"/>
    <cellStyle name="Comma 12 3 2 4 3 3 2" xfId="33219"/>
    <cellStyle name="Comma 12 3 2 4 3 3 3" xfId="33220"/>
    <cellStyle name="Comma 12 3 2 4 3 4" xfId="33221"/>
    <cellStyle name="Comma 12 3 2 4 3 4 2" xfId="33222"/>
    <cellStyle name="Comma 12 3 2 4 3 5" xfId="33223"/>
    <cellStyle name="Comma 12 3 2 4 3 6" xfId="33224"/>
    <cellStyle name="Comma 12 3 2 4 4" xfId="33225"/>
    <cellStyle name="Comma 12 3 2 4 4 2" xfId="33226"/>
    <cellStyle name="Comma 12 3 2 4 4 2 2" xfId="33227"/>
    <cellStyle name="Comma 12 3 2 4 4 2 3" xfId="33228"/>
    <cellStyle name="Comma 12 3 2 4 4 3" xfId="33229"/>
    <cellStyle name="Comma 12 3 2 4 4 3 2" xfId="33230"/>
    <cellStyle name="Comma 12 3 2 4 4 4" xfId="33231"/>
    <cellStyle name="Comma 12 3 2 4 4 5" xfId="33232"/>
    <cellStyle name="Comma 12 3 2 4 5" xfId="33233"/>
    <cellStyle name="Comma 12 3 2 4 5 2" xfId="33234"/>
    <cellStyle name="Comma 12 3 2 4 5 3" xfId="33235"/>
    <cellStyle name="Comma 12 3 2 4 6" xfId="33236"/>
    <cellStyle name="Comma 12 3 2 4 6 2" xfId="33237"/>
    <cellStyle name="Comma 12 3 2 4 6 3" xfId="33238"/>
    <cellStyle name="Comma 12 3 2 4 7" xfId="33239"/>
    <cellStyle name="Comma 12 3 2 4 7 2" xfId="33240"/>
    <cellStyle name="Comma 12 3 2 4 8" xfId="33241"/>
    <cellStyle name="Comma 12 3 2 4 9" xfId="33242"/>
    <cellStyle name="Comma 12 3 2 5" xfId="33243"/>
    <cellStyle name="Comma 12 3 2 5 2" xfId="33244"/>
    <cellStyle name="Comma 12 3 2 5 2 2" xfId="33245"/>
    <cellStyle name="Comma 12 3 2 5 2 3" xfId="33246"/>
    <cellStyle name="Comma 12 3 2 5 3" xfId="33247"/>
    <cellStyle name="Comma 12 3 2 5 3 2" xfId="33248"/>
    <cellStyle name="Comma 12 3 2 5 3 3" xfId="33249"/>
    <cellStyle name="Comma 12 3 2 5 4" xfId="33250"/>
    <cellStyle name="Comma 12 3 2 5 4 2" xfId="33251"/>
    <cellStyle name="Comma 12 3 2 5 5" xfId="33252"/>
    <cellStyle name="Comma 12 3 2 5 6" xfId="33253"/>
    <cellStyle name="Comma 12 3 2 6" xfId="33254"/>
    <cellStyle name="Comma 12 3 2 6 2" xfId="33255"/>
    <cellStyle name="Comma 12 3 2 6 2 2" xfId="33256"/>
    <cellStyle name="Comma 12 3 2 6 2 3" xfId="33257"/>
    <cellStyle name="Comma 12 3 2 6 3" xfId="33258"/>
    <cellStyle name="Comma 12 3 2 6 3 2" xfId="33259"/>
    <cellStyle name="Comma 12 3 2 6 3 3" xfId="33260"/>
    <cellStyle name="Comma 12 3 2 6 4" xfId="33261"/>
    <cellStyle name="Comma 12 3 2 6 4 2" xfId="33262"/>
    <cellStyle name="Comma 12 3 2 6 5" xfId="33263"/>
    <cellStyle name="Comma 12 3 2 6 6" xfId="33264"/>
    <cellStyle name="Comma 12 3 2 7" xfId="33265"/>
    <cellStyle name="Comma 12 3 2 7 2" xfId="33266"/>
    <cellStyle name="Comma 12 3 2 7 2 2" xfId="33267"/>
    <cellStyle name="Comma 12 3 2 7 2 3" xfId="33268"/>
    <cellStyle name="Comma 12 3 2 7 3" xfId="33269"/>
    <cellStyle name="Comma 12 3 2 7 3 2" xfId="33270"/>
    <cellStyle name="Comma 12 3 2 7 4" xfId="33271"/>
    <cellStyle name="Comma 12 3 2 7 5" xfId="33272"/>
    <cellStyle name="Comma 12 3 2 8" xfId="33273"/>
    <cellStyle name="Comma 12 3 2 8 2" xfId="33274"/>
    <cellStyle name="Comma 12 3 2 8 3" xfId="33275"/>
    <cellStyle name="Comma 12 3 2 9" xfId="33276"/>
    <cellStyle name="Comma 12 3 2 9 2" xfId="33277"/>
    <cellStyle name="Comma 12 3 2 9 3" xfId="33278"/>
    <cellStyle name="Comma 12 3 3" xfId="33279"/>
    <cellStyle name="Comma 12 3 3 10" xfId="33280"/>
    <cellStyle name="Comma 12 3 3 2" xfId="33281"/>
    <cellStyle name="Comma 12 3 3 2 2" xfId="33282"/>
    <cellStyle name="Comma 12 3 3 2 2 2" xfId="33283"/>
    <cellStyle name="Comma 12 3 3 2 2 2 2" xfId="33284"/>
    <cellStyle name="Comma 12 3 3 2 2 2 3" xfId="33285"/>
    <cellStyle name="Comma 12 3 3 2 2 3" xfId="33286"/>
    <cellStyle name="Comma 12 3 3 2 2 3 2" xfId="33287"/>
    <cellStyle name="Comma 12 3 3 2 2 3 3" xfId="33288"/>
    <cellStyle name="Comma 12 3 3 2 2 4" xfId="33289"/>
    <cellStyle name="Comma 12 3 3 2 2 4 2" xfId="33290"/>
    <cellStyle name="Comma 12 3 3 2 2 5" xfId="33291"/>
    <cellStyle name="Comma 12 3 3 2 2 6" xfId="33292"/>
    <cellStyle name="Comma 12 3 3 2 3" xfId="33293"/>
    <cellStyle name="Comma 12 3 3 2 3 2" xfId="33294"/>
    <cellStyle name="Comma 12 3 3 2 3 2 2" xfId="33295"/>
    <cellStyle name="Comma 12 3 3 2 3 2 3" xfId="33296"/>
    <cellStyle name="Comma 12 3 3 2 3 3" xfId="33297"/>
    <cellStyle name="Comma 12 3 3 2 3 3 2" xfId="33298"/>
    <cellStyle name="Comma 12 3 3 2 3 3 3" xfId="33299"/>
    <cellStyle name="Comma 12 3 3 2 3 4" xfId="33300"/>
    <cellStyle name="Comma 12 3 3 2 3 4 2" xfId="33301"/>
    <cellStyle name="Comma 12 3 3 2 3 5" xfId="33302"/>
    <cellStyle name="Comma 12 3 3 2 3 6" xfId="33303"/>
    <cellStyle name="Comma 12 3 3 2 4" xfId="33304"/>
    <cellStyle name="Comma 12 3 3 2 4 2" xfId="33305"/>
    <cellStyle name="Comma 12 3 3 2 4 2 2" xfId="33306"/>
    <cellStyle name="Comma 12 3 3 2 4 2 3" xfId="33307"/>
    <cellStyle name="Comma 12 3 3 2 4 3" xfId="33308"/>
    <cellStyle name="Comma 12 3 3 2 4 3 2" xfId="33309"/>
    <cellStyle name="Comma 12 3 3 2 4 4" xfId="33310"/>
    <cellStyle name="Comma 12 3 3 2 4 5" xfId="33311"/>
    <cellStyle name="Comma 12 3 3 2 5" xfId="33312"/>
    <cellStyle name="Comma 12 3 3 2 5 2" xfId="33313"/>
    <cellStyle name="Comma 12 3 3 2 5 3" xfId="33314"/>
    <cellStyle name="Comma 12 3 3 2 6" xfId="33315"/>
    <cellStyle name="Comma 12 3 3 2 6 2" xfId="33316"/>
    <cellStyle name="Comma 12 3 3 2 6 3" xfId="33317"/>
    <cellStyle name="Comma 12 3 3 2 7" xfId="33318"/>
    <cellStyle name="Comma 12 3 3 2 7 2" xfId="33319"/>
    <cellStyle name="Comma 12 3 3 2 8" xfId="33320"/>
    <cellStyle name="Comma 12 3 3 2 9" xfId="33321"/>
    <cellStyle name="Comma 12 3 3 3" xfId="33322"/>
    <cellStyle name="Comma 12 3 3 3 2" xfId="33323"/>
    <cellStyle name="Comma 12 3 3 3 2 2" xfId="33324"/>
    <cellStyle name="Comma 12 3 3 3 2 3" xfId="33325"/>
    <cellStyle name="Comma 12 3 3 3 3" xfId="33326"/>
    <cellStyle name="Comma 12 3 3 3 3 2" xfId="33327"/>
    <cellStyle name="Comma 12 3 3 3 3 3" xfId="33328"/>
    <cellStyle name="Comma 12 3 3 3 4" xfId="33329"/>
    <cellStyle name="Comma 12 3 3 3 4 2" xfId="33330"/>
    <cellStyle name="Comma 12 3 3 3 5" xfId="33331"/>
    <cellStyle name="Comma 12 3 3 3 6" xfId="33332"/>
    <cellStyle name="Comma 12 3 3 4" xfId="33333"/>
    <cellStyle name="Comma 12 3 3 4 2" xfId="33334"/>
    <cellStyle name="Comma 12 3 3 4 2 2" xfId="33335"/>
    <cellStyle name="Comma 12 3 3 4 2 3" xfId="33336"/>
    <cellStyle name="Comma 12 3 3 4 3" xfId="33337"/>
    <cellStyle name="Comma 12 3 3 4 3 2" xfId="33338"/>
    <cellStyle name="Comma 12 3 3 4 3 3" xfId="33339"/>
    <cellStyle name="Comma 12 3 3 4 4" xfId="33340"/>
    <cellStyle name="Comma 12 3 3 4 4 2" xfId="33341"/>
    <cellStyle name="Comma 12 3 3 4 5" xfId="33342"/>
    <cellStyle name="Comma 12 3 3 4 6" xfId="33343"/>
    <cellStyle name="Comma 12 3 3 5" xfId="33344"/>
    <cellStyle name="Comma 12 3 3 5 2" xfId="33345"/>
    <cellStyle name="Comma 12 3 3 5 2 2" xfId="33346"/>
    <cellStyle name="Comma 12 3 3 5 2 3" xfId="33347"/>
    <cellStyle name="Comma 12 3 3 5 3" xfId="33348"/>
    <cellStyle name="Comma 12 3 3 5 3 2" xfId="33349"/>
    <cellStyle name="Comma 12 3 3 5 4" xfId="33350"/>
    <cellStyle name="Comma 12 3 3 5 5" xfId="33351"/>
    <cellStyle name="Comma 12 3 3 6" xfId="33352"/>
    <cellStyle name="Comma 12 3 3 6 2" xfId="33353"/>
    <cellStyle name="Comma 12 3 3 6 3" xfId="33354"/>
    <cellStyle name="Comma 12 3 3 7" xfId="33355"/>
    <cellStyle name="Comma 12 3 3 7 2" xfId="33356"/>
    <cellStyle name="Comma 12 3 3 7 3" xfId="33357"/>
    <cellStyle name="Comma 12 3 3 8" xfId="33358"/>
    <cellStyle name="Comma 12 3 3 8 2" xfId="33359"/>
    <cellStyle name="Comma 12 3 3 9" xfId="33360"/>
    <cellStyle name="Comma 12 3 4" xfId="33361"/>
    <cellStyle name="Comma 12 3 4 2" xfId="33362"/>
    <cellStyle name="Comma 12 3 4 2 2" xfId="33363"/>
    <cellStyle name="Comma 12 3 4 2 2 2" xfId="33364"/>
    <cellStyle name="Comma 12 3 4 2 2 3" xfId="33365"/>
    <cellStyle name="Comma 12 3 4 2 3" xfId="33366"/>
    <cellStyle name="Comma 12 3 4 2 3 2" xfId="33367"/>
    <cellStyle name="Comma 12 3 4 2 3 3" xfId="33368"/>
    <cellStyle name="Comma 12 3 4 2 4" xfId="33369"/>
    <cellStyle name="Comma 12 3 4 2 4 2" xfId="33370"/>
    <cellStyle name="Comma 12 3 4 2 5" xfId="33371"/>
    <cellStyle name="Comma 12 3 4 2 6" xfId="33372"/>
    <cellStyle name="Comma 12 3 4 3" xfId="33373"/>
    <cellStyle name="Comma 12 3 4 3 2" xfId="33374"/>
    <cellStyle name="Comma 12 3 4 3 2 2" xfId="33375"/>
    <cellStyle name="Comma 12 3 4 3 2 3" xfId="33376"/>
    <cellStyle name="Comma 12 3 4 3 3" xfId="33377"/>
    <cellStyle name="Comma 12 3 4 3 3 2" xfId="33378"/>
    <cellStyle name="Comma 12 3 4 3 3 3" xfId="33379"/>
    <cellStyle name="Comma 12 3 4 3 4" xfId="33380"/>
    <cellStyle name="Comma 12 3 4 3 4 2" xfId="33381"/>
    <cellStyle name="Comma 12 3 4 3 5" xfId="33382"/>
    <cellStyle name="Comma 12 3 4 3 6" xfId="33383"/>
    <cellStyle name="Comma 12 3 4 4" xfId="33384"/>
    <cellStyle name="Comma 12 3 4 4 2" xfId="33385"/>
    <cellStyle name="Comma 12 3 4 4 2 2" xfId="33386"/>
    <cellStyle name="Comma 12 3 4 4 2 3" xfId="33387"/>
    <cellStyle name="Comma 12 3 4 4 3" xfId="33388"/>
    <cellStyle name="Comma 12 3 4 4 3 2" xfId="33389"/>
    <cellStyle name="Comma 12 3 4 4 4" xfId="33390"/>
    <cellStyle name="Comma 12 3 4 4 5" xfId="33391"/>
    <cellStyle name="Comma 12 3 4 5" xfId="33392"/>
    <cellStyle name="Comma 12 3 4 5 2" xfId="33393"/>
    <cellStyle name="Comma 12 3 4 5 3" xfId="33394"/>
    <cellStyle name="Comma 12 3 4 6" xfId="33395"/>
    <cellStyle name="Comma 12 3 4 6 2" xfId="33396"/>
    <cellStyle name="Comma 12 3 4 6 3" xfId="33397"/>
    <cellStyle name="Comma 12 3 4 7" xfId="33398"/>
    <cellStyle name="Comma 12 3 4 7 2" xfId="33399"/>
    <cellStyle name="Comma 12 3 4 8" xfId="33400"/>
    <cellStyle name="Comma 12 3 4 9" xfId="33401"/>
    <cellStyle name="Comma 12 3 5" xfId="33402"/>
    <cellStyle name="Comma 12 3 5 2" xfId="33403"/>
    <cellStyle name="Comma 12 3 5 2 2" xfId="33404"/>
    <cellStyle name="Comma 12 3 5 2 2 2" xfId="33405"/>
    <cellStyle name="Comma 12 3 5 2 2 3" xfId="33406"/>
    <cellStyle name="Comma 12 3 5 2 3" xfId="33407"/>
    <cellStyle name="Comma 12 3 5 2 3 2" xfId="33408"/>
    <cellStyle name="Comma 12 3 5 2 3 3" xfId="33409"/>
    <cellStyle name="Comma 12 3 5 2 4" xfId="33410"/>
    <cellStyle name="Comma 12 3 5 2 4 2" xfId="33411"/>
    <cellStyle name="Comma 12 3 5 2 5" xfId="33412"/>
    <cellStyle name="Comma 12 3 5 2 6" xfId="33413"/>
    <cellStyle name="Comma 12 3 5 3" xfId="33414"/>
    <cellStyle name="Comma 12 3 5 3 2" xfId="33415"/>
    <cellStyle name="Comma 12 3 5 3 2 2" xfId="33416"/>
    <cellStyle name="Comma 12 3 5 3 2 3" xfId="33417"/>
    <cellStyle name="Comma 12 3 5 3 3" xfId="33418"/>
    <cellStyle name="Comma 12 3 5 3 3 2" xfId="33419"/>
    <cellStyle name="Comma 12 3 5 3 3 3" xfId="33420"/>
    <cellStyle name="Comma 12 3 5 3 4" xfId="33421"/>
    <cellStyle name="Comma 12 3 5 3 4 2" xfId="33422"/>
    <cellStyle name="Comma 12 3 5 3 5" xfId="33423"/>
    <cellStyle name="Comma 12 3 5 3 6" xfId="33424"/>
    <cellStyle name="Comma 12 3 5 4" xfId="33425"/>
    <cellStyle name="Comma 12 3 5 4 2" xfId="33426"/>
    <cellStyle name="Comma 12 3 5 4 2 2" xfId="33427"/>
    <cellStyle name="Comma 12 3 5 4 2 3" xfId="33428"/>
    <cellStyle name="Comma 12 3 5 4 3" xfId="33429"/>
    <cellStyle name="Comma 12 3 5 4 3 2" xfId="33430"/>
    <cellStyle name="Comma 12 3 5 4 4" xfId="33431"/>
    <cellStyle name="Comma 12 3 5 4 5" xfId="33432"/>
    <cellStyle name="Comma 12 3 5 5" xfId="33433"/>
    <cellStyle name="Comma 12 3 5 5 2" xfId="33434"/>
    <cellStyle name="Comma 12 3 5 5 3" xfId="33435"/>
    <cellStyle name="Comma 12 3 5 6" xfId="33436"/>
    <cellStyle name="Comma 12 3 5 6 2" xfId="33437"/>
    <cellStyle name="Comma 12 3 5 6 3" xfId="33438"/>
    <cellStyle name="Comma 12 3 5 7" xfId="33439"/>
    <cellStyle name="Comma 12 3 5 7 2" xfId="33440"/>
    <cellStyle name="Comma 12 3 5 8" xfId="33441"/>
    <cellStyle name="Comma 12 3 5 9" xfId="33442"/>
    <cellStyle name="Comma 12 3 6" xfId="33443"/>
    <cellStyle name="Comma 12 3 6 2" xfId="33444"/>
    <cellStyle name="Comma 12 3 6 2 2" xfId="33445"/>
    <cellStyle name="Comma 12 3 6 2 3" xfId="33446"/>
    <cellStyle name="Comma 12 3 6 3" xfId="33447"/>
    <cellStyle name="Comma 12 3 6 3 2" xfId="33448"/>
    <cellStyle name="Comma 12 3 6 3 3" xfId="33449"/>
    <cellStyle name="Comma 12 3 6 4" xfId="33450"/>
    <cellStyle name="Comma 12 3 6 4 2" xfId="33451"/>
    <cellStyle name="Comma 12 3 6 5" xfId="33452"/>
    <cellStyle name="Comma 12 3 6 6" xfId="33453"/>
    <cellStyle name="Comma 12 3 7" xfId="33454"/>
    <cellStyle name="Comma 12 3 7 2" xfId="33455"/>
    <cellStyle name="Comma 12 3 7 2 2" xfId="33456"/>
    <cellStyle name="Comma 12 3 7 2 3" xfId="33457"/>
    <cellStyle name="Comma 12 3 7 3" xfId="33458"/>
    <cellStyle name="Comma 12 3 7 3 2" xfId="33459"/>
    <cellStyle name="Comma 12 3 7 3 3" xfId="33460"/>
    <cellStyle name="Comma 12 3 7 4" xfId="33461"/>
    <cellStyle name="Comma 12 3 7 4 2" xfId="33462"/>
    <cellStyle name="Comma 12 3 7 5" xfId="33463"/>
    <cellStyle name="Comma 12 3 7 6" xfId="33464"/>
    <cellStyle name="Comma 12 3 8" xfId="33465"/>
    <cellStyle name="Comma 12 3 8 2" xfId="33466"/>
    <cellStyle name="Comma 12 3 8 2 2" xfId="33467"/>
    <cellStyle name="Comma 12 3 8 2 3" xfId="33468"/>
    <cellStyle name="Comma 12 3 8 3" xfId="33469"/>
    <cellStyle name="Comma 12 3 8 3 2" xfId="33470"/>
    <cellStyle name="Comma 12 3 8 4" xfId="33471"/>
    <cellStyle name="Comma 12 3 8 5" xfId="33472"/>
    <cellStyle name="Comma 12 3 9" xfId="33473"/>
    <cellStyle name="Comma 12 3 9 2" xfId="33474"/>
    <cellStyle name="Comma 12 3 9 3" xfId="33475"/>
    <cellStyle name="Comma 12 4" xfId="33476"/>
    <cellStyle name="Comma 12 4 10" xfId="33477"/>
    <cellStyle name="Comma 12 4 10 2" xfId="33478"/>
    <cellStyle name="Comma 12 4 11" xfId="33479"/>
    <cellStyle name="Comma 12 4 12" xfId="33480"/>
    <cellStyle name="Comma 12 4 2" xfId="33481"/>
    <cellStyle name="Comma 12 4 2 10" xfId="33482"/>
    <cellStyle name="Comma 12 4 2 2" xfId="33483"/>
    <cellStyle name="Comma 12 4 2 2 2" xfId="33484"/>
    <cellStyle name="Comma 12 4 2 2 2 2" xfId="33485"/>
    <cellStyle name="Comma 12 4 2 2 2 2 2" xfId="33486"/>
    <cellStyle name="Comma 12 4 2 2 2 2 3" xfId="33487"/>
    <cellStyle name="Comma 12 4 2 2 2 3" xfId="33488"/>
    <cellStyle name="Comma 12 4 2 2 2 3 2" xfId="33489"/>
    <cellStyle name="Comma 12 4 2 2 2 3 3" xfId="33490"/>
    <cellStyle name="Comma 12 4 2 2 2 4" xfId="33491"/>
    <cellStyle name="Comma 12 4 2 2 2 4 2" xfId="33492"/>
    <cellStyle name="Comma 12 4 2 2 2 5" xfId="33493"/>
    <cellStyle name="Comma 12 4 2 2 2 6" xfId="33494"/>
    <cellStyle name="Comma 12 4 2 2 3" xfId="33495"/>
    <cellStyle name="Comma 12 4 2 2 3 2" xfId="33496"/>
    <cellStyle name="Comma 12 4 2 2 3 2 2" xfId="33497"/>
    <cellStyle name="Comma 12 4 2 2 3 2 3" xfId="33498"/>
    <cellStyle name="Comma 12 4 2 2 3 3" xfId="33499"/>
    <cellStyle name="Comma 12 4 2 2 3 3 2" xfId="33500"/>
    <cellStyle name="Comma 12 4 2 2 3 3 3" xfId="33501"/>
    <cellStyle name="Comma 12 4 2 2 3 4" xfId="33502"/>
    <cellStyle name="Comma 12 4 2 2 3 4 2" xfId="33503"/>
    <cellStyle name="Comma 12 4 2 2 3 5" xfId="33504"/>
    <cellStyle name="Comma 12 4 2 2 3 6" xfId="33505"/>
    <cellStyle name="Comma 12 4 2 2 4" xfId="33506"/>
    <cellStyle name="Comma 12 4 2 2 4 2" xfId="33507"/>
    <cellStyle name="Comma 12 4 2 2 4 2 2" xfId="33508"/>
    <cellStyle name="Comma 12 4 2 2 4 2 3" xfId="33509"/>
    <cellStyle name="Comma 12 4 2 2 4 3" xfId="33510"/>
    <cellStyle name="Comma 12 4 2 2 4 3 2" xfId="33511"/>
    <cellStyle name="Comma 12 4 2 2 4 4" xfId="33512"/>
    <cellStyle name="Comma 12 4 2 2 4 5" xfId="33513"/>
    <cellStyle name="Comma 12 4 2 2 5" xfId="33514"/>
    <cellStyle name="Comma 12 4 2 2 5 2" xfId="33515"/>
    <cellStyle name="Comma 12 4 2 2 5 3" xfId="33516"/>
    <cellStyle name="Comma 12 4 2 2 6" xfId="33517"/>
    <cellStyle name="Comma 12 4 2 2 6 2" xfId="33518"/>
    <cellStyle name="Comma 12 4 2 2 6 3" xfId="33519"/>
    <cellStyle name="Comma 12 4 2 2 7" xfId="33520"/>
    <cellStyle name="Comma 12 4 2 2 7 2" xfId="33521"/>
    <cellStyle name="Comma 12 4 2 2 8" xfId="33522"/>
    <cellStyle name="Comma 12 4 2 2 9" xfId="33523"/>
    <cellStyle name="Comma 12 4 2 3" xfId="33524"/>
    <cellStyle name="Comma 12 4 2 3 2" xfId="33525"/>
    <cellStyle name="Comma 12 4 2 3 2 2" xfId="33526"/>
    <cellStyle name="Comma 12 4 2 3 2 3" xfId="33527"/>
    <cellStyle name="Comma 12 4 2 3 3" xfId="33528"/>
    <cellStyle name="Comma 12 4 2 3 3 2" xfId="33529"/>
    <cellStyle name="Comma 12 4 2 3 3 3" xfId="33530"/>
    <cellStyle name="Comma 12 4 2 3 4" xfId="33531"/>
    <cellStyle name="Comma 12 4 2 3 4 2" xfId="33532"/>
    <cellStyle name="Comma 12 4 2 3 5" xfId="33533"/>
    <cellStyle name="Comma 12 4 2 3 6" xfId="33534"/>
    <cellStyle name="Comma 12 4 2 4" xfId="33535"/>
    <cellStyle name="Comma 12 4 2 4 2" xfId="33536"/>
    <cellStyle name="Comma 12 4 2 4 2 2" xfId="33537"/>
    <cellStyle name="Comma 12 4 2 4 2 3" xfId="33538"/>
    <cellStyle name="Comma 12 4 2 4 3" xfId="33539"/>
    <cellStyle name="Comma 12 4 2 4 3 2" xfId="33540"/>
    <cellStyle name="Comma 12 4 2 4 3 3" xfId="33541"/>
    <cellStyle name="Comma 12 4 2 4 4" xfId="33542"/>
    <cellStyle name="Comma 12 4 2 4 4 2" xfId="33543"/>
    <cellStyle name="Comma 12 4 2 4 5" xfId="33544"/>
    <cellStyle name="Comma 12 4 2 4 6" xfId="33545"/>
    <cellStyle name="Comma 12 4 2 5" xfId="33546"/>
    <cellStyle name="Comma 12 4 2 5 2" xfId="33547"/>
    <cellStyle name="Comma 12 4 2 5 2 2" xfId="33548"/>
    <cellStyle name="Comma 12 4 2 5 2 3" xfId="33549"/>
    <cellStyle name="Comma 12 4 2 5 3" xfId="33550"/>
    <cellStyle name="Comma 12 4 2 5 3 2" xfId="33551"/>
    <cellStyle name="Comma 12 4 2 5 4" xfId="33552"/>
    <cellStyle name="Comma 12 4 2 5 5" xfId="33553"/>
    <cellStyle name="Comma 12 4 2 6" xfId="33554"/>
    <cellStyle name="Comma 12 4 2 6 2" xfId="33555"/>
    <cellStyle name="Comma 12 4 2 6 3" xfId="33556"/>
    <cellStyle name="Comma 12 4 2 7" xfId="33557"/>
    <cellStyle name="Comma 12 4 2 7 2" xfId="33558"/>
    <cellStyle name="Comma 12 4 2 7 3" xfId="33559"/>
    <cellStyle name="Comma 12 4 2 8" xfId="33560"/>
    <cellStyle name="Comma 12 4 2 8 2" xfId="33561"/>
    <cellStyle name="Comma 12 4 2 9" xfId="33562"/>
    <cellStyle name="Comma 12 4 3" xfId="33563"/>
    <cellStyle name="Comma 12 4 3 2" xfId="33564"/>
    <cellStyle name="Comma 12 4 3 2 2" xfId="33565"/>
    <cellStyle name="Comma 12 4 3 2 2 2" xfId="33566"/>
    <cellStyle name="Comma 12 4 3 2 2 3" xfId="33567"/>
    <cellStyle name="Comma 12 4 3 2 3" xfId="33568"/>
    <cellStyle name="Comma 12 4 3 2 3 2" xfId="33569"/>
    <cellStyle name="Comma 12 4 3 2 3 3" xfId="33570"/>
    <cellStyle name="Comma 12 4 3 2 4" xfId="33571"/>
    <cellStyle name="Comma 12 4 3 2 4 2" xfId="33572"/>
    <cellStyle name="Comma 12 4 3 2 5" xfId="33573"/>
    <cellStyle name="Comma 12 4 3 2 6" xfId="33574"/>
    <cellStyle name="Comma 12 4 3 3" xfId="33575"/>
    <cellStyle name="Comma 12 4 3 3 2" xfId="33576"/>
    <cellStyle name="Comma 12 4 3 3 2 2" xfId="33577"/>
    <cellStyle name="Comma 12 4 3 3 2 3" xfId="33578"/>
    <cellStyle name="Comma 12 4 3 3 3" xfId="33579"/>
    <cellStyle name="Comma 12 4 3 3 3 2" xfId="33580"/>
    <cellStyle name="Comma 12 4 3 3 3 3" xfId="33581"/>
    <cellStyle name="Comma 12 4 3 3 4" xfId="33582"/>
    <cellStyle name="Comma 12 4 3 3 4 2" xfId="33583"/>
    <cellStyle name="Comma 12 4 3 3 5" xfId="33584"/>
    <cellStyle name="Comma 12 4 3 3 6" xfId="33585"/>
    <cellStyle name="Comma 12 4 3 4" xfId="33586"/>
    <cellStyle name="Comma 12 4 3 4 2" xfId="33587"/>
    <cellStyle name="Comma 12 4 3 4 2 2" xfId="33588"/>
    <cellStyle name="Comma 12 4 3 4 2 3" xfId="33589"/>
    <cellStyle name="Comma 12 4 3 4 3" xfId="33590"/>
    <cellStyle name="Comma 12 4 3 4 3 2" xfId="33591"/>
    <cellStyle name="Comma 12 4 3 4 4" xfId="33592"/>
    <cellStyle name="Comma 12 4 3 4 5" xfId="33593"/>
    <cellStyle name="Comma 12 4 3 5" xfId="33594"/>
    <cellStyle name="Comma 12 4 3 5 2" xfId="33595"/>
    <cellStyle name="Comma 12 4 3 5 3" xfId="33596"/>
    <cellStyle name="Comma 12 4 3 6" xfId="33597"/>
    <cellStyle name="Comma 12 4 3 6 2" xfId="33598"/>
    <cellStyle name="Comma 12 4 3 6 3" xfId="33599"/>
    <cellStyle name="Comma 12 4 3 7" xfId="33600"/>
    <cellStyle name="Comma 12 4 3 7 2" xfId="33601"/>
    <cellStyle name="Comma 12 4 3 8" xfId="33602"/>
    <cellStyle name="Comma 12 4 3 9" xfId="33603"/>
    <cellStyle name="Comma 12 4 4" xfId="33604"/>
    <cellStyle name="Comma 12 4 4 2" xfId="33605"/>
    <cellStyle name="Comma 12 4 4 2 2" xfId="33606"/>
    <cellStyle name="Comma 12 4 4 2 2 2" xfId="33607"/>
    <cellStyle name="Comma 12 4 4 2 2 3" xfId="33608"/>
    <cellStyle name="Comma 12 4 4 2 3" xfId="33609"/>
    <cellStyle name="Comma 12 4 4 2 3 2" xfId="33610"/>
    <cellStyle name="Comma 12 4 4 2 3 3" xfId="33611"/>
    <cellStyle name="Comma 12 4 4 2 4" xfId="33612"/>
    <cellStyle name="Comma 12 4 4 2 4 2" xfId="33613"/>
    <cellStyle name="Comma 12 4 4 2 5" xfId="33614"/>
    <cellStyle name="Comma 12 4 4 2 6" xfId="33615"/>
    <cellStyle name="Comma 12 4 4 3" xfId="33616"/>
    <cellStyle name="Comma 12 4 4 3 2" xfId="33617"/>
    <cellStyle name="Comma 12 4 4 3 2 2" xfId="33618"/>
    <cellStyle name="Comma 12 4 4 3 2 3" xfId="33619"/>
    <cellStyle name="Comma 12 4 4 3 3" xfId="33620"/>
    <cellStyle name="Comma 12 4 4 3 3 2" xfId="33621"/>
    <cellStyle name="Comma 12 4 4 3 3 3" xfId="33622"/>
    <cellStyle name="Comma 12 4 4 3 4" xfId="33623"/>
    <cellStyle name="Comma 12 4 4 3 4 2" xfId="33624"/>
    <cellStyle name="Comma 12 4 4 3 5" xfId="33625"/>
    <cellStyle name="Comma 12 4 4 3 6" xfId="33626"/>
    <cellStyle name="Comma 12 4 4 4" xfId="33627"/>
    <cellStyle name="Comma 12 4 4 4 2" xfId="33628"/>
    <cellStyle name="Comma 12 4 4 4 2 2" xfId="33629"/>
    <cellStyle name="Comma 12 4 4 4 2 3" xfId="33630"/>
    <cellStyle name="Comma 12 4 4 4 3" xfId="33631"/>
    <cellStyle name="Comma 12 4 4 4 3 2" xfId="33632"/>
    <cellStyle name="Comma 12 4 4 4 4" xfId="33633"/>
    <cellStyle name="Comma 12 4 4 4 5" xfId="33634"/>
    <cellStyle name="Comma 12 4 4 5" xfId="33635"/>
    <cellStyle name="Comma 12 4 4 5 2" xfId="33636"/>
    <cellStyle name="Comma 12 4 4 5 3" xfId="33637"/>
    <cellStyle name="Comma 12 4 4 6" xfId="33638"/>
    <cellStyle name="Comma 12 4 4 6 2" xfId="33639"/>
    <cellStyle name="Comma 12 4 4 6 3" xfId="33640"/>
    <cellStyle name="Comma 12 4 4 7" xfId="33641"/>
    <cellStyle name="Comma 12 4 4 7 2" xfId="33642"/>
    <cellStyle name="Comma 12 4 4 8" xfId="33643"/>
    <cellStyle name="Comma 12 4 4 9" xfId="33644"/>
    <cellStyle name="Comma 12 4 5" xfId="33645"/>
    <cellStyle name="Comma 12 4 5 2" xfId="33646"/>
    <cellStyle name="Comma 12 4 5 2 2" xfId="33647"/>
    <cellStyle name="Comma 12 4 5 2 3" xfId="33648"/>
    <cellStyle name="Comma 12 4 5 3" xfId="33649"/>
    <cellStyle name="Comma 12 4 5 3 2" xfId="33650"/>
    <cellStyle name="Comma 12 4 5 3 3" xfId="33651"/>
    <cellStyle name="Comma 12 4 5 4" xfId="33652"/>
    <cellStyle name="Comma 12 4 5 4 2" xfId="33653"/>
    <cellStyle name="Comma 12 4 5 5" xfId="33654"/>
    <cellStyle name="Comma 12 4 5 6" xfId="33655"/>
    <cellStyle name="Comma 12 4 6" xfId="33656"/>
    <cellStyle name="Comma 12 4 6 2" xfId="33657"/>
    <cellStyle name="Comma 12 4 6 2 2" xfId="33658"/>
    <cellStyle name="Comma 12 4 6 2 3" xfId="33659"/>
    <cellStyle name="Comma 12 4 6 3" xfId="33660"/>
    <cellStyle name="Comma 12 4 6 3 2" xfId="33661"/>
    <cellStyle name="Comma 12 4 6 3 3" xfId="33662"/>
    <cellStyle name="Comma 12 4 6 4" xfId="33663"/>
    <cellStyle name="Comma 12 4 6 4 2" xfId="33664"/>
    <cellStyle name="Comma 12 4 6 5" xfId="33665"/>
    <cellStyle name="Comma 12 4 6 6" xfId="33666"/>
    <cellStyle name="Comma 12 4 7" xfId="33667"/>
    <cellStyle name="Comma 12 4 7 2" xfId="33668"/>
    <cellStyle name="Comma 12 4 7 2 2" xfId="33669"/>
    <cellStyle name="Comma 12 4 7 2 3" xfId="33670"/>
    <cellStyle name="Comma 12 4 7 3" xfId="33671"/>
    <cellStyle name="Comma 12 4 7 3 2" xfId="33672"/>
    <cellStyle name="Comma 12 4 7 4" xfId="33673"/>
    <cellStyle name="Comma 12 4 7 5" xfId="33674"/>
    <cellStyle name="Comma 12 4 8" xfId="33675"/>
    <cellStyle name="Comma 12 4 8 2" xfId="33676"/>
    <cellStyle name="Comma 12 4 8 3" xfId="33677"/>
    <cellStyle name="Comma 12 4 9" xfId="33678"/>
    <cellStyle name="Comma 12 4 9 2" xfId="33679"/>
    <cellStyle name="Comma 12 4 9 3" xfId="33680"/>
    <cellStyle name="Comma 12 5" xfId="33681"/>
    <cellStyle name="Comma 12 5 10" xfId="33682"/>
    <cellStyle name="Comma 12 5 2" xfId="33683"/>
    <cellStyle name="Comma 12 5 2 2" xfId="33684"/>
    <cellStyle name="Comma 12 5 2 2 2" xfId="33685"/>
    <cellStyle name="Comma 12 5 2 2 2 2" xfId="33686"/>
    <cellStyle name="Comma 12 5 2 2 2 3" xfId="33687"/>
    <cellStyle name="Comma 12 5 2 2 3" xfId="33688"/>
    <cellStyle name="Comma 12 5 2 2 3 2" xfId="33689"/>
    <cellStyle name="Comma 12 5 2 2 3 3" xfId="33690"/>
    <cellStyle name="Comma 12 5 2 2 4" xfId="33691"/>
    <cellStyle name="Comma 12 5 2 2 4 2" xfId="33692"/>
    <cellStyle name="Comma 12 5 2 2 5" xfId="33693"/>
    <cellStyle name="Comma 12 5 2 2 6" xfId="33694"/>
    <cellStyle name="Comma 12 5 2 3" xfId="33695"/>
    <cellStyle name="Comma 12 5 2 3 2" xfId="33696"/>
    <cellStyle name="Comma 12 5 2 3 2 2" xfId="33697"/>
    <cellStyle name="Comma 12 5 2 3 2 3" xfId="33698"/>
    <cellStyle name="Comma 12 5 2 3 3" xfId="33699"/>
    <cellStyle name="Comma 12 5 2 3 3 2" xfId="33700"/>
    <cellStyle name="Comma 12 5 2 3 3 3" xfId="33701"/>
    <cellStyle name="Comma 12 5 2 3 4" xfId="33702"/>
    <cellStyle name="Comma 12 5 2 3 4 2" xfId="33703"/>
    <cellStyle name="Comma 12 5 2 3 5" xfId="33704"/>
    <cellStyle name="Comma 12 5 2 3 6" xfId="33705"/>
    <cellStyle name="Comma 12 5 2 4" xfId="33706"/>
    <cellStyle name="Comma 12 5 2 4 2" xfId="33707"/>
    <cellStyle name="Comma 12 5 2 4 2 2" xfId="33708"/>
    <cellStyle name="Comma 12 5 2 4 2 3" xfId="33709"/>
    <cellStyle name="Comma 12 5 2 4 3" xfId="33710"/>
    <cellStyle name="Comma 12 5 2 4 3 2" xfId="33711"/>
    <cellStyle name="Comma 12 5 2 4 4" xfId="33712"/>
    <cellStyle name="Comma 12 5 2 4 5" xfId="33713"/>
    <cellStyle name="Comma 12 5 2 5" xfId="33714"/>
    <cellStyle name="Comma 12 5 2 5 2" xfId="33715"/>
    <cellStyle name="Comma 12 5 2 5 3" xfId="33716"/>
    <cellStyle name="Comma 12 5 2 6" xfId="33717"/>
    <cellStyle name="Comma 12 5 2 6 2" xfId="33718"/>
    <cellStyle name="Comma 12 5 2 6 3" xfId="33719"/>
    <cellStyle name="Comma 12 5 2 7" xfId="33720"/>
    <cellStyle name="Comma 12 5 2 7 2" xfId="33721"/>
    <cellStyle name="Comma 12 5 2 8" xfId="33722"/>
    <cellStyle name="Comma 12 5 2 9" xfId="33723"/>
    <cellStyle name="Comma 12 5 3" xfId="33724"/>
    <cellStyle name="Comma 12 5 3 2" xfId="33725"/>
    <cellStyle name="Comma 12 5 3 2 2" xfId="33726"/>
    <cellStyle name="Comma 12 5 3 2 3" xfId="33727"/>
    <cellStyle name="Comma 12 5 3 3" xfId="33728"/>
    <cellStyle name="Comma 12 5 3 3 2" xfId="33729"/>
    <cellStyle name="Comma 12 5 3 3 3" xfId="33730"/>
    <cellStyle name="Comma 12 5 3 4" xfId="33731"/>
    <cellStyle name="Comma 12 5 3 4 2" xfId="33732"/>
    <cellStyle name="Comma 12 5 3 5" xfId="33733"/>
    <cellStyle name="Comma 12 5 3 6" xfId="33734"/>
    <cellStyle name="Comma 12 5 4" xfId="33735"/>
    <cellStyle name="Comma 12 5 4 2" xfId="33736"/>
    <cellStyle name="Comma 12 5 4 2 2" xfId="33737"/>
    <cellStyle name="Comma 12 5 4 2 3" xfId="33738"/>
    <cellStyle name="Comma 12 5 4 3" xfId="33739"/>
    <cellStyle name="Comma 12 5 4 3 2" xfId="33740"/>
    <cellStyle name="Comma 12 5 4 3 3" xfId="33741"/>
    <cellStyle name="Comma 12 5 4 4" xfId="33742"/>
    <cellStyle name="Comma 12 5 4 4 2" xfId="33743"/>
    <cellStyle name="Comma 12 5 4 5" xfId="33744"/>
    <cellStyle name="Comma 12 5 4 6" xfId="33745"/>
    <cellStyle name="Comma 12 5 5" xfId="33746"/>
    <cellStyle name="Comma 12 5 5 2" xfId="33747"/>
    <cellStyle name="Comma 12 5 5 2 2" xfId="33748"/>
    <cellStyle name="Comma 12 5 5 2 3" xfId="33749"/>
    <cellStyle name="Comma 12 5 5 3" xfId="33750"/>
    <cellStyle name="Comma 12 5 5 3 2" xfId="33751"/>
    <cellStyle name="Comma 12 5 5 4" xfId="33752"/>
    <cellStyle name="Comma 12 5 5 5" xfId="33753"/>
    <cellStyle name="Comma 12 5 6" xfId="33754"/>
    <cellStyle name="Comma 12 5 6 2" xfId="33755"/>
    <cellStyle name="Comma 12 5 6 3" xfId="33756"/>
    <cellStyle name="Comma 12 5 7" xfId="33757"/>
    <cellStyle name="Comma 12 5 7 2" xfId="33758"/>
    <cellStyle name="Comma 12 5 7 3" xfId="33759"/>
    <cellStyle name="Comma 12 5 8" xfId="33760"/>
    <cellStyle name="Comma 12 5 8 2" xfId="33761"/>
    <cellStyle name="Comma 12 5 9" xfId="33762"/>
    <cellStyle name="Comma 12 6" xfId="33763"/>
    <cellStyle name="Comma 12 6 2" xfId="33764"/>
    <cellStyle name="Comma 12 6 2 2" xfId="33765"/>
    <cellStyle name="Comma 12 6 2 2 2" xfId="33766"/>
    <cellStyle name="Comma 12 6 2 2 3" xfId="33767"/>
    <cellStyle name="Comma 12 6 2 3" xfId="33768"/>
    <cellStyle name="Comma 12 6 2 3 2" xfId="33769"/>
    <cellStyle name="Comma 12 6 2 3 3" xfId="33770"/>
    <cellStyle name="Comma 12 6 2 4" xfId="33771"/>
    <cellStyle name="Comma 12 6 2 4 2" xfId="33772"/>
    <cellStyle name="Comma 12 6 2 5" xfId="33773"/>
    <cellStyle name="Comma 12 6 2 6" xfId="33774"/>
    <cellStyle name="Comma 12 6 3" xfId="33775"/>
    <cellStyle name="Comma 12 6 3 2" xfId="33776"/>
    <cellStyle name="Comma 12 6 3 2 2" xfId="33777"/>
    <cellStyle name="Comma 12 6 3 2 3" xfId="33778"/>
    <cellStyle name="Comma 12 6 3 3" xfId="33779"/>
    <cellStyle name="Comma 12 6 3 3 2" xfId="33780"/>
    <cellStyle name="Comma 12 6 3 3 3" xfId="33781"/>
    <cellStyle name="Comma 12 6 3 4" xfId="33782"/>
    <cellStyle name="Comma 12 6 3 4 2" xfId="33783"/>
    <cellStyle name="Comma 12 6 3 5" xfId="33784"/>
    <cellStyle name="Comma 12 6 3 6" xfId="33785"/>
    <cellStyle name="Comma 12 6 4" xfId="33786"/>
    <cellStyle name="Comma 12 6 4 2" xfId="33787"/>
    <cellStyle name="Comma 12 6 4 2 2" xfId="33788"/>
    <cellStyle name="Comma 12 6 4 2 3" xfId="33789"/>
    <cellStyle name="Comma 12 6 4 3" xfId="33790"/>
    <cellStyle name="Comma 12 6 4 3 2" xfId="33791"/>
    <cellStyle name="Comma 12 6 4 4" xfId="33792"/>
    <cellStyle name="Comma 12 6 4 5" xfId="33793"/>
    <cellStyle name="Comma 12 6 5" xfId="33794"/>
    <cellStyle name="Comma 12 6 5 2" xfId="33795"/>
    <cellStyle name="Comma 12 6 5 3" xfId="33796"/>
    <cellStyle name="Comma 12 6 6" xfId="33797"/>
    <cellStyle name="Comma 12 6 6 2" xfId="33798"/>
    <cellStyle name="Comma 12 6 6 3" xfId="33799"/>
    <cellStyle name="Comma 12 6 7" xfId="33800"/>
    <cellStyle name="Comma 12 6 7 2" xfId="33801"/>
    <cellStyle name="Comma 12 6 8" xfId="33802"/>
    <cellStyle name="Comma 12 6 9" xfId="33803"/>
    <cellStyle name="Comma 12 7" xfId="33804"/>
    <cellStyle name="Comma 12 7 2" xfId="33805"/>
    <cellStyle name="Comma 12 7 2 2" xfId="33806"/>
    <cellStyle name="Comma 12 7 2 2 2" xfId="33807"/>
    <cellStyle name="Comma 12 7 2 2 3" xfId="33808"/>
    <cellStyle name="Comma 12 7 2 3" xfId="33809"/>
    <cellStyle name="Comma 12 7 2 3 2" xfId="33810"/>
    <cellStyle name="Comma 12 7 2 3 3" xfId="33811"/>
    <cellStyle name="Comma 12 7 2 4" xfId="33812"/>
    <cellStyle name="Comma 12 7 2 4 2" xfId="33813"/>
    <cellStyle name="Comma 12 7 2 5" xfId="33814"/>
    <cellStyle name="Comma 12 7 2 6" xfId="33815"/>
    <cellStyle name="Comma 12 7 3" xfId="33816"/>
    <cellStyle name="Comma 12 7 3 2" xfId="33817"/>
    <cellStyle name="Comma 12 7 3 2 2" xfId="33818"/>
    <cellStyle name="Comma 12 7 3 2 3" xfId="33819"/>
    <cellStyle name="Comma 12 7 3 3" xfId="33820"/>
    <cellStyle name="Comma 12 7 3 3 2" xfId="33821"/>
    <cellStyle name="Comma 12 7 3 3 3" xfId="33822"/>
    <cellStyle name="Comma 12 7 3 4" xfId="33823"/>
    <cellStyle name="Comma 12 7 3 4 2" xfId="33824"/>
    <cellStyle name="Comma 12 7 3 5" xfId="33825"/>
    <cellStyle name="Comma 12 7 3 6" xfId="33826"/>
    <cellStyle name="Comma 12 7 4" xfId="33827"/>
    <cellStyle name="Comma 12 7 4 2" xfId="33828"/>
    <cellStyle name="Comma 12 7 4 2 2" xfId="33829"/>
    <cellStyle name="Comma 12 7 4 2 3" xfId="33830"/>
    <cellStyle name="Comma 12 7 4 3" xfId="33831"/>
    <cellStyle name="Comma 12 7 4 3 2" xfId="33832"/>
    <cellStyle name="Comma 12 7 4 4" xfId="33833"/>
    <cellStyle name="Comma 12 7 4 5" xfId="33834"/>
    <cellStyle name="Comma 12 7 5" xfId="33835"/>
    <cellStyle name="Comma 12 7 5 2" xfId="33836"/>
    <cellStyle name="Comma 12 7 5 3" xfId="33837"/>
    <cellStyle name="Comma 12 7 6" xfId="33838"/>
    <cellStyle name="Comma 12 7 6 2" xfId="33839"/>
    <cellStyle name="Comma 12 7 6 3" xfId="33840"/>
    <cellStyle name="Comma 12 7 7" xfId="33841"/>
    <cellStyle name="Comma 12 7 7 2" xfId="33842"/>
    <cellStyle name="Comma 12 7 8" xfId="33843"/>
    <cellStyle name="Comma 12 7 9" xfId="33844"/>
    <cellStyle name="Comma 12 8" xfId="33845"/>
    <cellStyle name="Comma 12 8 2" xfId="33846"/>
    <cellStyle name="Comma 12 8 2 2" xfId="33847"/>
    <cellStyle name="Comma 12 8 2 3" xfId="33848"/>
    <cellStyle name="Comma 12 8 3" xfId="33849"/>
    <cellStyle name="Comma 12 8 3 2" xfId="33850"/>
    <cellStyle name="Comma 12 8 3 3" xfId="33851"/>
    <cellStyle name="Comma 12 8 4" xfId="33852"/>
    <cellStyle name="Comma 12 8 4 2" xfId="33853"/>
    <cellStyle name="Comma 12 8 5" xfId="33854"/>
    <cellStyle name="Comma 12 8 6" xfId="33855"/>
    <cellStyle name="Comma 12 9" xfId="33856"/>
    <cellStyle name="Comma 12 9 2" xfId="33857"/>
    <cellStyle name="Comma 12 9 2 2" xfId="33858"/>
    <cellStyle name="Comma 12 9 2 3" xfId="33859"/>
    <cellStyle name="Comma 12 9 3" xfId="33860"/>
    <cellStyle name="Comma 12 9 3 2" xfId="33861"/>
    <cellStyle name="Comma 12 9 3 3" xfId="33862"/>
    <cellStyle name="Comma 12 9 4" xfId="33863"/>
    <cellStyle name="Comma 12 9 4 2" xfId="33864"/>
    <cellStyle name="Comma 12 9 5" xfId="33865"/>
    <cellStyle name="Comma 12 9 6" xfId="33866"/>
    <cellStyle name="Comma 120" xfId="57835"/>
    <cellStyle name="Comma 121" xfId="57836"/>
    <cellStyle name="Comma 122" xfId="57837"/>
    <cellStyle name="Comma 123" xfId="57838"/>
    <cellStyle name="Comma 124" xfId="57839"/>
    <cellStyle name="Comma 125" xfId="57840"/>
    <cellStyle name="Comma 126" xfId="57841"/>
    <cellStyle name="Comma 127" xfId="57842"/>
    <cellStyle name="Comma 128" xfId="57843"/>
    <cellStyle name="Comma 129" xfId="57844"/>
    <cellStyle name="Comma 13" xfId="3240"/>
    <cellStyle name="Comma 13 10" xfId="33867"/>
    <cellStyle name="Comma 13 10 2" xfId="33868"/>
    <cellStyle name="Comma 13 10 2 2" xfId="33869"/>
    <cellStyle name="Comma 13 10 2 3" xfId="33870"/>
    <cellStyle name="Comma 13 10 3" xfId="33871"/>
    <cellStyle name="Comma 13 10 3 2" xfId="33872"/>
    <cellStyle name="Comma 13 10 4" xfId="33873"/>
    <cellStyle name="Comma 13 10 5" xfId="33874"/>
    <cellStyle name="Comma 13 11" xfId="33875"/>
    <cellStyle name="Comma 13 11 2" xfId="33876"/>
    <cellStyle name="Comma 13 11 3" xfId="33877"/>
    <cellStyle name="Comma 13 12" xfId="33878"/>
    <cellStyle name="Comma 13 12 2" xfId="33879"/>
    <cellStyle name="Comma 13 12 3" xfId="33880"/>
    <cellStyle name="Comma 13 13" xfId="33881"/>
    <cellStyle name="Comma 13 13 2" xfId="33882"/>
    <cellStyle name="Comma 13 14" xfId="33883"/>
    <cellStyle name="Comma 13 15" xfId="33884"/>
    <cellStyle name="Comma 13 16" xfId="33885"/>
    <cellStyle name="Comma 13 2" xfId="9084"/>
    <cellStyle name="Comma 13 2 10" xfId="33886"/>
    <cellStyle name="Comma 13 2 10 2" xfId="33887"/>
    <cellStyle name="Comma 13 2 10 3" xfId="33888"/>
    <cellStyle name="Comma 13 2 11" xfId="33889"/>
    <cellStyle name="Comma 13 2 11 2" xfId="33890"/>
    <cellStyle name="Comma 13 2 11 3" xfId="33891"/>
    <cellStyle name="Comma 13 2 12" xfId="33892"/>
    <cellStyle name="Comma 13 2 12 2" xfId="33893"/>
    <cellStyle name="Comma 13 2 13" xfId="33894"/>
    <cellStyle name="Comma 13 2 14" xfId="33895"/>
    <cellStyle name="Comma 13 2 15" xfId="33896"/>
    <cellStyle name="Comma 13 2 2" xfId="33897"/>
    <cellStyle name="Comma 13 2 2 10" xfId="33898"/>
    <cellStyle name="Comma 13 2 2 10 2" xfId="33899"/>
    <cellStyle name="Comma 13 2 2 10 3" xfId="33900"/>
    <cellStyle name="Comma 13 2 2 11" xfId="33901"/>
    <cellStyle name="Comma 13 2 2 11 2" xfId="33902"/>
    <cellStyle name="Comma 13 2 2 12" xfId="33903"/>
    <cellStyle name="Comma 13 2 2 13" xfId="33904"/>
    <cellStyle name="Comma 13 2 2 2" xfId="33905"/>
    <cellStyle name="Comma 13 2 2 2 10" xfId="33906"/>
    <cellStyle name="Comma 13 2 2 2 10 2" xfId="33907"/>
    <cellStyle name="Comma 13 2 2 2 11" xfId="33908"/>
    <cellStyle name="Comma 13 2 2 2 12" xfId="33909"/>
    <cellStyle name="Comma 13 2 2 2 2" xfId="33910"/>
    <cellStyle name="Comma 13 2 2 2 2 10" xfId="33911"/>
    <cellStyle name="Comma 13 2 2 2 2 2" xfId="33912"/>
    <cellStyle name="Comma 13 2 2 2 2 2 2" xfId="33913"/>
    <cellStyle name="Comma 13 2 2 2 2 2 2 2" xfId="33914"/>
    <cellStyle name="Comma 13 2 2 2 2 2 2 2 2" xfId="33915"/>
    <cellStyle name="Comma 13 2 2 2 2 2 2 2 3" xfId="33916"/>
    <cellStyle name="Comma 13 2 2 2 2 2 2 3" xfId="33917"/>
    <cellStyle name="Comma 13 2 2 2 2 2 2 3 2" xfId="33918"/>
    <cellStyle name="Comma 13 2 2 2 2 2 2 3 3" xfId="33919"/>
    <cellStyle name="Comma 13 2 2 2 2 2 2 4" xfId="33920"/>
    <cellStyle name="Comma 13 2 2 2 2 2 2 4 2" xfId="33921"/>
    <cellStyle name="Comma 13 2 2 2 2 2 2 5" xfId="33922"/>
    <cellStyle name="Comma 13 2 2 2 2 2 2 6" xfId="33923"/>
    <cellStyle name="Comma 13 2 2 2 2 2 3" xfId="33924"/>
    <cellStyle name="Comma 13 2 2 2 2 2 3 2" xfId="33925"/>
    <cellStyle name="Comma 13 2 2 2 2 2 3 2 2" xfId="33926"/>
    <cellStyle name="Comma 13 2 2 2 2 2 3 2 3" xfId="33927"/>
    <cellStyle name="Comma 13 2 2 2 2 2 3 3" xfId="33928"/>
    <cellStyle name="Comma 13 2 2 2 2 2 3 3 2" xfId="33929"/>
    <cellStyle name="Comma 13 2 2 2 2 2 3 3 3" xfId="33930"/>
    <cellStyle name="Comma 13 2 2 2 2 2 3 4" xfId="33931"/>
    <cellStyle name="Comma 13 2 2 2 2 2 3 4 2" xfId="33932"/>
    <cellStyle name="Comma 13 2 2 2 2 2 3 5" xfId="33933"/>
    <cellStyle name="Comma 13 2 2 2 2 2 3 6" xfId="33934"/>
    <cellStyle name="Comma 13 2 2 2 2 2 4" xfId="33935"/>
    <cellStyle name="Comma 13 2 2 2 2 2 4 2" xfId="33936"/>
    <cellStyle name="Comma 13 2 2 2 2 2 4 2 2" xfId="33937"/>
    <cellStyle name="Comma 13 2 2 2 2 2 4 2 3" xfId="33938"/>
    <cellStyle name="Comma 13 2 2 2 2 2 4 3" xfId="33939"/>
    <cellStyle name="Comma 13 2 2 2 2 2 4 3 2" xfId="33940"/>
    <cellStyle name="Comma 13 2 2 2 2 2 4 4" xfId="33941"/>
    <cellStyle name="Comma 13 2 2 2 2 2 4 5" xfId="33942"/>
    <cellStyle name="Comma 13 2 2 2 2 2 5" xfId="33943"/>
    <cellStyle name="Comma 13 2 2 2 2 2 5 2" xfId="33944"/>
    <cellStyle name="Comma 13 2 2 2 2 2 5 3" xfId="33945"/>
    <cellStyle name="Comma 13 2 2 2 2 2 6" xfId="33946"/>
    <cellStyle name="Comma 13 2 2 2 2 2 6 2" xfId="33947"/>
    <cellStyle name="Comma 13 2 2 2 2 2 6 3" xfId="33948"/>
    <cellStyle name="Comma 13 2 2 2 2 2 7" xfId="33949"/>
    <cellStyle name="Comma 13 2 2 2 2 2 7 2" xfId="33950"/>
    <cellStyle name="Comma 13 2 2 2 2 2 8" xfId="33951"/>
    <cellStyle name="Comma 13 2 2 2 2 2 9" xfId="33952"/>
    <cellStyle name="Comma 13 2 2 2 2 3" xfId="33953"/>
    <cellStyle name="Comma 13 2 2 2 2 3 2" xfId="33954"/>
    <cellStyle name="Comma 13 2 2 2 2 3 2 2" xfId="33955"/>
    <cellStyle name="Comma 13 2 2 2 2 3 2 3" xfId="33956"/>
    <cellStyle name="Comma 13 2 2 2 2 3 3" xfId="33957"/>
    <cellStyle name="Comma 13 2 2 2 2 3 3 2" xfId="33958"/>
    <cellStyle name="Comma 13 2 2 2 2 3 3 3" xfId="33959"/>
    <cellStyle name="Comma 13 2 2 2 2 3 4" xfId="33960"/>
    <cellStyle name="Comma 13 2 2 2 2 3 4 2" xfId="33961"/>
    <cellStyle name="Comma 13 2 2 2 2 3 5" xfId="33962"/>
    <cellStyle name="Comma 13 2 2 2 2 3 6" xfId="33963"/>
    <cellStyle name="Comma 13 2 2 2 2 4" xfId="33964"/>
    <cellStyle name="Comma 13 2 2 2 2 4 2" xfId="33965"/>
    <cellStyle name="Comma 13 2 2 2 2 4 2 2" xfId="33966"/>
    <cellStyle name="Comma 13 2 2 2 2 4 2 3" xfId="33967"/>
    <cellStyle name="Comma 13 2 2 2 2 4 3" xfId="33968"/>
    <cellStyle name="Comma 13 2 2 2 2 4 3 2" xfId="33969"/>
    <cellStyle name="Comma 13 2 2 2 2 4 3 3" xfId="33970"/>
    <cellStyle name="Comma 13 2 2 2 2 4 4" xfId="33971"/>
    <cellStyle name="Comma 13 2 2 2 2 4 4 2" xfId="33972"/>
    <cellStyle name="Comma 13 2 2 2 2 4 5" xfId="33973"/>
    <cellStyle name="Comma 13 2 2 2 2 4 6" xfId="33974"/>
    <cellStyle name="Comma 13 2 2 2 2 5" xfId="33975"/>
    <cellStyle name="Comma 13 2 2 2 2 5 2" xfId="33976"/>
    <cellStyle name="Comma 13 2 2 2 2 5 2 2" xfId="33977"/>
    <cellStyle name="Comma 13 2 2 2 2 5 2 3" xfId="33978"/>
    <cellStyle name="Comma 13 2 2 2 2 5 3" xfId="33979"/>
    <cellStyle name="Comma 13 2 2 2 2 5 3 2" xfId="33980"/>
    <cellStyle name="Comma 13 2 2 2 2 5 4" xfId="33981"/>
    <cellStyle name="Comma 13 2 2 2 2 5 5" xfId="33982"/>
    <cellStyle name="Comma 13 2 2 2 2 6" xfId="33983"/>
    <cellStyle name="Comma 13 2 2 2 2 6 2" xfId="33984"/>
    <cellStyle name="Comma 13 2 2 2 2 6 3" xfId="33985"/>
    <cellStyle name="Comma 13 2 2 2 2 7" xfId="33986"/>
    <cellStyle name="Comma 13 2 2 2 2 7 2" xfId="33987"/>
    <cellStyle name="Comma 13 2 2 2 2 7 3" xfId="33988"/>
    <cellStyle name="Comma 13 2 2 2 2 8" xfId="33989"/>
    <cellStyle name="Comma 13 2 2 2 2 8 2" xfId="33990"/>
    <cellStyle name="Comma 13 2 2 2 2 9" xfId="33991"/>
    <cellStyle name="Comma 13 2 2 2 3" xfId="33992"/>
    <cellStyle name="Comma 13 2 2 2 3 2" xfId="33993"/>
    <cellStyle name="Comma 13 2 2 2 3 2 2" xfId="33994"/>
    <cellStyle name="Comma 13 2 2 2 3 2 2 2" xfId="33995"/>
    <cellStyle name="Comma 13 2 2 2 3 2 2 3" xfId="33996"/>
    <cellStyle name="Comma 13 2 2 2 3 2 3" xfId="33997"/>
    <cellStyle name="Comma 13 2 2 2 3 2 3 2" xfId="33998"/>
    <cellStyle name="Comma 13 2 2 2 3 2 3 3" xfId="33999"/>
    <cellStyle name="Comma 13 2 2 2 3 2 4" xfId="34000"/>
    <cellStyle name="Comma 13 2 2 2 3 2 4 2" xfId="34001"/>
    <cellStyle name="Comma 13 2 2 2 3 2 5" xfId="34002"/>
    <cellStyle name="Comma 13 2 2 2 3 2 6" xfId="34003"/>
    <cellStyle name="Comma 13 2 2 2 3 3" xfId="34004"/>
    <cellStyle name="Comma 13 2 2 2 3 3 2" xfId="34005"/>
    <cellStyle name="Comma 13 2 2 2 3 3 2 2" xfId="34006"/>
    <cellStyle name="Comma 13 2 2 2 3 3 2 3" xfId="34007"/>
    <cellStyle name="Comma 13 2 2 2 3 3 3" xfId="34008"/>
    <cellStyle name="Comma 13 2 2 2 3 3 3 2" xfId="34009"/>
    <cellStyle name="Comma 13 2 2 2 3 3 3 3" xfId="34010"/>
    <cellStyle name="Comma 13 2 2 2 3 3 4" xfId="34011"/>
    <cellStyle name="Comma 13 2 2 2 3 3 4 2" xfId="34012"/>
    <cellStyle name="Comma 13 2 2 2 3 3 5" xfId="34013"/>
    <cellStyle name="Comma 13 2 2 2 3 3 6" xfId="34014"/>
    <cellStyle name="Comma 13 2 2 2 3 4" xfId="34015"/>
    <cellStyle name="Comma 13 2 2 2 3 4 2" xfId="34016"/>
    <cellStyle name="Comma 13 2 2 2 3 4 2 2" xfId="34017"/>
    <cellStyle name="Comma 13 2 2 2 3 4 2 3" xfId="34018"/>
    <cellStyle name="Comma 13 2 2 2 3 4 3" xfId="34019"/>
    <cellStyle name="Comma 13 2 2 2 3 4 3 2" xfId="34020"/>
    <cellStyle name="Comma 13 2 2 2 3 4 4" xfId="34021"/>
    <cellStyle name="Comma 13 2 2 2 3 4 5" xfId="34022"/>
    <cellStyle name="Comma 13 2 2 2 3 5" xfId="34023"/>
    <cellStyle name="Comma 13 2 2 2 3 5 2" xfId="34024"/>
    <cellStyle name="Comma 13 2 2 2 3 5 3" xfId="34025"/>
    <cellStyle name="Comma 13 2 2 2 3 6" xfId="34026"/>
    <cellStyle name="Comma 13 2 2 2 3 6 2" xfId="34027"/>
    <cellStyle name="Comma 13 2 2 2 3 6 3" xfId="34028"/>
    <cellStyle name="Comma 13 2 2 2 3 7" xfId="34029"/>
    <cellStyle name="Comma 13 2 2 2 3 7 2" xfId="34030"/>
    <cellStyle name="Comma 13 2 2 2 3 8" xfId="34031"/>
    <cellStyle name="Comma 13 2 2 2 3 9" xfId="34032"/>
    <cellStyle name="Comma 13 2 2 2 4" xfId="34033"/>
    <cellStyle name="Comma 13 2 2 2 4 2" xfId="34034"/>
    <cellStyle name="Comma 13 2 2 2 4 2 2" xfId="34035"/>
    <cellStyle name="Comma 13 2 2 2 4 2 2 2" xfId="34036"/>
    <cellStyle name="Comma 13 2 2 2 4 2 2 3" xfId="34037"/>
    <cellStyle name="Comma 13 2 2 2 4 2 3" xfId="34038"/>
    <cellStyle name="Comma 13 2 2 2 4 2 3 2" xfId="34039"/>
    <cellStyle name="Comma 13 2 2 2 4 2 3 3" xfId="34040"/>
    <cellStyle name="Comma 13 2 2 2 4 2 4" xfId="34041"/>
    <cellStyle name="Comma 13 2 2 2 4 2 4 2" xfId="34042"/>
    <cellStyle name="Comma 13 2 2 2 4 2 5" xfId="34043"/>
    <cellStyle name="Comma 13 2 2 2 4 2 6" xfId="34044"/>
    <cellStyle name="Comma 13 2 2 2 4 3" xfId="34045"/>
    <cellStyle name="Comma 13 2 2 2 4 3 2" xfId="34046"/>
    <cellStyle name="Comma 13 2 2 2 4 3 2 2" xfId="34047"/>
    <cellStyle name="Comma 13 2 2 2 4 3 2 3" xfId="34048"/>
    <cellStyle name="Comma 13 2 2 2 4 3 3" xfId="34049"/>
    <cellStyle name="Comma 13 2 2 2 4 3 3 2" xfId="34050"/>
    <cellStyle name="Comma 13 2 2 2 4 3 3 3" xfId="34051"/>
    <cellStyle name="Comma 13 2 2 2 4 3 4" xfId="34052"/>
    <cellStyle name="Comma 13 2 2 2 4 3 4 2" xfId="34053"/>
    <cellStyle name="Comma 13 2 2 2 4 3 5" xfId="34054"/>
    <cellStyle name="Comma 13 2 2 2 4 3 6" xfId="34055"/>
    <cellStyle name="Comma 13 2 2 2 4 4" xfId="34056"/>
    <cellStyle name="Comma 13 2 2 2 4 4 2" xfId="34057"/>
    <cellStyle name="Comma 13 2 2 2 4 4 2 2" xfId="34058"/>
    <cellStyle name="Comma 13 2 2 2 4 4 2 3" xfId="34059"/>
    <cellStyle name="Comma 13 2 2 2 4 4 3" xfId="34060"/>
    <cellStyle name="Comma 13 2 2 2 4 4 3 2" xfId="34061"/>
    <cellStyle name="Comma 13 2 2 2 4 4 4" xfId="34062"/>
    <cellStyle name="Comma 13 2 2 2 4 4 5" xfId="34063"/>
    <cellStyle name="Comma 13 2 2 2 4 5" xfId="34064"/>
    <cellStyle name="Comma 13 2 2 2 4 5 2" xfId="34065"/>
    <cellStyle name="Comma 13 2 2 2 4 5 3" xfId="34066"/>
    <cellStyle name="Comma 13 2 2 2 4 6" xfId="34067"/>
    <cellStyle name="Comma 13 2 2 2 4 6 2" xfId="34068"/>
    <cellStyle name="Comma 13 2 2 2 4 6 3" xfId="34069"/>
    <cellStyle name="Comma 13 2 2 2 4 7" xfId="34070"/>
    <cellStyle name="Comma 13 2 2 2 4 7 2" xfId="34071"/>
    <cellStyle name="Comma 13 2 2 2 4 8" xfId="34072"/>
    <cellStyle name="Comma 13 2 2 2 4 9" xfId="34073"/>
    <cellStyle name="Comma 13 2 2 2 5" xfId="34074"/>
    <cellStyle name="Comma 13 2 2 2 5 2" xfId="34075"/>
    <cellStyle name="Comma 13 2 2 2 5 2 2" xfId="34076"/>
    <cellStyle name="Comma 13 2 2 2 5 2 3" xfId="34077"/>
    <cellStyle name="Comma 13 2 2 2 5 3" xfId="34078"/>
    <cellStyle name="Comma 13 2 2 2 5 3 2" xfId="34079"/>
    <cellStyle name="Comma 13 2 2 2 5 3 3" xfId="34080"/>
    <cellStyle name="Comma 13 2 2 2 5 4" xfId="34081"/>
    <cellStyle name="Comma 13 2 2 2 5 4 2" xfId="34082"/>
    <cellStyle name="Comma 13 2 2 2 5 5" xfId="34083"/>
    <cellStyle name="Comma 13 2 2 2 5 6" xfId="34084"/>
    <cellStyle name="Comma 13 2 2 2 6" xfId="34085"/>
    <cellStyle name="Comma 13 2 2 2 6 2" xfId="34086"/>
    <cellStyle name="Comma 13 2 2 2 6 2 2" xfId="34087"/>
    <cellStyle name="Comma 13 2 2 2 6 2 3" xfId="34088"/>
    <cellStyle name="Comma 13 2 2 2 6 3" xfId="34089"/>
    <cellStyle name="Comma 13 2 2 2 6 3 2" xfId="34090"/>
    <cellStyle name="Comma 13 2 2 2 6 3 3" xfId="34091"/>
    <cellStyle name="Comma 13 2 2 2 6 4" xfId="34092"/>
    <cellStyle name="Comma 13 2 2 2 6 4 2" xfId="34093"/>
    <cellStyle name="Comma 13 2 2 2 6 5" xfId="34094"/>
    <cellStyle name="Comma 13 2 2 2 6 6" xfId="34095"/>
    <cellStyle name="Comma 13 2 2 2 7" xfId="34096"/>
    <cellStyle name="Comma 13 2 2 2 7 2" xfId="34097"/>
    <cellStyle name="Comma 13 2 2 2 7 2 2" xfId="34098"/>
    <cellStyle name="Comma 13 2 2 2 7 2 3" xfId="34099"/>
    <cellStyle name="Comma 13 2 2 2 7 3" xfId="34100"/>
    <cellStyle name="Comma 13 2 2 2 7 3 2" xfId="34101"/>
    <cellStyle name="Comma 13 2 2 2 7 4" xfId="34102"/>
    <cellStyle name="Comma 13 2 2 2 7 5" xfId="34103"/>
    <cellStyle name="Comma 13 2 2 2 8" xfId="34104"/>
    <cellStyle name="Comma 13 2 2 2 8 2" xfId="34105"/>
    <cellStyle name="Comma 13 2 2 2 8 3" xfId="34106"/>
    <cellStyle name="Comma 13 2 2 2 9" xfId="34107"/>
    <cellStyle name="Comma 13 2 2 2 9 2" xfId="34108"/>
    <cellStyle name="Comma 13 2 2 2 9 3" xfId="34109"/>
    <cellStyle name="Comma 13 2 2 3" xfId="34110"/>
    <cellStyle name="Comma 13 2 2 3 10" xfId="34111"/>
    <cellStyle name="Comma 13 2 2 3 2" xfId="34112"/>
    <cellStyle name="Comma 13 2 2 3 2 2" xfId="34113"/>
    <cellStyle name="Comma 13 2 2 3 2 2 2" xfId="34114"/>
    <cellStyle name="Comma 13 2 2 3 2 2 2 2" xfId="34115"/>
    <cellStyle name="Comma 13 2 2 3 2 2 2 3" xfId="34116"/>
    <cellStyle name="Comma 13 2 2 3 2 2 3" xfId="34117"/>
    <cellStyle name="Comma 13 2 2 3 2 2 3 2" xfId="34118"/>
    <cellStyle name="Comma 13 2 2 3 2 2 3 3" xfId="34119"/>
    <cellStyle name="Comma 13 2 2 3 2 2 4" xfId="34120"/>
    <cellStyle name="Comma 13 2 2 3 2 2 4 2" xfId="34121"/>
    <cellStyle name="Comma 13 2 2 3 2 2 5" xfId="34122"/>
    <cellStyle name="Comma 13 2 2 3 2 2 6" xfId="34123"/>
    <cellStyle name="Comma 13 2 2 3 2 3" xfId="34124"/>
    <cellStyle name="Comma 13 2 2 3 2 3 2" xfId="34125"/>
    <cellStyle name="Comma 13 2 2 3 2 3 2 2" xfId="34126"/>
    <cellStyle name="Comma 13 2 2 3 2 3 2 3" xfId="34127"/>
    <cellStyle name="Comma 13 2 2 3 2 3 3" xfId="34128"/>
    <cellStyle name="Comma 13 2 2 3 2 3 3 2" xfId="34129"/>
    <cellStyle name="Comma 13 2 2 3 2 3 3 3" xfId="34130"/>
    <cellStyle name="Comma 13 2 2 3 2 3 4" xfId="34131"/>
    <cellStyle name="Comma 13 2 2 3 2 3 4 2" xfId="34132"/>
    <cellStyle name="Comma 13 2 2 3 2 3 5" xfId="34133"/>
    <cellStyle name="Comma 13 2 2 3 2 3 6" xfId="34134"/>
    <cellStyle name="Comma 13 2 2 3 2 4" xfId="34135"/>
    <cellStyle name="Comma 13 2 2 3 2 4 2" xfId="34136"/>
    <cellStyle name="Comma 13 2 2 3 2 4 2 2" xfId="34137"/>
    <cellStyle name="Comma 13 2 2 3 2 4 2 3" xfId="34138"/>
    <cellStyle name="Comma 13 2 2 3 2 4 3" xfId="34139"/>
    <cellStyle name="Comma 13 2 2 3 2 4 3 2" xfId="34140"/>
    <cellStyle name="Comma 13 2 2 3 2 4 4" xfId="34141"/>
    <cellStyle name="Comma 13 2 2 3 2 4 5" xfId="34142"/>
    <cellStyle name="Comma 13 2 2 3 2 5" xfId="34143"/>
    <cellStyle name="Comma 13 2 2 3 2 5 2" xfId="34144"/>
    <cellStyle name="Comma 13 2 2 3 2 5 3" xfId="34145"/>
    <cellStyle name="Comma 13 2 2 3 2 6" xfId="34146"/>
    <cellStyle name="Comma 13 2 2 3 2 6 2" xfId="34147"/>
    <cellStyle name="Comma 13 2 2 3 2 6 3" xfId="34148"/>
    <cellStyle name="Comma 13 2 2 3 2 7" xfId="34149"/>
    <cellStyle name="Comma 13 2 2 3 2 7 2" xfId="34150"/>
    <cellStyle name="Comma 13 2 2 3 2 8" xfId="34151"/>
    <cellStyle name="Comma 13 2 2 3 2 9" xfId="34152"/>
    <cellStyle name="Comma 13 2 2 3 3" xfId="34153"/>
    <cellStyle name="Comma 13 2 2 3 3 2" xfId="34154"/>
    <cellStyle name="Comma 13 2 2 3 3 2 2" xfId="34155"/>
    <cellStyle name="Comma 13 2 2 3 3 2 3" xfId="34156"/>
    <cellStyle name="Comma 13 2 2 3 3 3" xfId="34157"/>
    <cellStyle name="Comma 13 2 2 3 3 3 2" xfId="34158"/>
    <cellStyle name="Comma 13 2 2 3 3 3 3" xfId="34159"/>
    <cellStyle name="Comma 13 2 2 3 3 4" xfId="34160"/>
    <cellStyle name="Comma 13 2 2 3 3 4 2" xfId="34161"/>
    <cellStyle name="Comma 13 2 2 3 3 5" xfId="34162"/>
    <cellStyle name="Comma 13 2 2 3 3 6" xfId="34163"/>
    <cellStyle name="Comma 13 2 2 3 4" xfId="34164"/>
    <cellStyle name="Comma 13 2 2 3 4 2" xfId="34165"/>
    <cellStyle name="Comma 13 2 2 3 4 2 2" xfId="34166"/>
    <cellStyle name="Comma 13 2 2 3 4 2 3" xfId="34167"/>
    <cellStyle name="Comma 13 2 2 3 4 3" xfId="34168"/>
    <cellStyle name="Comma 13 2 2 3 4 3 2" xfId="34169"/>
    <cellStyle name="Comma 13 2 2 3 4 3 3" xfId="34170"/>
    <cellStyle name="Comma 13 2 2 3 4 4" xfId="34171"/>
    <cellStyle name="Comma 13 2 2 3 4 4 2" xfId="34172"/>
    <cellStyle name="Comma 13 2 2 3 4 5" xfId="34173"/>
    <cellStyle name="Comma 13 2 2 3 4 6" xfId="34174"/>
    <cellStyle name="Comma 13 2 2 3 5" xfId="34175"/>
    <cellStyle name="Comma 13 2 2 3 5 2" xfId="34176"/>
    <cellStyle name="Comma 13 2 2 3 5 2 2" xfId="34177"/>
    <cellStyle name="Comma 13 2 2 3 5 2 3" xfId="34178"/>
    <cellStyle name="Comma 13 2 2 3 5 3" xfId="34179"/>
    <cellStyle name="Comma 13 2 2 3 5 3 2" xfId="34180"/>
    <cellStyle name="Comma 13 2 2 3 5 4" xfId="34181"/>
    <cellStyle name="Comma 13 2 2 3 5 5" xfId="34182"/>
    <cellStyle name="Comma 13 2 2 3 6" xfId="34183"/>
    <cellStyle name="Comma 13 2 2 3 6 2" xfId="34184"/>
    <cellStyle name="Comma 13 2 2 3 6 3" xfId="34185"/>
    <cellStyle name="Comma 13 2 2 3 7" xfId="34186"/>
    <cellStyle name="Comma 13 2 2 3 7 2" xfId="34187"/>
    <cellStyle name="Comma 13 2 2 3 7 3" xfId="34188"/>
    <cellStyle name="Comma 13 2 2 3 8" xfId="34189"/>
    <cellStyle name="Comma 13 2 2 3 8 2" xfId="34190"/>
    <cellStyle name="Comma 13 2 2 3 9" xfId="34191"/>
    <cellStyle name="Comma 13 2 2 4" xfId="34192"/>
    <cellStyle name="Comma 13 2 2 4 2" xfId="34193"/>
    <cellStyle name="Comma 13 2 2 4 2 2" xfId="34194"/>
    <cellStyle name="Comma 13 2 2 4 2 2 2" xfId="34195"/>
    <cellStyle name="Comma 13 2 2 4 2 2 3" xfId="34196"/>
    <cellStyle name="Comma 13 2 2 4 2 3" xfId="34197"/>
    <cellStyle name="Comma 13 2 2 4 2 3 2" xfId="34198"/>
    <cellStyle name="Comma 13 2 2 4 2 3 3" xfId="34199"/>
    <cellStyle name="Comma 13 2 2 4 2 4" xfId="34200"/>
    <cellStyle name="Comma 13 2 2 4 2 4 2" xfId="34201"/>
    <cellStyle name="Comma 13 2 2 4 2 5" xfId="34202"/>
    <cellStyle name="Comma 13 2 2 4 2 6" xfId="34203"/>
    <cellStyle name="Comma 13 2 2 4 3" xfId="34204"/>
    <cellStyle name="Comma 13 2 2 4 3 2" xfId="34205"/>
    <cellStyle name="Comma 13 2 2 4 3 2 2" xfId="34206"/>
    <cellStyle name="Comma 13 2 2 4 3 2 3" xfId="34207"/>
    <cellStyle name="Comma 13 2 2 4 3 3" xfId="34208"/>
    <cellStyle name="Comma 13 2 2 4 3 3 2" xfId="34209"/>
    <cellStyle name="Comma 13 2 2 4 3 3 3" xfId="34210"/>
    <cellStyle name="Comma 13 2 2 4 3 4" xfId="34211"/>
    <cellStyle name="Comma 13 2 2 4 3 4 2" xfId="34212"/>
    <cellStyle name="Comma 13 2 2 4 3 5" xfId="34213"/>
    <cellStyle name="Comma 13 2 2 4 3 6" xfId="34214"/>
    <cellStyle name="Comma 13 2 2 4 4" xfId="34215"/>
    <cellStyle name="Comma 13 2 2 4 4 2" xfId="34216"/>
    <cellStyle name="Comma 13 2 2 4 4 2 2" xfId="34217"/>
    <cellStyle name="Comma 13 2 2 4 4 2 3" xfId="34218"/>
    <cellStyle name="Comma 13 2 2 4 4 3" xfId="34219"/>
    <cellStyle name="Comma 13 2 2 4 4 3 2" xfId="34220"/>
    <cellStyle name="Comma 13 2 2 4 4 4" xfId="34221"/>
    <cellStyle name="Comma 13 2 2 4 4 5" xfId="34222"/>
    <cellStyle name="Comma 13 2 2 4 5" xfId="34223"/>
    <cellStyle name="Comma 13 2 2 4 5 2" xfId="34224"/>
    <cellStyle name="Comma 13 2 2 4 5 3" xfId="34225"/>
    <cellStyle name="Comma 13 2 2 4 6" xfId="34226"/>
    <cellStyle name="Comma 13 2 2 4 6 2" xfId="34227"/>
    <cellStyle name="Comma 13 2 2 4 6 3" xfId="34228"/>
    <cellStyle name="Comma 13 2 2 4 7" xfId="34229"/>
    <cellStyle name="Comma 13 2 2 4 7 2" xfId="34230"/>
    <cellStyle name="Comma 13 2 2 4 8" xfId="34231"/>
    <cellStyle name="Comma 13 2 2 4 9" xfId="34232"/>
    <cellStyle name="Comma 13 2 2 5" xfId="34233"/>
    <cellStyle name="Comma 13 2 2 5 2" xfId="34234"/>
    <cellStyle name="Comma 13 2 2 5 2 2" xfId="34235"/>
    <cellStyle name="Comma 13 2 2 5 2 2 2" xfId="34236"/>
    <cellStyle name="Comma 13 2 2 5 2 2 3" xfId="34237"/>
    <cellStyle name="Comma 13 2 2 5 2 3" xfId="34238"/>
    <cellStyle name="Comma 13 2 2 5 2 3 2" xfId="34239"/>
    <cellStyle name="Comma 13 2 2 5 2 3 3" xfId="34240"/>
    <cellStyle name="Comma 13 2 2 5 2 4" xfId="34241"/>
    <cellStyle name="Comma 13 2 2 5 2 4 2" xfId="34242"/>
    <cellStyle name="Comma 13 2 2 5 2 5" xfId="34243"/>
    <cellStyle name="Comma 13 2 2 5 2 6" xfId="34244"/>
    <cellStyle name="Comma 13 2 2 5 3" xfId="34245"/>
    <cellStyle name="Comma 13 2 2 5 3 2" xfId="34246"/>
    <cellStyle name="Comma 13 2 2 5 3 2 2" xfId="34247"/>
    <cellStyle name="Comma 13 2 2 5 3 2 3" xfId="34248"/>
    <cellStyle name="Comma 13 2 2 5 3 3" xfId="34249"/>
    <cellStyle name="Comma 13 2 2 5 3 3 2" xfId="34250"/>
    <cellStyle name="Comma 13 2 2 5 3 3 3" xfId="34251"/>
    <cellStyle name="Comma 13 2 2 5 3 4" xfId="34252"/>
    <cellStyle name="Comma 13 2 2 5 3 4 2" xfId="34253"/>
    <cellStyle name="Comma 13 2 2 5 3 5" xfId="34254"/>
    <cellStyle name="Comma 13 2 2 5 3 6" xfId="34255"/>
    <cellStyle name="Comma 13 2 2 5 4" xfId="34256"/>
    <cellStyle name="Comma 13 2 2 5 4 2" xfId="34257"/>
    <cellStyle name="Comma 13 2 2 5 4 2 2" xfId="34258"/>
    <cellStyle name="Comma 13 2 2 5 4 2 3" xfId="34259"/>
    <cellStyle name="Comma 13 2 2 5 4 3" xfId="34260"/>
    <cellStyle name="Comma 13 2 2 5 4 3 2" xfId="34261"/>
    <cellStyle name="Comma 13 2 2 5 4 4" xfId="34262"/>
    <cellStyle name="Comma 13 2 2 5 4 5" xfId="34263"/>
    <cellStyle name="Comma 13 2 2 5 5" xfId="34264"/>
    <cellStyle name="Comma 13 2 2 5 5 2" xfId="34265"/>
    <cellStyle name="Comma 13 2 2 5 5 3" xfId="34266"/>
    <cellStyle name="Comma 13 2 2 5 6" xfId="34267"/>
    <cellStyle name="Comma 13 2 2 5 6 2" xfId="34268"/>
    <cellStyle name="Comma 13 2 2 5 6 3" xfId="34269"/>
    <cellStyle name="Comma 13 2 2 5 7" xfId="34270"/>
    <cellStyle name="Comma 13 2 2 5 7 2" xfId="34271"/>
    <cellStyle name="Comma 13 2 2 5 8" xfId="34272"/>
    <cellStyle name="Comma 13 2 2 5 9" xfId="34273"/>
    <cellStyle name="Comma 13 2 2 6" xfId="34274"/>
    <cellStyle name="Comma 13 2 2 6 2" xfId="34275"/>
    <cellStyle name="Comma 13 2 2 6 2 2" xfId="34276"/>
    <cellStyle name="Comma 13 2 2 6 2 3" xfId="34277"/>
    <cellStyle name="Comma 13 2 2 6 3" xfId="34278"/>
    <cellStyle name="Comma 13 2 2 6 3 2" xfId="34279"/>
    <cellStyle name="Comma 13 2 2 6 3 3" xfId="34280"/>
    <cellStyle name="Comma 13 2 2 6 4" xfId="34281"/>
    <cellStyle name="Comma 13 2 2 6 4 2" xfId="34282"/>
    <cellStyle name="Comma 13 2 2 6 5" xfId="34283"/>
    <cellStyle name="Comma 13 2 2 6 6" xfId="34284"/>
    <cellStyle name="Comma 13 2 2 7" xfId="34285"/>
    <cellStyle name="Comma 13 2 2 7 2" xfId="34286"/>
    <cellStyle name="Comma 13 2 2 7 2 2" xfId="34287"/>
    <cellStyle name="Comma 13 2 2 7 2 3" xfId="34288"/>
    <cellStyle name="Comma 13 2 2 7 3" xfId="34289"/>
    <cellStyle name="Comma 13 2 2 7 3 2" xfId="34290"/>
    <cellStyle name="Comma 13 2 2 7 3 3" xfId="34291"/>
    <cellStyle name="Comma 13 2 2 7 4" xfId="34292"/>
    <cellStyle name="Comma 13 2 2 7 4 2" xfId="34293"/>
    <cellStyle name="Comma 13 2 2 7 5" xfId="34294"/>
    <cellStyle name="Comma 13 2 2 7 6" xfId="34295"/>
    <cellStyle name="Comma 13 2 2 8" xfId="34296"/>
    <cellStyle name="Comma 13 2 2 8 2" xfId="34297"/>
    <cellStyle name="Comma 13 2 2 8 2 2" xfId="34298"/>
    <cellStyle name="Comma 13 2 2 8 2 3" xfId="34299"/>
    <cellStyle name="Comma 13 2 2 8 3" xfId="34300"/>
    <cellStyle name="Comma 13 2 2 8 3 2" xfId="34301"/>
    <cellStyle name="Comma 13 2 2 8 4" xfId="34302"/>
    <cellStyle name="Comma 13 2 2 8 5" xfId="34303"/>
    <cellStyle name="Comma 13 2 2 9" xfId="34304"/>
    <cellStyle name="Comma 13 2 2 9 2" xfId="34305"/>
    <cellStyle name="Comma 13 2 2 9 3" xfId="34306"/>
    <cellStyle name="Comma 13 2 3" xfId="34307"/>
    <cellStyle name="Comma 13 2 3 10" xfId="34308"/>
    <cellStyle name="Comma 13 2 3 10 2" xfId="34309"/>
    <cellStyle name="Comma 13 2 3 11" xfId="34310"/>
    <cellStyle name="Comma 13 2 3 12" xfId="34311"/>
    <cellStyle name="Comma 13 2 3 2" xfId="34312"/>
    <cellStyle name="Comma 13 2 3 2 10" xfId="34313"/>
    <cellStyle name="Comma 13 2 3 2 2" xfId="34314"/>
    <cellStyle name="Comma 13 2 3 2 2 2" xfId="34315"/>
    <cellStyle name="Comma 13 2 3 2 2 2 2" xfId="34316"/>
    <cellStyle name="Comma 13 2 3 2 2 2 2 2" xfId="34317"/>
    <cellStyle name="Comma 13 2 3 2 2 2 2 3" xfId="34318"/>
    <cellStyle name="Comma 13 2 3 2 2 2 3" xfId="34319"/>
    <cellStyle name="Comma 13 2 3 2 2 2 3 2" xfId="34320"/>
    <cellStyle name="Comma 13 2 3 2 2 2 3 3" xfId="34321"/>
    <cellStyle name="Comma 13 2 3 2 2 2 4" xfId="34322"/>
    <cellStyle name="Comma 13 2 3 2 2 2 4 2" xfId="34323"/>
    <cellStyle name="Comma 13 2 3 2 2 2 5" xfId="34324"/>
    <cellStyle name="Comma 13 2 3 2 2 2 6" xfId="34325"/>
    <cellStyle name="Comma 13 2 3 2 2 3" xfId="34326"/>
    <cellStyle name="Comma 13 2 3 2 2 3 2" xfId="34327"/>
    <cellStyle name="Comma 13 2 3 2 2 3 2 2" xfId="34328"/>
    <cellStyle name="Comma 13 2 3 2 2 3 2 3" xfId="34329"/>
    <cellStyle name="Comma 13 2 3 2 2 3 3" xfId="34330"/>
    <cellStyle name="Comma 13 2 3 2 2 3 3 2" xfId="34331"/>
    <cellStyle name="Comma 13 2 3 2 2 3 3 3" xfId="34332"/>
    <cellStyle name="Comma 13 2 3 2 2 3 4" xfId="34333"/>
    <cellStyle name="Comma 13 2 3 2 2 3 4 2" xfId="34334"/>
    <cellStyle name="Comma 13 2 3 2 2 3 5" xfId="34335"/>
    <cellStyle name="Comma 13 2 3 2 2 3 6" xfId="34336"/>
    <cellStyle name="Comma 13 2 3 2 2 4" xfId="34337"/>
    <cellStyle name="Comma 13 2 3 2 2 4 2" xfId="34338"/>
    <cellStyle name="Comma 13 2 3 2 2 4 2 2" xfId="34339"/>
    <cellStyle name="Comma 13 2 3 2 2 4 2 3" xfId="34340"/>
    <cellStyle name="Comma 13 2 3 2 2 4 3" xfId="34341"/>
    <cellStyle name="Comma 13 2 3 2 2 4 3 2" xfId="34342"/>
    <cellStyle name="Comma 13 2 3 2 2 4 4" xfId="34343"/>
    <cellStyle name="Comma 13 2 3 2 2 4 5" xfId="34344"/>
    <cellStyle name="Comma 13 2 3 2 2 5" xfId="34345"/>
    <cellStyle name="Comma 13 2 3 2 2 5 2" xfId="34346"/>
    <cellStyle name="Comma 13 2 3 2 2 5 3" xfId="34347"/>
    <cellStyle name="Comma 13 2 3 2 2 6" xfId="34348"/>
    <cellStyle name="Comma 13 2 3 2 2 6 2" xfId="34349"/>
    <cellStyle name="Comma 13 2 3 2 2 6 3" xfId="34350"/>
    <cellStyle name="Comma 13 2 3 2 2 7" xfId="34351"/>
    <cellStyle name="Comma 13 2 3 2 2 7 2" xfId="34352"/>
    <cellStyle name="Comma 13 2 3 2 2 8" xfId="34353"/>
    <cellStyle name="Comma 13 2 3 2 2 9" xfId="34354"/>
    <cellStyle name="Comma 13 2 3 2 3" xfId="34355"/>
    <cellStyle name="Comma 13 2 3 2 3 2" xfId="34356"/>
    <cellStyle name="Comma 13 2 3 2 3 2 2" xfId="34357"/>
    <cellStyle name="Comma 13 2 3 2 3 2 3" xfId="34358"/>
    <cellStyle name="Comma 13 2 3 2 3 3" xfId="34359"/>
    <cellStyle name="Comma 13 2 3 2 3 3 2" xfId="34360"/>
    <cellStyle name="Comma 13 2 3 2 3 3 3" xfId="34361"/>
    <cellStyle name="Comma 13 2 3 2 3 4" xfId="34362"/>
    <cellStyle name="Comma 13 2 3 2 3 4 2" xfId="34363"/>
    <cellStyle name="Comma 13 2 3 2 3 5" xfId="34364"/>
    <cellStyle name="Comma 13 2 3 2 3 6" xfId="34365"/>
    <cellStyle name="Comma 13 2 3 2 4" xfId="34366"/>
    <cellStyle name="Comma 13 2 3 2 4 2" xfId="34367"/>
    <cellStyle name="Comma 13 2 3 2 4 2 2" xfId="34368"/>
    <cellStyle name="Comma 13 2 3 2 4 2 3" xfId="34369"/>
    <cellStyle name="Comma 13 2 3 2 4 3" xfId="34370"/>
    <cellStyle name="Comma 13 2 3 2 4 3 2" xfId="34371"/>
    <cellStyle name="Comma 13 2 3 2 4 3 3" xfId="34372"/>
    <cellStyle name="Comma 13 2 3 2 4 4" xfId="34373"/>
    <cellStyle name="Comma 13 2 3 2 4 4 2" xfId="34374"/>
    <cellStyle name="Comma 13 2 3 2 4 5" xfId="34375"/>
    <cellStyle name="Comma 13 2 3 2 4 6" xfId="34376"/>
    <cellStyle name="Comma 13 2 3 2 5" xfId="34377"/>
    <cellStyle name="Comma 13 2 3 2 5 2" xfId="34378"/>
    <cellStyle name="Comma 13 2 3 2 5 2 2" xfId="34379"/>
    <cellStyle name="Comma 13 2 3 2 5 2 3" xfId="34380"/>
    <cellStyle name="Comma 13 2 3 2 5 3" xfId="34381"/>
    <cellStyle name="Comma 13 2 3 2 5 3 2" xfId="34382"/>
    <cellStyle name="Comma 13 2 3 2 5 4" xfId="34383"/>
    <cellStyle name="Comma 13 2 3 2 5 5" xfId="34384"/>
    <cellStyle name="Comma 13 2 3 2 6" xfId="34385"/>
    <cellStyle name="Comma 13 2 3 2 6 2" xfId="34386"/>
    <cellStyle name="Comma 13 2 3 2 6 3" xfId="34387"/>
    <cellStyle name="Comma 13 2 3 2 7" xfId="34388"/>
    <cellStyle name="Comma 13 2 3 2 7 2" xfId="34389"/>
    <cellStyle name="Comma 13 2 3 2 7 3" xfId="34390"/>
    <cellStyle name="Comma 13 2 3 2 8" xfId="34391"/>
    <cellStyle name="Comma 13 2 3 2 8 2" xfId="34392"/>
    <cellStyle name="Comma 13 2 3 2 9" xfId="34393"/>
    <cellStyle name="Comma 13 2 3 3" xfId="34394"/>
    <cellStyle name="Comma 13 2 3 3 2" xfId="34395"/>
    <cellStyle name="Comma 13 2 3 3 2 2" xfId="34396"/>
    <cellStyle name="Comma 13 2 3 3 2 2 2" xfId="34397"/>
    <cellStyle name="Comma 13 2 3 3 2 2 3" xfId="34398"/>
    <cellStyle name="Comma 13 2 3 3 2 3" xfId="34399"/>
    <cellStyle name="Comma 13 2 3 3 2 3 2" xfId="34400"/>
    <cellStyle name="Comma 13 2 3 3 2 3 3" xfId="34401"/>
    <cellStyle name="Comma 13 2 3 3 2 4" xfId="34402"/>
    <cellStyle name="Comma 13 2 3 3 2 4 2" xfId="34403"/>
    <cellStyle name="Comma 13 2 3 3 2 5" xfId="34404"/>
    <cellStyle name="Comma 13 2 3 3 2 6" xfId="34405"/>
    <cellStyle name="Comma 13 2 3 3 3" xfId="34406"/>
    <cellStyle name="Comma 13 2 3 3 3 2" xfId="34407"/>
    <cellStyle name="Comma 13 2 3 3 3 2 2" xfId="34408"/>
    <cellStyle name="Comma 13 2 3 3 3 2 3" xfId="34409"/>
    <cellStyle name="Comma 13 2 3 3 3 3" xfId="34410"/>
    <cellStyle name="Comma 13 2 3 3 3 3 2" xfId="34411"/>
    <cellStyle name="Comma 13 2 3 3 3 3 3" xfId="34412"/>
    <cellStyle name="Comma 13 2 3 3 3 4" xfId="34413"/>
    <cellStyle name="Comma 13 2 3 3 3 4 2" xfId="34414"/>
    <cellStyle name="Comma 13 2 3 3 3 5" xfId="34415"/>
    <cellStyle name="Comma 13 2 3 3 3 6" xfId="34416"/>
    <cellStyle name="Comma 13 2 3 3 4" xfId="34417"/>
    <cellStyle name="Comma 13 2 3 3 4 2" xfId="34418"/>
    <cellStyle name="Comma 13 2 3 3 4 2 2" xfId="34419"/>
    <cellStyle name="Comma 13 2 3 3 4 2 3" xfId="34420"/>
    <cellStyle name="Comma 13 2 3 3 4 3" xfId="34421"/>
    <cellStyle name="Comma 13 2 3 3 4 3 2" xfId="34422"/>
    <cellStyle name="Comma 13 2 3 3 4 4" xfId="34423"/>
    <cellStyle name="Comma 13 2 3 3 4 5" xfId="34424"/>
    <cellStyle name="Comma 13 2 3 3 5" xfId="34425"/>
    <cellStyle name="Comma 13 2 3 3 5 2" xfId="34426"/>
    <cellStyle name="Comma 13 2 3 3 5 3" xfId="34427"/>
    <cellStyle name="Comma 13 2 3 3 6" xfId="34428"/>
    <cellStyle name="Comma 13 2 3 3 6 2" xfId="34429"/>
    <cellStyle name="Comma 13 2 3 3 6 3" xfId="34430"/>
    <cellStyle name="Comma 13 2 3 3 7" xfId="34431"/>
    <cellStyle name="Comma 13 2 3 3 7 2" xfId="34432"/>
    <cellStyle name="Comma 13 2 3 3 8" xfId="34433"/>
    <cellStyle name="Comma 13 2 3 3 9" xfId="34434"/>
    <cellStyle name="Comma 13 2 3 4" xfId="34435"/>
    <cellStyle name="Comma 13 2 3 4 2" xfId="34436"/>
    <cellStyle name="Comma 13 2 3 4 2 2" xfId="34437"/>
    <cellStyle name="Comma 13 2 3 4 2 2 2" xfId="34438"/>
    <cellStyle name="Comma 13 2 3 4 2 2 3" xfId="34439"/>
    <cellStyle name="Comma 13 2 3 4 2 3" xfId="34440"/>
    <cellStyle name="Comma 13 2 3 4 2 3 2" xfId="34441"/>
    <cellStyle name="Comma 13 2 3 4 2 3 3" xfId="34442"/>
    <cellStyle name="Comma 13 2 3 4 2 4" xfId="34443"/>
    <cellStyle name="Comma 13 2 3 4 2 4 2" xfId="34444"/>
    <cellStyle name="Comma 13 2 3 4 2 5" xfId="34445"/>
    <cellStyle name="Comma 13 2 3 4 2 6" xfId="34446"/>
    <cellStyle name="Comma 13 2 3 4 3" xfId="34447"/>
    <cellStyle name="Comma 13 2 3 4 3 2" xfId="34448"/>
    <cellStyle name="Comma 13 2 3 4 3 2 2" xfId="34449"/>
    <cellStyle name="Comma 13 2 3 4 3 2 3" xfId="34450"/>
    <cellStyle name="Comma 13 2 3 4 3 3" xfId="34451"/>
    <cellStyle name="Comma 13 2 3 4 3 3 2" xfId="34452"/>
    <cellStyle name="Comma 13 2 3 4 3 3 3" xfId="34453"/>
    <cellStyle name="Comma 13 2 3 4 3 4" xfId="34454"/>
    <cellStyle name="Comma 13 2 3 4 3 4 2" xfId="34455"/>
    <cellStyle name="Comma 13 2 3 4 3 5" xfId="34456"/>
    <cellStyle name="Comma 13 2 3 4 3 6" xfId="34457"/>
    <cellStyle name="Comma 13 2 3 4 4" xfId="34458"/>
    <cellStyle name="Comma 13 2 3 4 4 2" xfId="34459"/>
    <cellStyle name="Comma 13 2 3 4 4 2 2" xfId="34460"/>
    <cellStyle name="Comma 13 2 3 4 4 2 3" xfId="34461"/>
    <cellStyle name="Comma 13 2 3 4 4 3" xfId="34462"/>
    <cellStyle name="Comma 13 2 3 4 4 3 2" xfId="34463"/>
    <cellStyle name="Comma 13 2 3 4 4 4" xfId="34464"/>
    <cellStyle name="Comma 13 2 3 4 4 5" xfId="34465"/>
    <cellStyle name="Comma 13 2 3 4 5" xfId="34466"/>
    <cellStyle name="Comma 13 2 3 4 5 2" xfId="34467"/>
    <cellStyle name="Comma 13 2 3 4 5 3" xfId="34468"/>
    <cellStyle name="Comma 13 2 3 4 6" xfId="34469"/>
    <cellStyle name="Comma 13 2 3 4 6 2" xfId="34470"/>
    <cellStyle name="Comma 13 2 3 4 6 3" xfId="34471"/>
    <cellStyle name="Comma 13 2 3 4 7" xfId="34472"/>
    <cellStyle name="Comma 13 2 3 4 7 2" xfId="34473"/>
    <cellStyle name="Comma 13 2 3 4 8" xfId="34474"/>
    <cellStyle name="Comma 13 2 3 4 9" xfId="34475"/>
    <cellStyle name="Comma 13 2 3 5" xfId="34476"/>
    <cellStyle name="Comma 13 2 3 5 2" xfId="34477"/>
    <cellStyle name="Comma 13 2 3 5 2 2" xfId="34478"/>
    <cellStyle name="Comma 13 2 3 5 2 3" xfId="34479"/>
    <cellStyle name="Comma 13 2 3 5 3" xfId="34480"/>
    <cellStyle name="Comma 13 2 3 5 3 2" xfId="34481"/>
    <cellStyle name="Comma 13 2 3 5 3 3" xfId="34482"/>
    <cellStyle name="Comma 13 2 3 5 4" xfId="34483"/>
    <cellStyle name="Comma 13 2 3 5 4 2" xfId="34484"/>
    <cellStyle name="Comma 13 2 3 5 5" xfId="34485"/>
    <cellStyle name="Comma 13 2 3 5 6" xfId="34486"/>
    <cellStyle name="Comma 13 2 3 6" xfId="34487"/>
    <cellStyle name="Comma 13 2 3 6 2" xfId="34488"/>
    <cellStyle name="Comma 13 2 3 6 2 2" xfId="34489"/>
    <cellStyle name="Comma 13 2 3 6 2 3" xfId="34490"/>
    <cellStyle name="Comma 13 2 3 6 3" xfId="34491"/>
    <cellStyle name="Comma 13 2 3 6 3 2" xfId="34492"/>
    <cellStyle name="Comma 13 2 3 6 3 3" xfId="34493"/>
    <cellStyle name="Comma 13 2 3 6 4" xfId="34494"/>
    <cellStyle name="Comma 13 2 3 6 4 2" xfId="34495"/>
    <cellStyle name="Comma 13 2 3 6 5" xfId="34496"/>
    <cellStyle name="Comma 13 2 3 6 6" xfId="34497"/>
    <cellStyle name="Comma 13 2 3 7" xfId="34498"/>
    <cellStyle name="Comma 13 2 3 7 2" xfId="34499"/>
    <cellStyle name="Comma 13 2 3 7 2 2" xfId="34500"/>
    <cellStyle name="Comma 13 2 3 7 2 3" xfId="34501"/>
    <cellStyle name="Comma 13 2 3 7 3" xfId="34502"/>
    <cellStyle name="Comma 13 2 3 7 3 2" xfId="34503"/>
    <cellStyle name="Comma 13 2 3 7 4" xfId="34504"/>
    <cellStyle name="Comma 13 2 3 7 5" xfId="34505"/>
    <cellStyle name="Comma 13 2 3 8" xfId="34506"/>
    <cellStyle name="Comma 13 2 3 8 2" xfId="34507"/>
    <cellStyle name="Comma 13 2 3 8 3" xfId="34508"/>
    <cellStyle name="Comma 13 2 3 9" xfId="34509"/>
    <cellStyle name="Comma 13 2 3 9 2" xfId="34510"/>
    <cellStyle name="Comma 13 2 3 9 3" xfId="34511"/>
    <cellStyle name="Comma 13 2 4" xfId="34512"/>
    <cellStyle name="Comma 13 2 4 10" xfId="34513"/>
    <cellStyle name="Comma 13 2 4 2" xfId="34514"/>
    <cellStyle name="Comma 13 2 4 2 2" xfId="34515"/>
    <cellStyle name="Comma 13 2 4 2 2 2" xfId="34516"/>
    <cellStyle name="Comma 13 2 4 2 2 2 2" xfId="34517"/>
    <cellStyle name="Comma 13 2 4 2 2 2 3" xfId="34518"/>
    <cellStyle name="Comma 13 2 4 2 2 3" xfId="34519"/>
    <cellStyle name="Comma 13 2 4 2 2 3 2" xfId="34520"/>
    <cellStyle name="Comma 13 2 4 2 2 3 3" xfId="34521"/>
    <cellStyle name="Comma 13 2 4 2 2 4" xfId="34522"/>
    <cellStyle name="Comma 13 2 4 2 2 4 2" xfId="34523"/>
    <cellStyle name="Comma 13 2 4 2 2 5" xfId="34524"/>
    <cellStyle name="Comma 13 2 4 2 2 6" xfId="34525"/>
    <cellStyle name="Comma 13 2 4 2 3" xfId="34526"/>
    <cellStyle name="Comma 13 2 4 2 3 2" xfId="34527"/>
    <cellStyle name="Comma 13 2 4 2 3 2 2" xfId="34528"/>
    <cellStyle name="Comma 13 2 4 2 3 2 3" xfId="34529"/>
    <cellStyle name="Comma 13 2 4 2 3 3" xfId="34530"/>
    <cellStyle name="Comma 13 2 4 2 3 3 2" xfId="34531"/>
    <cellStyle name="Comma 13 2 4 2 3 3 3" xfId="34532"/>
    <cellStyle name="Comma 13 2 4 2 3 4" xfId="34533"/>
    <cellStyle name="Comma 13 2 4 2 3 4 2" xfId="34534"/>
    <cellStyle name="Comma 13 2 4 2 3 5" xfId="34535"/>
    <cellStyle name="Comma 13 2 4 2 3 6" xfId="34536"/>
    <cellStyle name="Comma 13 2 4 2 4" xfId="34537"/>
    <cellStyle name="Comma 13 2 4 2 4 2" xfId="34538"/>
    <cellStyle name="Comma 13 2 4 2 4 2 2" xfId="34539"/>
    <cellStyle name="Comma 13 2 4 2 4 2 3" xfId="34540"/>
    <cellStyle name="Comma 13 2 4 2 4 3" xfId="34541"/>
    <cellStyle name="Comma 13 2 4 2 4 3 2" xfId="34542"/>
    <cellStyle name="Comma 13 2 4 2 4 4" xfId="34543"/>
    <cellStyle name="Comma 13 2 4 2 4 5" xfId="34544"/>
    <cellStyle name="Comma 13 2 4 2 5" xfId="34545"/>
    <cellStyle name="Comma 13 2 4 2 5 2" xfId="34546"/>
    <cellStyle name="Comma 13 2 4 2 5 3" xfId="34547"/>
    <cellStyle name="Comma 13 2 4 2 6" xfId="34548"/>
    <cellStyle name="Comma 13 2 4 2 6 2" xfId="34549"/>
    <cellStyle name="Comma 13 2 4 2 6 3" xfId="34550"/>
    <cellStyle name="Comma 13 2 4 2 7" xfId="34551"/>
    <cellStyle name="Comma 13 2 4 2 7 2" xfId="34552"/>
    <cellStyle name="Comma 13 2 4 2 8" xfId="34553"/>
    <cellStyle name="Comma 13 2 4 2 9" xfId="34554"/>
    <cellStyle name="Comma 13 2 4 3" xfId="34555"/>
    <cellStyle name="Comma 13 2 4 3 2" xfId="34556"/>
    <cellStyle name="Comma 13 2 4 3 2 2" xfId="34557"/>
    <cellStyle name="Comma 13 2 4 3 2 3" xfId="34558"/>
    <cellStyle name="Comma 13 2 4 3 3" xfId="34559"/>
    <cellStyle name="Comma 13 2 4 3 3 2" xfId="34560"/>
    <cellStyle name="Comma 13 2 4 3 3 3" xfId="34561"/>
    <cellStyle name="Comma 13 2 4 3 4" xfId="34562"/>
    <cellStyle name="Comma 13 2 4 3 4 2" xfId="34563"/>
    <cellStyle name="Comma 13 2 4 3 5" xfId="34564"/>
    <cellStyle name="Comma 13 2 4 3 6" xfId="34565"/>
    <cellStyle name="Comma 13 2 4 4" xfId="34566"/>
    <cellStyle name="Comma 13 2 4 4 2" xfId="34567"/>
    <cellStyle name="Comma 13 2 4 4 2 2" xfId="34568"/>
    <cellStyle name="Comma 13 2 4 4 2 3" xfId="34569"/>
    <cellStyle name="Comma 13 2 4 4 3" xfId="34570"/>
    <cellStyle name="Comma 13 2 4 4 3 2" xfId="34571"/>
    <cellStyle name="Comma 13 2 4 4 3 3" xfId="34572"/>
    <cellStyle name="Comma 13 2 4 4 4" xfId="34573"/>
    <cellStyle name="Comma 13 2 4 4 4 2" xfId="34574"/>
    <cellStyle name="Comma 13 2 4 4 5" xfId="34575"/>
    <cellStyle name="Comma 13 2 4 4 6" xfId="34576"/>
    <cellStyle name="Comma 13 2 4 5" xfId="34577"/>
    <cellStyle name="Comma 13 2 4 5 2" xfId="34578"/>
    <cellStyle name="Comma 13 2 4 5 2 2" xfId="34579"/>
    <cellStyle name="Comma 13 2 4 5 2 3" xfId="34580"/>
    <cellStyle name="Comma 13 2 4 5 3" xfId="34581"/>
    <cellStyle name="Comma 13 2 4 5 3 2" xfId="34582"/>
    <cellStyle name="Comma 13 2 4 5 4" xfId="34583"/>
    <cellStyle name="Comma 13 2 4 5 5" xfId="34584"/>
    <cellStyle name="Comma 13 2 4 6" xfId="34585"/>
    <cellStyle name="Comma 13 2 4 6 2" xfId="34586"/>
    <cellStyle name="Comma 13 2 4 6 3" xfId="34587"/>
    <cellStyle name="Comma 13 2 4 7" xfId="34588"/>
    <cellStyle name="Comma 13 2 4 7 2" xfId="34589"/>
    <cellStyle name="Comma 13 2 4 7 3" xfId="34590"/>
    <cellStyle name="Comma 13 2 4 8" xfId="34591"/>
    <cellStyle name="Comma 13 2 4 8 2" xfId="34592"/>
    <cellStyle name="Comma 13 2 4 9" xfId="34593"/>
    <cellStyle name="Comma 13 2 5" xfId="34594"/>
    <cellStyle name="Comma 13 2 5 2" xfId="34595"/>
    <cellStyle name="Comma 13 2 5 2 2" xfId="34596"/>
    <cellStyle name="Comma 13 2 5 2 2 2" xfId="34597"/>
    <cellStyle name="Comma 13 2 5 2 2 3" xfId="34598"/>
    <cellStyle name="Comma 13 2 5 2 3" xfId="34599"/>
    <cellStyle name="Comma 13 2 5 2 3 2" xfId="34600"/>
    <cellStyle name="Comma 13 2 5 2 3 3" xfId="34601"/>
    <cellStyle name="Comma 13 2 5 2 4" xfId="34602"/>
    <cellStyle name="Comma 13 2 5 2 4 2" xfId="34603"/>
    <cellStyle name="Comma 13 2 5 2 5" xfId="34604"/>
    <cellStyle name="Comma 13 2 5 2 6" xfId="34605"/>
    <cellStyle name="Comma 13 2 5 3" xfId="34606"/>
    <cellStyle name="Comma 13 2 5 3 2" xfId="34607"/>
    <cellStyle name="Comma 13 2 5 3 2 2" xfId="34608"/>
    <cellStyle name="Comma 13 2 5 3 2 3" xfId="34609"/>
    <cellStyle name="Comma 13 2 5 3 3" xfId="34610"/>
    <cellStyle name="Comma 13 2 5 3 3 2" xfId="34611"/>
    <cellStyle name="Comma 13 2 5 3 3 3" xfId="34612"/>
    <cellStyle name="Comma 13 2 5 3 4" xfId="34613"/>
    <cellStyle name="Comma 13 2 5 3 4 2" xfId="34614"/>
    <cellStyle name="Comma 13 2 5 3 5" xfId="34615"/>
    <cellStyle name="Comma 13 2 5 3 6" xfId="34616"/>
    <cellStyle name="Comma 13 2 5 4" xfId="34617"/>
    <cellStyle name="Comma 13 2 5 4 2" xfId="34618"/>
    <cellStyle name="Comma 13 2 5 4 2 2" xfId="34619"/>
    <cellStyle name="Comma 13 2 5 4 2 3" xfId="34620"/>
    <cellStyle name="Comma 13 2 5 4 3" xfId="34621"/>
    <cellStyle name="Comma 13 2 5 4 3 2" xfId="34622"/>
    <cellStyle name="Comma 13 2 5 4 4" xfId="34623"/>
    <cellStyle name="Comma 13 2 5 4 5" xfId="34624"/>
    <cellStyle name="Comma 13 2 5 5" xfId="34625"/>
    <cellStyle name="Comma 13 2 5 5 2" xfId="34626"/>
    <cellStyle name="Comma 13 2 5 5 3" xfId="34627"/>
    <cellStyle name="Comma 13 2 5 6" xfId="34628"/>
    <cellStyle name="Comma 13 2 5 6 2" xfId="34629"/>
    <cellStyle name="Comma 13 2 5 6 3" xfId="34630"/>
    <cellStyle name="Comma 13 2 5 7" xfId="34631"/>
    <cellStyle name="Comma 13 2 5 7 2" xfId="34632"/>
    <cellStyle name="Comma 13 2 5 8" xfId="34633"/>
    <cellStyle name="Comma 13 2 5 9" xfId="34634"/>
    <cellStyle name="Comma 13 2 6" xfId="34635"/>
    <cellStyle name="Comma 13 2 6 2" xfId="34636"/>
    <cellStyle name="Comma 13 2 6 2 2" xfId="34637"/>
    <cellStyle name="Comma 13 2 6 2 2 2" xfId="34638"/>
    <cellStyle name="Comma 13 2 6 2 2 3" xfId="34639"/>
    <cellStyle name="Comma 13 2 6 2 3" xfId="34640"/>
    <cellStyle name="Comma 13 2 6 2 3 2" xfId="34641"/>
    <cellStyle name="Comma 13 2 6 2 3 3" xfId="34642"/>
    <cellStyle name="Comma 13 2 6 2 4" xfId="34643"/>
    <cellStyle name="Comma 13 2 6 2 4 2" xfId="34644"/>
    <cellStyle name="Comma 13 2 6 2 5" xfId="34645"/>
    <cellStyle name="Comma 13 2 6 2 6" xfId="34646"/>
    <cellStyle name="Comma 13 2 6 3" xfId="34647"/>
    <cellStyle name="Comma 13 2 6 3 2" xfId="34648"/>
    <cellStyle name="Comma 13 2 6 3 2 2" xfId="34649"/>
    <cellStyle name="Comma 13 2 6 3 2 3" xfId="34650"/>
    <cellStyle name="Comma 13 2 6 3 3" xfId="34651"/>
    <cellStyle name="Comma 13 2 6 3 3 2" xfId="34652"/>
    <cellStyle name="Comma 13 2 6 3 3 3" xfId="34653"/>
    <cellStyle name="Comma 13 2 6 3 4" xfId="34654"/>
    <cellStyle name="Comma 13 2 6 3 4 2" xfId="34655"/>
    <cellStyle name="Comma 13 2 6 3 5" xfId="34656"/>
    <cellStyle name="Comma 13 2 6 3 6" xfId="34657"/>
    <cellStyle name="Comma 13 2 6 4" xfId="34658"/>
    <cellStyle name="Comma 13 2 6 4 2" xfId="34659"/>
    <cellStyle name="Comma 13 2 6 4 2 2" xfId="34660"/>
    <cellStyle name="Comma 13 2 6 4 2 3" xfId="34661"/>
    <cellStyle name="Comma 13 2 6 4 3" xfId="34662"/>
    <cellStyle name="Comma 13 2 6 4 3 2" xfId="34663"/>
    <cellStyle name="Comma 13 2 6 4 4" xfId="34664"/>
    <cellStyle name="Comma 13 2 6 4 5" xfId="34665"/>
    <cellStyle name="Comma 13 2 6 5" xfId="34666"/>
    <cellStyle name="Comma 13 2 6 5 2" xfId="34667"/>
    <cellStyle name="Comma 13 2 6 5 3" xfId="34668"/>
    <cellStyle name="Comma 13 2 6 6" xfId="34669"/>
    <cellStyle name="Comma 13 2 6 6 2" xfId="34670"/>
    <cellStyle name="Comma 13 2 6 6 3" xfId="34671"/>
    <cellStyle name="Comma 13 2 6 7" xfId="34672"/>
    <cellStyle name="Comma 13 2 6 7 2" xfId="34673"/>
    <cellStyle name="Comma 13 2 6 8" xfId="34674"/>
    <cellStyle name="Comma 13 2 6 9" xfId="34675"/>
    <cellStyle name="Comma 13 2 7" xfId="34676"/>
    <cellStyle name="Comma 13 2 7 2" xfId="34677"/>
    <cellStyle name="Comma 13 2 7 2 2" xfId="34678"/>
    <cellStyle name="Comma 13 2 7 2 3" xfId="34679"/>
    <cellStyle name="Comma 13 2 7 3" xfId="34680"/>
    <cellStyle name="Comma 13 2 7 3 2" xfId="34681"/>
    <cellStyle name="Comma 13 2 7 3 3" xfId="34682"/>
    <cellStyle name="Comma 13 2 7 4" xfId="34683"/>
    <cellStyle name="Comma 13 2 7 4 2" xfId="34684"/>
    <cellStyle name="Comma 13 2 7 5" xfId="34685"/>
    <cellStyle name="Comma 13 2 7 6" xfId="34686"/>
    <cellStyle name="Comma 13 2 8" xfId="34687"/>
    <cellStyle name="Comma 13 2 8 2" xfId="34688"/>
    <cellStyle name="Comma 13 2 8 2 2" xfId="34689"/>
    <cellStyle name="Comma 13 2 8 2 3" xfId="34690"/>
    <cellStyle name="Comma 13 2 8 3" xfId="34691"/>
    <cellStyle name="Comma 13 2 8 3 2" xfId="34692"/>
    <cellStyle name="Comma 13 2 8 3 3" xfId="34693"/>
    <cellStyle name="Comma 13 2 8 4" xfId="34694"/>
    <cellStyle name="Comma 13 2 8 4 2" xfId="34695"/>
    <cellStyle name="Comma 13 2 8 5" xfId="34696"/>
    <cellStyle name="Comma 13 2 8 6" xfId="34697"/>
    <cellStyle name="Comma 13 2 9" xfId="34698"/>
    <cellStyle name="Comma 13 2 9 2" xfId="34699"/>
    <cellStyle name="Comma 13 2 9 2 2" xfId="34700"/>
    <cellStyle name="Comma 13 2 9 2 3" xfId="34701"/>
    <cellStyle name="Comma 13 2 9 3" xfId="34702"/>
    <cellStyle name="Comma 13 2 9 3 2" xfId="34703"/>
    <cellStyle name="Comma 13 2 9 4" xfId="34704"/>
    <cellStyle name="Comma 13 2 9 5" xfId="34705"/>
    <cellStyle name="Comma 13 3" xfId="9085"/>
    <cellStyle name="Comma 13 3 10" xfId="34706"/>
    <cellStyle name="Comma 13 3 10 2" xfId="34707"/>
    <cellStyle name="Comma 13 3 10 3" xfId="34708"/>
    <cellStyle name="Comma 13 3 11" xfId="34709"/>
    <cellStyle name="Comma 13 3 11 2" xfId="34710"/>
    <cellStyle name="Comma 13 3 12" xfId="34711"/>
    <cellStyle name="Comma 13 3 13" xfId="34712"/>
    <cellStyle name="Comma 13 3 2" xfId="34713"/>
    <cellStyle name="Comma 13 3 2 10" xfId="34714"/>
    <cellStyle name="Comma 13 3 2 10 2" xfId="34715"/>
    <cellStyle name="Comma 13 3 2 11" xfId="34716"/>
    <cellStyle name="Comma 13 3 2 12" xfId="34717"/>
    <cellStyle name="Comma 13 3 2 2" xfId="34718"/>
    <cellStyle name="Comma 13 3 2 2 10" xfId="34719"/>
    <cellStyle name="Comma 13 3 2 2 2" xfId="34720"/>
    <cellStyle name="Comma 13 3 2 2 2 2" xfId="34721"/>
    <cellStyle name="Comma 13 3 2 2 2 2 2" xfId="34722"/>
    <cellStyle name="Comma 13 3 2 2 2 2 2 2" xfId="34723"/>
    <cellStyle name="Comma 13 3 2 2 2 2 2 3" xfId="34724"/>
    <cellStyle name="Comma 13 3 2 2 2 2 3" xfId="34725"/>
    <cellStyle name="Comma 13 3 2 2 2 2 3 2" xfId="34726"/>
    <cellStyle name="Comma 13 3 2 2 2 2 3 3" xfId="34727"/>
    <cellStyle name="Comma 13 3 2 2 2 2 4" xfId="34728"/>
    <cellStyle name="Comma 13 3 2 2 2 2 4 2" xfId="34729"/>
    <cellStyle name="Comma 13 3 2 2 2 2 5" xfId="34730"/>
    <cellStyle name="Comma 13 3 2 2 2 2 6" xfId="34731"/>
    <cellStyle name="Comma 13 3 2 2 2 3" xfId="34732"/>
    <cellStyle name="Comma 13 3 2 2 2 3 2" xfId="34733"/>
    <cellStyle name="Comma 13 3 2 2 2 3 2 2" xfId="34734"/>
    <cellStyle name="Comma 13 3 2 2 2 3 2 3" xfId="34735"/>
    <cellStyle name="Comma 13 3 2 2 2 3 3" xfId="34736"/>
    <cellStyle name="Comma 13 3 2 2 2 3 3 2" xfId="34737"/>
    <cellStyle name="Comma 13 3 2 2 2 3 3 3" xfId="34738"/>
    <cellStyle name="Comma 13 3 2 2 2 3 4" xfId="34739"/>
    <cellStyle name="Comma 13 3 2 2 2 3 4 2" xfId="34740"/>
    <cellStyle name="Comma 13 3 2 2 2 3 5" xfId="34741"/>
    <cellStyle name="Comma 13 3 2 2 2 3 6" xfId="34742"/>
    <cellStyle name="Comma 13 3 2 2 2 4" xfId="34743"/>
    <cellStyle name="Comma 13 3 2 2 2 4 2" xfId="34744"/>
    <cellStyle name="Comma 13 3 2 2 2 4 2 2" xfId="34745"/>
    <cellStyle name="Comma 13 3 2 2 2 4 2 3" xfId="34746"/>
    <cellStyle name="Comma 13 3 2 2 2 4 3" xfId="34747"/>
    <cellStyle name="Comma 13 3 2 2 2 4 3 2" xfId="34748"/>
    <cellStyle name="Comma 13 3 2 2 2 4 4" xfId="34749"/>
    <cellStyle name="Comma 13 3 2 2 2 4 5" xfId="34750"/>
    <cellStyle name="Comma 13 3 2 2 2 5" xfId="34751"/>
    <cellStyle name="Comma 13 3 2 2 2 5 2" xfId="34752"/>
    <cellStyle name="Comma 13 3 2 2 2 5 3" xfId="34753"/>
    <cellStyle name="Comma 13 3 2 2 2 6" xfId="34754"/>
    <cellStyle name="Comma 13 3 2 2 2 6 2" xfId="34755"/>
    <cellStyle name="Comma 13 3 2 2 2 6 3" xfId="34756"/>
    <cellStyle name="Comma 13 3 2 2 2 7" xfId="34757"/>
    <cellStyle name="Comma 13 3 2 2 2 7 2" xfId="34758"/>
    <cellStyle name="Comma 13 3 2 2 2 8" xfId="34759"/>
    <cellStyle name="Comma 13 3 2 2 2 9" xfId="34760"/>
    <cellStyle name="Comma 13 3 2 2 3" xfId="34761"/>
    <cellStyle name="Comma 13 3 2 2 3 2" xfId="34762"/>
    <cellStyle name="Comma 13 3 2 2 3 2 2" xfId="34763"/>
    <cellStyle name="Comma 13 3 2 2 3 2 3" xfId="34764"/>
    <cellStyle name="Comma 13 3 2 2 3 3" xfId="34765"/>
    <cellStyle name="Comma 13 3 2 2 3 3 2" xfId="34766"/>
    <cellStyle name="Comma 13 3 2 2 3 3 3" xfId="34767"/>
    <cellStyle name="Comma 13 3 2 2 3 4" xfId="34768"/>
    <cellStyle name="Comma 13 3 2 2 3 4 2" xfId="34769"/>
    <cellStyle name="Comma 13 3 2 2 3 5" xfId="34770"/>
    <cellStyle name="Comma 13 3 2 2 3 6" xfId="34771"/>
    <cellStyle name="Comma 13 3 2 2 4" xfId="34772"/>
    <cellStyle name="Comma 13 3 2 2 4 2" xfId="34773"/>
    <cellStyle name="Comma 13 3 2 2 4 2 2" xfId="34774"/>
    <cellStyle name="Comma 13 3 2 2 4 2 3" xfId="34775"/>
    <cellStyle name="Comma 13 3 2 2 4 3" xfId="34776"/>
    <cellStyle name="Comma 13 3 2 2 4 3 2" xfId="34777"/>
    <cellStyle name="Comma 13 3 2 2 4 3 3" xfId="34778"/>
    <cellStyle name="Comma 13 3 2 2 4 4" xfId="34779"/>
    <cellStyle name="Comma 13 3 2 2 4 4 2" xfId="34780"/>
    <cellStyle name="Comma 13 3 2 2 4 5" xfId="34781"/>
    <cellStyle name="Comma 13 3 2 2 4 6" xfId="34782"/>
    <cellStyle name="Comma 13 3 2 2 5" xfId="34783"/>
    <cellStyle name="Comma 13 3 2 2 5 2" xfId="34784"/>
    <cellStyle name="Comma 13 3 2 2 5 2 2" xfId="34785"/>
    <cellStyle name="Comma 13 3 2 2 5 2 3" xfId="34786"/>
    <cellStyle name="Comma 13 3 2 2 5 3" xfId="34787"/>
    <cellStyle name="Comma 13 3 2 2 5 3 2" xfId="34788"/>
    <cellStyle name="Comma 13 3 2 2 5 4" xfId="34789"/>
    <cellStyle name="Comma 13 3 2 2 5 5" xfId="34790"/>
    <cellStyle name="Comma 13 3 2 2 6" xfId="34791"/>
    <cellStyle name="Comma 13 3 2 2 6 2" xfId="34792"/>
    <cellStyle name="Comma 13 3 2 2 6 3" xfId="34793"/>
    <cellStyle name="Comma 13 3 2 2 7" xfId="34794"/>
    <cellStyle name="Comma 13 3 2 2 7 2" xfId="34795"/>
    <cellStyle name="Comma 13 3 2 2 7 3" xfId="34796"/>
    <cellStyle name="Comma 13 3 2 2 8" xfId="34797"/>
    <cellStyle name="Comma 13 3 2 2 8 2" xfId="34798"/>
    <cellStyle name="Comma 13 3 2 2 9" xfId="34799"/>
    <cellStyle name="Comma 13 3 2 3" xfId="34800"/>
    <cellStyle name="Comma 13 3 2 3 2" xfId="34801"/>
    <cellStyle name="Comma 13 3 2 3 2 2" xfId="34802"/>
    <cellStyle name="Comma 13 3 2 3 2 2 2" xfId="34803"/>
    <cellStyle name="Comma 13 3 2 3 2 2 3" xfId="34804"/>
    <cellStyle name="Comma 13 3 2 3 2 3" xfId="34805"/>
    <cellStyle name="Comma 13 3 2 3 2 3 2" xfId="34806"/>
    <cellStyle name="Comma 13 3 2 3 2 3 3" xfId="34807"/>
    <cellStyle name="Comma 13 3 2 3 2 4" xfId="34808"/>
    <cellStyle name="Comma 13 3 2 3 2 4 2" xfId="34809"/>
    <cellStyle name="Comma 13 3 2 3 2 5" xfId="34810"/>
    <cellStyle name="Comma 13 3 2 3 2 6" xfId="34811"/>
    <cellStyle name="Comma 13 3 2 3 3" xfId="34812"/>
    <cellStyle name="Comma 13 3 2 3 3 2" xfId="34813"/>
    <cellStyle name="Comma 13 3 2 3 3 2 2" xfId="34814"/>
    <cellStyle name="Comma 13 3 2 3 3 2 3" xfId="34815"/>
    <cellStyle name="Comma 13 3 2 3 3 3" xfId="34816"/>
    <cellStyle name="Comma 13 3 2 3 3 3 2" xfId="34817"/>
    <cellStyle name="Comma 13 3 2 3 3 3 3" xfId="34818"/>
    <cellStyle name="Comma 13 3 2 3 3 4" xfId="34819"/>
    <cellStyle name="Comma 13 3 2 3 3 4 2" xfId="34820"/>
    <cellStyle name="Comma 13 3 2 3 3 5" xfId="34821"/>
    <cellStyle name="Comma 13 3 2 3 3 6" xfId="34822"/>
    <cellStyle name="Comma 13 3 2 3 4" xfId="34823"/>
    <cellStyle name="Comma 13 3 2 3 4 2" xfId="34824"/>
    <cellStyle name="Comma 13 3 2 3 4 2 2" xfId="34825"/>
    <cellStyle name="Comma 13 3 2 3 4 2 3" xfId="34826"/>
    <cellStyle name="Comma 13 3 2 3 4 3" xfId="34827"/>
    <cellStyle name="Comma 13 3 2 3 4 3 2" xfId="34828"/>
    <cellStyle name="Comma 13 3 2 3 4 4" xfId="34829"/>
    <cellStyle name="Comma 13 3 2 3 4 5" xfId="34830"/>
    <cellStyle name="Comma 13 3 2 3 5" xfId="34831"/>
    <cellStyle name="Comma 13 3 2 3 5 2" xfId="34832"/>
    <cellStyle name="Comma 13 3 2 3 5 3" xfId="34833"/>
    <cellStyle name="Comma 13 3 2 3 6" xfId="34834"/>
    <cellStyle name="Comma 13 3 2 3 6 2" xfId="34835"/>
    <cellStyle name="Comma 13 3 2 3 6 3" xfId="34836"/>
    <cellStyle name="Comma 13 3 2 3 7" xfId="34837"/>
    <cellStyle name="Comma 13 3 2 3 7 2" xfId="34838"/>
    <cellStyle name="Comma 13 3 2 3 8" xfId="34839"/>
    <cellStyle name="Comma 13 3 2 3 9" xfId="34840"/>
    <cellStyle name="Comma 13 3 2 4" xfId="34841"/>
    <cellStyle name="Comma 13 3 2 4 2" xfId="34842"/>
    <cellStyle name="Comma 13 3 2 4 2 2" xfId="34843"/>
    <cellStyle name="Comma 13 3 2 4 2 2 2" xfId="34844"/>
    <cellStyle name="Comma 13 3 2 4 2 2 3" xfId="34845"/>
    <cellStyle name="Comma 13 3 2 4 2 3" xfId="34846"/>
    <cellStyle name="Comma 13 3 2 4 2 3 2" xfId="34847"/>
    <cellStyle name="Comma 13 3 2 4 2 3 3" xfId="34848"/>
    <cellStyle name="Comma 13 3 2 4 2 4" xfId="34849"/>
    <cellStyle name="Comma 13 3 2 4 2 4 2" xfId="34850"/>
    <cellStyle name="Comma 13 3 2 4 2 5" xfId="34851"/>
    <cellStyle name="Comma 13 3 2 4 2 6" xfId="34852"/>
    <cellStyle name="Comma 13 3 2 4 3" xfId="34853"/>
    <cellStyle name="Comma 13 3 2 4 3 2" xfId="34854"/>
    <cellStyle name="Comma 13 3 2 4 3 2 2" xfId="34855"/>
    <cellStyle name="Comma 13 3 2 4 3 2 3" xfId="34856"/>
    <cellStyle name="Comma 13 3 2 4 3 3" xfId="34857"/>
    <cellStyle name="Comma 13 3 2 4 3 3 2" xfId="34858"/>
    <cellStyle name="Comma 13 3 2 4 3 3 3" xfId="34859"/>
    <cellStyle name="Comma 13 3 2 4 3 4" xfId="34860"/>
    <cellStyle name="Comma 13 3 2 4 3 4 2" xfId="34861"/>
    <cellStyle name="Comma 13 3 2 4 3 5" xfId="34862"/>
    <cellStyle name="Comma 13 3 2 4 3 6" xfId="34863"/>
    <cellStyle name="Comma 13 3 2 4 4" xfId="34864"/>
    <cellStyle name="Comma 13 3 2 4 4 2" xfId="34865"/>
    <cellStyle name="Comma 13 3 2 4 4 2 2" xfId="34866"/>
    <cellStyle name="Comma 13 3 2 4 4 2 3" xfId="34867"/>
    <cellStyle name="Comma 13 3 2 4 4 3" xfId="34868"/>
    <cellStyle name="Comma 13 3 2 4 4 3 2" xfId="34869"/>
    <cellStyle name="Comma 13 3 2 4 4 4" xfId="34870"/>
    <cellStyle name="Comma 13 3 2 4 4 5" xfId="34871"/>
    <cellStyle name="Comma 13 3 2 4 5" xfId="34872"/>
    <cellStyle name="Comma 13 3 2 4 5 2" xfId="34873"/>
    <cellStyle name="Comma 13 3 2 4 5 3" xfId="34874"/>
    <cellStyle name="Comma 13 3 2 4 6" xfId="34875"/>
    <cellStyle name="Comma 13 3 2 4 6 2" xfId="34876"/>
    <cellStyle name="Comma 13 3 2 4 6 3" xfId="34877"/>
    <cellStyle name="Comma 13 3 2 4 7" xfId="34878"/>
    <cellStyle name="Comma 13 3 2 4 7 2" xfId="34879"/>
    <cellStyle name="Comma 13 3 2 4 8" xfId="34880"/>
    <cellStyle name="Comma 13 3 2 4 9" xfId="34881"/>
    <cellStyle name="Comma 13 3 2 5" xfId="34882"/>
    <cellStyle name="Comma 13 3 2 5 2" xfId="34883"/>
    <cellStyle name="Comma 13 3 2 5 2 2" xfId="34884"/>
    <cellStyle name="Comma 13 3 2 5 2 3" xfId="34885"/>
    <cellStyle name="Comma 13 3 2 5 3" xfId="34886"/>
    <cellStyle name="Comma 13 3 2 5 3 2" xfId="34887"/>
    <cellStyle name="Comma 13 3 2 5 3 3" xfId="34888"/>
    <cellStyle name="Comma 13 3 2 5 4" xfId="34889"/>
    <cellStyle name="Comma 13 3 2 5 4 2" xfId="34890"/>
    <cellStyle name="Comma 13 3 2 5 5" xfId="34891"/>
    <cellStyle name="Comma 13 3 2 5 6" xfId="34892"/>
    <cellStyle name="Comma 13 3 2 6" xfId="34893"/>
    <cellStyle name="Comma 13 3 2 6 2" xfId="34894"/>
    <cellStyle name="Comma 13 3 2 6 2 2" xfId="34895"/>
    <cellStyle name="Comma 13 3 2 6 2 3" xfId="34896"/>
    <cellStyle name="Comma 13 3 2 6 3" xfId="34897"/>
    <cellStyle name="Comma 13 3 2 6 3 2" xfId="34898"/>
    <cellStyle name="Comma 13 3 2 6 3 3" xfId="34899"/>
    <cellStyle name="Comma 13 3 2 6 4" xfId="34900"/>
    <cellStyle name="Comma 13 3 2 6 4 2" xfId="34901"/>
    <cellStyle name="Comma 13 3 2 6 5" xfId="34902"/>
    <cellStyle name="Comma 13 3 2 6 6" xfId="34903"/>
    <cellStyle name="Comma 13 3 2 7" xfId="34904"/>
    <cellStyle name="Comma 13 3 2 7 2" xfId="34905"/>
    <cellStyle name="Comma 13 3 2 7 2 2" xfId="34906"/>
    <cellStyle name="Comma 13 3 2 7 2 3" xfId="34907"/>
    <cellStyle name="Comma 13 3 2 7 3" xfId="34908"/>
    <cellStyle name="Comma 13 3 2 7 3 2" xfId="34909"/>
    <cellStyle name="Comma 13 3 2 7 4" xfId="34910"/>
    <cellStyle name="Comma 13 3 2 7 5" xfId="34911"/>
    <cellStyle name="Comma 13 3 2 8" xfId="34912"/>
    <cellStyle name="Comma 13 3 2 8 2" xfId="34913"/>
    <cellStyle name="Comma 13 3 2 8 3" xfId="34914"/>
    <cellStyle name="Comma 13 3 2 9" xfId="34915"/>
    <cellStyle name="Comma 13 3 2 9 2" xfId="34916"/>
    <cellStyle name="Comma 13 3 2 9 3" xfId="34917"/>
    <cellStyle name="Comma 13 3 3" xfId="34918"/>
    <cellStyle name="Comma 13 3 3 10" xfId="34919"/>
    <cellStyle name="Comma 13 3 3 2" xfId="34920"/>
    <cellStyle name="Comma 13 3 3 2 2" xfId="34921"/>
    <cellStyle name="Comma 13 3 3 2 2 2" xfId="34922"/>
    <cellStyle name="Comma 13 3 3 2 2 2 2" xfId="34923"/>
    <cellStyle name="Comma 13 3 3 2 2 2 3" xfId="34924"/>
    <cellStyle name="Comma 13 3 3 2 2 3" xfId="34925"/>
    <cellStyle name="Comma 13 3 3 2 2 3 2" xfId="34926"/>
    <cellStyle name="Comma 13 3 3 2 2 3 3" xfId="34927"/>
    <cellStyle name="Comma 13 3 3 2 2 4" xfId="34928"/>
    <cellStyle name="Comma 13 3 3 2 2 4 2" xfId="34929"/>
    <cellStyle name="Comma 13 3 3 2 2 5" xfId="34930"/>
    <cellStyle name="Comma 13 3 3 2 2 6" xfId="34931"/>
    <cellStyle name="Comma 13 3 3 2 3" xfId="34932"/>
    <cellStyle name="Comma 13 3 3 2 3 2" xfId="34933"/>
    <cellStyle name="Comma 13 3 3 2 3 2 2" xfId="34934"/>
    <cellStyle name="Comma 13 3 3 2 3 2 3" xfId="34935"/>
    <cellStyle name="Comma 13 3 3 2 3 3" xfId="34936"/>
    <cellStyle name="Comma 13 3 3 2 3 3 2" xfId="34937"/>
    <cellStyle name="Comma 13 3 3 2 3 3 3" xfId="34938"/>
    <cellStyle name="Comma 13 3 3 2 3 4" xfId="34939"/>
    <cellStyle name="Comma 13 3 3 2 3 4 2" xfId="34940"/>
    <cellStyle name="Comma 13 3 3 2 3 5" xfId="34941"/>
    <cellStyle name="Comma 13 3 3 2 3 6" xfId="34942"/>
    <cellStyle name="Comma 13 3 3 2 4" xfId="34943"/>
    <cellStyle name="Comma 13 3 3 2 4 2" xfId="34944"/>
    <cellStyle name="Comma 13 3 3 2 4 2 2" xfId="34945"/>
    <cellStyle name="Comma 13 3 3 2 4 2 3" xfId="34946"/>
    <cellStyle name="Comma 13 3 3 2 4 3" xfId="34947"/>
    <cellStyle name="Comma 13 3 3 2 4 3 2" xfId="34948"/>
    <cellStyle name="Comma 13 3 3 2 4 4" xfId="34949"/>
    <cellStyle name="Comma 13 3 3 2 4 5" xfId="34950"/>
    <cellStyle name="Comma 13 3 3 2 5" xfId="34951"/>
    <cellStyle name="Comma 13 3 3 2 5 2" xfId="34952"/>
    <cellStyle name="Comma 13 3 3 2 5 3" xfId="34953"/>
    <cellStyle name="Comma 13 3 3 2 6" xfId="34954"/>
    <cellStyle name="Comma 13 3 3 2 6 2" xfId="34955"/>
    <cellStyle name="Comma 13 3 3 2 6 3" xfId="34956"/>
    <cellStyle name="Comma 13 3 3 2 7" xfId="34957"/>
    <cellStyle name="Comma 13 3 3 2 7 2" xfId="34958"/>
    <cellStyle name="Comma 13 3 3 2 8" xfId="34959"/>
    <cellStyle name="Comma 13 3 3 2 9" xfId="34960"/>
    <cellStyle name="Comma 13 3 3 3" xfId="34961"/>
    <cellStyle name="Comma 13 3 3 3 2" xfId="34962"/>
    <cellStyle name="Comma 13 3 3 3 2 2" xfId="34963"/>
    <cellStyle name="Comma 13 3 3 3 2 3" xfId="34964"/>
    <cellStyle name="Comma 13 3 3 3 3" xfId="34965"/>
    <cellStyle name="Comma 13 3 3 3 3 2" xfId="34966"/>
    <cellStyle name="Comma 13 3 3 3 3 3" xfId="34967"/>
    <cellStyle name="Comma 13 3 3 3 4" xfId="34968"/>
    <cellStyle name="Comma 13 3 3 3 4 2" xfId="34969"/>
    <cellStyle name="Comma 13 3 3 3 5" xfId="34970"/>
    <cellStyle name="Comma 13 3 3 3 6" xfId="34971"/>
    <cellStyle name="Comma 13 3 3 4" xfId="34972"/>
    <cellStyle name="Comma 13 3 3 4 2" xfId="34973"/>
    <cellStyle name="Comma 13 3 3 4 2 2" xfId="34974"/>
    <cellStyle name="Comma 13 3 3 4 2 3" xfId="34975"/>
    <cellStyle name="Comma 13 3 3 4 3" xfId="34976"/>
    <cellStyle name="Comma 13 3 3 4 3 2" xfId="34977"/>
    <cellStyle name="Comma 13 3 3 4 3 3" xfId="34978"/>
    <cellStyle name="Comma 13 3 3 4 4" xfId="34979"/>
    <cellStyle name="Comma 13 3 3 4 4 2" xfId="34980"/>
    <cellStyle name="Comma 13 3 3 4 5" xfId="34981"/>
    <cellStyle name="Comma 13 3 3 4 6" xfId="34982"/>
    <cellStyle name="Comma 13 3 3 5" xfId="34983"/>
    <cellStyle name="Comma 13 3 3 5 2" xfId="34984"/>
    <cellStyle name="Comma 13 3 3 5 2 2" xfId="34985"/>
    <cellStyle name="Comma 13 3 3 5 2 3" xfId="34986"/>
    <cellStyle name="Comma 13 3 3 5 3" xfId="34987"/>
    <cellStyle name="Comma 13 3 3 5 3 2" xfId="34988"/>
    <cellStyle name="Comma 13 3 3 5 4" xfId="34989"/>
    <cellStyle name="Comma 13 3 3 5 5" xfId="34990"/>
    <cellStyle name="Comma 13 3 3 6" xfId="34991"/>
    <cellStyle name="Comma 13 3 3 6 2" xfId="34992"/>
    <cellStyle name="Comma 13 3 3 6 3" xfId="34993"/>
    <cellStyle name="Comma 13 3 3 7" xfId="34994"/>
    <cellStyle name="Comma 13 3 3 7 2" xfId="34995"/>
    <cellStyle name="Comma 13 3 3 7 3" xfId="34996"/>
    <cellStyle name="Comma 13 3 3 8" xfId="34997"/>
    <cellStyle name="Comma 13 3 3 8 2" xfId="34998"/>
    <cellStyle name="Comma 13 3 3 9" xfId="34999"/>
    <cellStyle name="Comma 13 3 4" xfId="35000"/>
    <cellStyle name="Comma 13 3 4 2" xfId="35001"/>
    <cellStyle name="Comma 13 3 4 2 2" xfId="35002"/>
    <cellStyle name="Comma 13 3 4 2 2 2" xfId="35003"/>
    <cellStyle name="Comma 13 3 4 2 2 3" xfId="35004"/>
    <cellStyle name="Comma 13 3 4 2 3" xfId="35005"/>
    <cellStyle name="Comma 13 3 4 2 3 2" xfId="35006"/>
    <cellStyle name="Comma 13 3 4 2 3 3" xfId="35007"/>
    <cellStyle name="Comma 13 3 4 2 4" xfId="35008"/>
    <cellStyle name="Comma 13 3 4 2 4 2" xfId="35009"/>
    <cellStyle name="Comma 13 3 4 2 5" xfId="35010"/>
    <cellStyle name="Comma 13 3 4 2 6" xfId="35011"/>
    <cellStyle name="Comma 13 3 4 3" xfId="35012"/>
    <cellStyle name="Comma 13 3 4 3 2" xfId="35013"/>
    <cellStyle name="Comma 13 3 4 3 2 2" xfId="35014"/>
    <cellStyle name="Comma 13 3 4 3 2 3" xfId="35015"/>
    <cellStyle name="Comma 13 3 4 3 3" xfId="35016"/>
    <cellStyle name="Comma 13 3 4 3 3 2" xfId="35017"/>
    <cellStyle name="Comma 13 3 4 3 3 3" xfId="35018"/>
    <cellStyle name="Comma 13 3 4 3 4" xfId="35019"/>
    <cellStyle name="Comma 13 3 4 3 4 2" xfId="35020"/>
    <cellStyle name="Comma 13 3 4 3 5" xfId="35021"/>
    <cellStyle name="Comma 13 3 4 3 6" xfId="35022"/>
    <cellStyle name="Comma 13 3 4 4" xfId="35023"/>
    <cellStyle name="Comma 13 3 4 4 2" xfId="35024"/>
    <cellStyle name="Comma 13 3 4 4 2 2" xfId="35025"/>
    <cellStyle name="Comma 13 3 4 4 2 3" xfId="35026"/>
    <cellStyle name="Comma 13 3 4 4 3" xfId="35027"/>
    <cellStyle name="Comma 13 3 4 4 3 2" xfId="35028"/>
    <cellStyle name="Comma 13 3 4 4 4" xfId="35029"/>
    <cellStyle name="Comma 13 3 4 4 5" xfId="35030"/>
    <cellStyle name="Comma 13 3 4 5" xfId="35031"/>
    <cellStyle name="Comma 13 3 4 5 2" xfId="35032"/>
    <cellStyle name="Comma 13 3 4 5 3" xfId="35033"/>
    <cellStyle name="Comma 13 3 4 6" xfId="35034"/>
    <cellStyle name="Comma 13 3 4 6 2" xfId="35035"/>
    <cellStyle name="Comma 13 3 4 6 3" xfId="35036"/>
    <cellStyle name="Comma 13 3 4 7" xfId="35037"/>
    <cellStyle name="Comma 13 3 4 7 2" xfId="35038"/>
    <cellStyle name="Comma 13 3 4 8" xfId="35039"/>
    <cellStyle name="Comma 13 3 4 9" xfId="35040"/>
    <cellStyle name="Comma 13 3 5" xfId="35041"/>
    <cellStyle name="Comma 13 3 5 2" xfId="35042"/>
    <cellStyle name="Comma 13 3 5 2 2" xfId="35043"/>
    <cellStyle name="Comma 13 3 5 2 2 2" xfId="35044"/>
    <cellStyle name="Comma 13 3 5 2 2 3" xfId="35045"/>
    <cellStyle name="Comma 13 3 5 2 3" xfId="35046"/>
    <cellStyle name="Comma 13 3 5 2 3 2" xfId="35047"/>
    <cellStyle name="Comma 13 3 5 2 3 3" xfId="35048"/>
    <cellStyle name="Comma 13 3 5 2 4" xfId="35049"/>
    <cellStyle name="Comma 13 3 5 2 4 2" xfId="35050"/>
    <cellStyle name="Comma 13 3 5 2 5" xfId="35051"/>
    <cellStyle name="Comma 13 3 5 2 6" xfId="35052"/>
    <cellStyle name="Comma 13 3 5 3" xfId="35053"/>
    <cellStyle name="Comma 13 3 5 3 2" xfId="35054"/>
    <cellStyle name="Comma 13 3 5 3 2 2" xfId="35055"/>
    <cellStyle name="Comma 13 3 5 3 2 3" xfId="35056"/>
    <cellStyle name="Comma 13 3 5 3 3" xfId="35057"/>
    <cellStyle name="Comma 13 3 5 3 3 2" xfId="35058"/>
    <cellStyle name="Comma 13 3 5 3 3 3" xfId="35059"/>
    <cellStyle name="Comma 13 3 5 3 4" xfId="35060"/>
    <cellStyle name="Comma 13 3 5 3 4 2" xfId="35061"/>
    <cellStyle name="Comma 13 3 5 3 5" xfId="35062"/>
    <cellStyle name="Comma 13 3 5 3 6" xfId="35063"/>
    <cellStyle name="Comma 13 3 5 4" xfId="35064"/>
    <cellStyle name="Comma 13 3 5 4 2" xfId="35065"/>
    <cellStyle name="Comma 13 3 5 4 2 2" xfId="35066"/>
    <cellStyle name="Comma 13 3 5 4 2 3" xfId="35067"/>
    <cellStyle name="Comma 13 3 5 4 3" xfId="35068"/>
    <cellStyle name="Comma 13 3 5 4 3 2" xfId="35069"/>
    <cellStyle name="Comma 13 3 5 4 4" xfId="35070"/>
    <cellStyle name="Comma 13 3 5 4 5" xfId="35071"/>
    <cellStyle name="Comma 13 3 5 5" xfId="35072"/>
    <cellStyle name="Comma 13 3 5 5 2" xfId="35073"/>
    <cellStyle name="Comma 13 3 5 5 3" xfId="35074"/>
    <cellStyle name="Comma 13 3 5 6" xfId="35075"/>
    <cellStyle name="Comma 13 3 5 6 2" xfId="35076"/>
    <cellStyle name="Comma 13 3 5 6 3" xfId="35077"/>
    <cellStyle name="Comma 13 3 5 7" xfId="35078"/>
    <cellStyle name="Comma 13 3 5 7 2" xfId="35079"/>
    <cellStyle name="Comma 13 3 5 8" xfId="35080"/>
    <cellStyle name="Comma 13 3 5 9" xfId="35081"/>
    <cellStyle name="Comma 13 3 6" xfId="35082"/>
    <cellStyle name="Comma 13 3 6 2" xfId="35083"/>
    <cellStyle name="Comma 13 3 6 2 2" xfId="35084"/>
    <cellStyle name="Comma 13 3 6 2 3" xfId="35085"/>
    <cellStyle name="Comma 13 3 6 3" xfId="35086"/>
    <cellStyle name="Comma 13 3 6 3 2" xfId="35087"/>
    <cellStyle name="Comma 13 3 6 3 3" xfId="35088"/>
    <cellStyle name="Comma 13 3 6 4" xfId="35089"/>
    <cellStyle name="Comma 13 3 6 4 2" xfId="35090"/>
    <cellStyle name="Comma 13 3 6 5" xfId="35091"/>
    <cellStyle name="Comma 13 3 6 6" xfId="35092"/>
    <cellStyle name="Comma 13 3 7" xfId="35093"/>
    <cellStyle name="Comma 13 3 7 2" xfId="35094"/>
    <cellStyle name="Comma 13 3 7 2 2" xfId="35095"/>
    <cellStyle name="Comma 13 3 7 2 3" xfId="35096"/>
    <cellStyle name="Comma 13 3 7 3" xfId="35097"/>
    <cellStyle name="Comma 13 3 7 3 2" xfId="35098"/>
    <cellStyle name="Comma 13 3 7 3 3" xfId="35099"/>
    <cellStyle name="Comma 13 3 7 4" xfId="35100"/>
    <cellStyle name="Comma 13 3 7 4 2" xfId="35101"/>
    <cellStyle name="Comma 13 3 7 5" xfId="35102"/>
    <cellStyle name="Comma 13 3 7 6" xfId="35103"/>
    <cellStyle name="Comma 13 3 8" xfId="35104"/>
    <cellStyle name="Comma 13 3 8 2" xfId="35105"/>
    <cellStyle name="Comma 13 3 8 2 2" xfId="35106"/>
    <cellStyle name="Comma 13 3 8 2 3" xfId="35107"/>
    <cellStyle name="Comma 13 3 8 3" xfId="35108"/>
    <cellStyle name="Comma 13 3 8 3 2" xfId="35109"/>
    <cellStyle name="Comma 13 3 8 4" xfId="35110"/>
    <cellStyle name="Comma 13 3 8 5" xfId="35111"/>
    <cellStyle name="Comma 13 3 9" xfId="35112"/>
    <cellStyle name="Comma 13 3 9 2" xfId="35113"/>
    <cellStyle name="Comma 13 3 9 3" xfId="35114"/>
    <cellStyle name="Comma 13 4" xfId="35115"/>
    <cellStyle name="Comma 13 4 10" xfId="35116"/>
    <cellStyle name="Comma 13 4 10 2" xfId="35117"/>
    <cellStyle name="Comma 13 4 11" xfId="35118"/>
    <cellStyle name="Comma 13 4 12" xfId="35119"/>
    <cellStyle name="Comma 13 4 2" xfId="35120"/>
    <cellStyle name="Comma 13 4 2 10" xfId="35121"/>
    <cellStyle name="Comma 13 4 2 2" xfId="35122"/>
    <cellStyle name="Comma 13 4 2 2 2" xfId="35123"/>
    <cellStyle name="Comma 13 4 2 2 2 2" xfId="35124"/>
    <cellStyle name="Comma 13 4 2 2 2 2 2" xfId="35125"/>
    <cellStyle name="Comma 13 4 2 2 2 2 3" xfId="35126"/>
    <cellStyle name="Comma 13 4 2 2 2 3" xfId="35127"/>
    <cellStyle name="Comma 13 4 2 2 2 3 2" xfId="35128"/>
    <cellStyle name="Comma 13 4 2 2 2 3 3" xfId="35129"/>
    <cellStyle name="Comma 13 4 2 2 2 4" xfId="35130"/>
    <cellStyle name="Comma 13 4 2 2 2 4 2" xfId="35131"/>
    <cellStyle name="Comma 13 4 2 2 2 5" xfId="35132"/>
    <cellStyle name="Comma 13 4 2 2 2 6" xfId="35133"/>
    <cellStyle name="Comma 13 4 2 2 3" xfId="35134"/>
    <cellStyle name="Comma 13 4 2 2 3 2" xfId="35135"/>
    <cellStyle name="Comma 13 4 2 2 3 2 2" xfId="35136"/>
    <cellStyle name="Comma 13 4 2 2 3 2 3" xfId="35137"/>
    <cellStyle name="Comma 13 4 2 2 3 3" xfId="35138"/>
    <cellStyle name="Comma 13 4 2 2 3 3 2" xfId="35139"/>
    <cellStyle name="Comma 13 4 2 2 3 3 3" xfId="35140"/>
    <cellStyle name="Comma 13 4 2 2 3 4" xfId="35141"/>
    <cellStyle name="Comma 13 4 2 2 3 4 2" xfId="35142"/>
    <cellStyle name="Comma 13 4 2 2 3 5" xfId="35143"/>
    <cellStyle name="Comma 13 4 2 2 3 6" xfId="35144"/>
    <cellStyle name="Comma 13 4 2 2 4" xfId="35145"/>
    <cellStyle name="Comma 13 4 2 2 4 2" xfId="35146"/>
    <cellStyle name="Comma 13 4 2 2 4 2 2" xfId="35147"/>
    <cellStyle name="Comma 13 4 2 2 4 2 3" xfId="35148"/>
    <cellStyle name="Comma 13 4 2 2 4 3" xfId="35149"/>
    <cellStyle name="Comma 13 4 2 2 4 3 2" xfId="35150"/>
    <cellStyle name="Comma 13 4 2 2 4 4" xfId="35151"/>
    <cellStyle name="Comma 13 4 2 2 4 5" xfId="35152"/>
    <cellStyle name="Comma 13 4 2 2 5" xfId="35153"/>
    <cellStyle name="Comma 13 4 2 2 5 2" xfId="35154"/>
    <cellStyle name="Comma 13 4 2 2 5 3" xfId="35155"/>
    <cellStyle name="Comma 13 4 2 2 6" xfId="35156"/>
    <cellStyle name="Comma 13 4 2 2 6 2" xfId="35157"/>
    <cellStyle name="Comma 13 4 2 2 6 3" xfId="35158"/>
    <cellStyle name="Comma 13 4 2 2 7" xfId="35159"/>
    <cellStyle name="Comma 13 4 2 2 7 2" xfId="35160"/>
    <cellStyle name="Comma 13 4 2 2 8" xfId="35161"/>
    <cellStyle name="Comma 13 4 2 2 9" xfId="35162"/>
    <cellStyle name="Comma 13 4 2 3" xfId="35163"/>
    <cellStyle name="Comma 13 4 2 3 2" xfId="35164"/>
    <cellStyle name="Comma 13 4 2 3 2 2" xfId="35165"/>
    <cellStyle name="Comma 13 4 2 3 2 3" xfId="35166"/>
    <cellStyle name="Comma 13 4 2 3 3" xfId="35167"/>
    <cellStyle name="Comma 13 4 2 3 3 2" xfId="35168"/>
    <cellStyle name="Comma 13 4 2 3 3 3" xfId="35169"/>
    <cellStyle name="Comma 13 4 2 3 4" xfId="35170"/>
    <cellStyle name="Comma 13 4 2 3 4 2" xfId="35171"/>
    <cellStyle name="Comma 13 4 2 3 5" xfId="35172"/>
    <cellStyle name="Comma 13 4 2 3 6" xfId="35173"/>
    <cellStyle name="Comma 13 4 2 4" xfId="35174"/>
    <cellStyle name="Comma 13 4 2 4 2" xfId="35175"/>
    <cellStyle name="Comma 13 4 2 4 2 2" xfId="35176"/>
    <cellStyle name="Comma 13 4 2 4 2 3" xfId="35177"/>
    <cellStyle name="Comma 13 4 2 4 3" xfId="35178"/>
    <cellStyle name="Comma 13 4 2 4 3 2" xfId="35179"/>
    <cellStyle name="Comma 13 4 2 4 3 3" xfId="35180"/>
    <cellStyle name="Comma 13 4 2 4 4" xfId="35181"/>
    <cellStyle name="Comma 13 4 2 4 4 2" xfId="35182"/>
    <cellStyle name="Comma 13 4 2 4 5" xfId="35183"/>
    <cellStyle name="Comma 13 4 2 4 6" xfId="35184"/>
    <cellStyle name="Comma 13 4 2 5" xfId="35185"/>
    <cellStyle name="Comma 13 4 2 5 2" xfId="35186"/>
    <cellStyle name="Comma 13 4 2 5 2 2" xfId="35187"/>
    <cellStyle name="Comma 13 4 2 5 2 3" xfId="35188"/>
    <cellStyle name="Comma 13 4 2 5 3" xfId="35189"/>
    <cellStyle name="Comma 13 4 2 5 3 2" xfId="35190"/>
    <cellStyle name="Comma 13 4 2 5 4" xfId="35191"/>
    <cellStyle name="Comma 13 4 2 5 5" xfId="35192"/>
    <cellStyle name="Comma 13 4 2 6" xfId="35193"/>
    <cellStyle name="Comma 13 4 2 6 2" xfId="35194"/>
    <cellStyle name="Comma 13 4 2 6 3" xfId="35195"/>
    <cellStyle name="Comma 13 4 2 7" xfId="35196"/>
    <cellStyle name="Comma 13 4 2 7 2" xfId="35197"/>
    <cellStyle name="Comma 13 4 2 7 3" xfId="35198"/>
    <cellStyle name="Comma 13 4 2 8" xfId="35199"/>
    <cellStyle name="Comma 13 4 2 8 2" xfId="35200"/>
    <cellStyle name="Comma 13 4 2 9" xfId="35201"/>
    <cellStyle name="Comma 13 4 3" xfId="35202"/>
    <cellStyle name="Comma 13 4 3 2" xfId="35203"/>
    <cellStyle name="Comma 13 4 3 2 2" xfId="35204"/>
    <cellStyle name="Comma 13 4 3 2 2 2" xfId="35205"/>
    <cellStyle name="Comma 13 4 3 2 2 3" xfId="35206"/>
    <cellStyle name="Comma 13 4 3 2 3" xfId="35207"/>
    <cellStyle name="Comma 13 4 3 2 3 2" xfId="35208"/>
    <cellStyle name="Comma 13 4 3 2 3 3" xfId="35209"/>
    <cellStyle name="Comma 13 4 3 2 4" xfId="35210"/>
    <cellStyle name="Comma 13 4 3 2 4 2" xfId="35211"/>
    <cellStyle name="Comma 13 4 3 2 5" xfId="35212"/>
    <cellStyle name="Comma 13 4 3 2 6" xfId="35213"/>
    <cellStyle name="Comma 13 4 3 3" xfId="35214"/>
    <cellStyle name="Comma 13 4 3 3 2" xfId="35215"/>
    <cellStyle name="Comma 13 4 3 3 2 2" xfId="35216"/>
    <cellStyle name="Comma 13 4 3 3 2 3" xfId="35217"/>
    <cellStyle name="Comma 13 4 3 3 3" xfId="35218"/>
    <cellStyle name="Comma 13 4 3 3 3 2" xfId="35219"/>
    <cellStyle name="Comma 13 4 3 3 3 3" xfId="35220"/>
    <cellStyle name="Comma 13 4 3 3 4" xfId="35221"/>
    <cellStyle name="Comma 13 4 3 3 4 2" xfId="35222"/>
    <cellStyle name="Comma 13 4 3 3 5" xfId="35223"/>
    <cellStyle name="Comma 13 4 3 3 6" xfId="35224"/>
    <cellStyle name="Comma 13 4 3 4" xfId="35225"/>
    <cellStyle name="Comma 13 4 3 4 2" xfId="35226"/>
    <cellStyle name="Comma 13 4 3 4 2 2" xfId="35227"/>
    <cellStyle name="Comma 13 4 3 4 2 3" xfId="35228"/>
    <cellStyle name="Comma 13 4 3 4 3" xfId="35229"/>
    <cellStyle name="Comma 13 4 3 4 3 2" xfId="35230"/>
    <cellStyle name="Comma 13 4 3 4 4" xfId="35231"/>
    <cellStyle name="Comma 13 4 3 4 5" xfId="35232"/>
    <cellStyle name="Comma 13 4 3 5" xfId="35233"/>
    <cellStyle name="Comma 13 4 3 5 2" xfId="35234"/>
    <cellStyle name="Comma 13 4 3 5 3" xfId="35235"/>
    <cellStyle name="Comma 13 4 3 6" xfId="35236"/>
    <cellStyle name="Comma 13 4 3 6 2" xfId="35237"/>
    <cellStyle name="Comma 13 4 3 6 3" xfId="35238"/>
    <cellStyle name="Comma 13 4 3 7" xfId="35239"/>
    <cellStyle name="Comma 13 4 3 7 2" xfId="35240"/>
    <cellStyle name="Comma 13 4 3 8" xfId="35241"/>
    <cellStyle name="Comma 13 4 3 9" xfId="35242"/>
    <cellStyle name="Comma 13 4 4" xfId="35243"/>
    <cellStyle name="Comma 13 4 4 2" xfId="35244"/>
    <cellStyle name="Comma 13 4 4 2 2" xfId="35245"/>
    <cellStyle name="Comma 13 4 4 2 2 2" xfId="35246"/>
    <cellStyle name="Comma 13 4 4 2 2 3" xfId="35247"/>
    <cellStyle name="Comma 13 4 4 2 3" xfId="35248"/>
    <cellStyle name="Comma 13 4 4 2 3 2" xfId="35249"/>
    <cellStyle name="Comma 13 4 4 2 3 3" xfId="35250"/>
    <cellStyle name="Comma 13 4 4 2 4" xfId="35251"/>
    <cellStyle name="Comma 13 4 4 2 4 2" xfId="35252"/>
    <cellStyle name="Comma 13 4 4 2 5" xfId="35253"/>
    <cellStyle name="Comma 13 4 4 2 6" xfId="35254"/>
    <cellStyle name="Comma 13 4 4 3" xfId="35255"/>
    <cellStyle name="Comma 13 4 4 3 2" xfId="35256"/>
    <cellStyle name="Comma 13 4 4 3 2 2" xfId="35257"/>
    <cellStyle name="Comma 13 4 4 3 2 3" xfId="35258"/>
    <cellStyle name="Comma 13 4 4 3 3" xfId="35259"/>
    <cellStyle name="Comma 13 4 4 3 3 2" xfId="35260"/>
    <cellStyle name="Comma 13 4 4 3 3 3" xfId="35261"/>
    <cellStyle name="Comma 13 4 4 3 4" xfId="35262"/>
    <cellStyle name="Comma 13 4 4 3 4 2" xfId="35263"/>
    <cellStyle name="Comma 13 4 4 3 5" xfId="35264"/>
    <cellStyle name="Comma 13 4 4 3 6" xfId="35265"/>
    <cellStyle name="Comma 13 4 4 4" xfId="35266"/>
    <cellStyle name="Comma 13 4 4 4 2" xfId="35267"/>
    <cellStyle name="Comma 13 4 4 4 2 2" xfId="35268"/>
    <cellStyle name="Comma 13 4 4 4 2 3" xfId="35269"/>
    <cellStyle name="Comma 13 4 4 4 3" xfId="35270"/>
    <cellStyle name="Comma 13 4 4 4 3 2" xfId="35271"/>
    <cellStyle name="Comma 13 4 4 4 4" xfId="35272"/>
    <cellStyle name="Comma 13 4 4 4 5" xfId="35273"/>
    <cellStyle name="Comma 13 4 4 5" xfId="35274"/>
    <cellStyle name="Comma 13 4 4 5 2" xfId="35275"/>
    <cellStyle name="Comma 13 4 4 5 3" xfId="35276"/>
    <cellStyle name="Comma 13 4 4 6" xfId="35277"/>
    <cellStyle name="Comma 13 4 4 6 2" xfId="35278"/>
    <cellStyle name="Comma 13 4 4 6 3" xfId="35279"/>
    <cellStyle name="Comma 13 4 4 7" xfId="35280"/>
    <cellStyle name="Comma 13 4 4 7 2" xfId="35281"/>
    <cellStyle name="Comma 13 4 4 8" xfId="35282"/>
    <cellStyle name="Comma 13 4 4 9" xfId="35283"/>
    <cellStyle name="Comma 13 4 5" xfId="35284"/>
    <cellStyle name="Comma 13 4 5 2" xfId="35285"/>
    <cellStyle name="Comma 13 4 5 2 2" xfId="35286"/>
    <cellStyle name="Comma 13 4 5 2 3" xfId="35287"/>
    <cellStyle name="Comma 13 4 5 3" xfId="35288"/>
    <cellStyle name="Comma 13 4 5 3 2" xfId="35289"/>
    <cellStyle name="Comma 13 4 5 3 3" xfId="35290"/>
    <cellStyle name="Comma 13 4 5 4" xfId="35291"/>
    <cellStyle name="Comma 13 4 5 4 2" xfId="35292"/>
    <cellStyle name="Comma 13 4 5 5" xfId="35293"/>
    <cellStyle name="Comma 13 4 5 6" xfId="35294"/>
    <cellStyle name="Comma 13 4 6" xfId="35295"/>
    <cellStyle name="Comma 13 4 6 2" xfId="35296"/>
    <cellStyle name="Comma 13 4 6 2 2" xfId="35297"/>
    <cellStyle name="Comma 13 4 6 2 3" xfId="35298"/>
    <cellStyle name="Comma 13 4 6 3" xfId="35299"/>
    <cellStyle name="Comma 13 4 6 3 2" xfId="35300"/>
    <cellStyle name="Comma 13 4 6 3 3" xfId="35301"/>
    <cellStyle name="Comma 13 4 6 4" xfId="35302"/>
    <cellStyle name="Comma 13 4 6 4 2" xfId="35303"/>
    <cellStyle name="Comma 13 4 6 5" xfId="35304"/>
    <cellStyle name="Comma 13 4 6 6" xfId="35305"/>
    <cellStyle name="Comma 13 4 7" xfId="35306"/>
    <cellStyle name="Comma 13 4 7 2" xfId="35307"/>
    <cellStyle name="Comma 13 4 7 2 2" xfId="35308"/>
    <cellStyle name="Comma 13 4 7 2 3" xfId="35309"/>
    <cellStyle name="Comma 13 4 7 3" xfId="35310"/>
    <cellStyle name="Comma 13 4 7 3 2" xfId="35311"/>
    <cellStyle name="Comma 13 4 7 4" xfId="35312"/>
    <cellStyle name="Comma 13 4 7 5" xfId="35313"/>
    <cellStyle name="Comma 13 4 8" xfId="35314"/>
    <cellStyle name="Comma 13 4 8 2" xfId="35315"/>
    <cellStyle name="Comma 13 4 8 3" xfId="35316"/>
    <cellStyle name="Comma 13 4 9" xfId="35317"/>
    <cellStyle name="Comma 13 4 9 2" xfId="35318"/>
    <cellStyle name="Comma 13 4 9 3" xfId="35319"/>
    <cellStyle name="Comma 13 5" xfId="35320"/>
    <cellStyle name="Comma 13 5 10" xfId="35321"/>
    <cellStyle name="Comma 13 5 2" xfId="35322"/>
    <cellStyle name="Comma 13 5 2 2" xfId="35323"/>
    <cellStyle name="Comma 13 5 2 2 2" xfId="35324"/>
    <cellStyle name="Comma 13 5 2 2 2 2" xfId="35325"/>
    <cellStyle name="Comma 13 5 2 2 2 3" xfId="35326"/>
    <cellStyle name="Comma 13 5 2 2 3" xfId="35327"/>
    <cellStyle name="Comma 13 5 2 2 3 2" xfId="35328"/>
    <cellStyle name="Comma 13 5 2 2 3 3" xfId="35329"/>
    <cellStyle name="Comma 13 5 2 2 4" xfId="35330"/>
    <cellStyle name="Comma 13 5 2 2 4 2" xfId="35331"/>
    <cellStyle name="Comma 13 5 2 2 5" xfId="35332"/>
    <cellStyle name="Comma 13 5 2 2 6" xfId="35333"/>
    <cellStyle name="Comma 13 5 2 3" xfId="35334"/>
    <cellStyle name="Comma 13 5 2 3 2" xfId="35335"/>
    <cellStyle name="Comma 13 5 2 3 2 2" xfId="35336"/>
    <cellStyle name="Comma 13 5 2 3 2 3" xfId="35337"/>
    <cellStyle name="Comma 13 5 2 3 3" xfId="35338"/>
    <cellStyle name="Comma 13 5 2 3 3 2" xfId="35339"/>
    <cellStyle name="Comma 13 5 2 3 3 3" xfId="35340"/>
    <cellStyle name="Comma 13 5 2 3 4" xfId="35341"/>
    <cellStyle name="Comma 13 5 2 3 4 2" xfId="35342"/>
    <cellStyle name="Comma 13 5 2 3 5" xfId="35343"/>
    <cellStyle name="Comma 13 5 2 3 6" xfId="35344"/>
    <cellStyle name="Comma 13 5 2 4" xfId="35345"/>
    <cellStyle name="Comma 13 5 2 4 2" xfId="35346"/>
    <cellStyle name="Comma 13 5 2 4 2 2" xfId="35347"/>
    <cellStyle name="Comma 13 5 2 4 2 3" xfId="35348"/>
    <cellStyle name="Comma 13 5 2 4 3" xfId="35349"/>
    <cellStyle name="Comma 13 5 2 4 3 2" xfId="35350"/>
    <cellStyle name="Comma 13 5 2 4 4" xfId="35351"/>
    <cellStyle name="Comma 13 5 2 4 5" xfId="35352"/>
    <cellStyle name="Comma 13 5 2 5" xfId="35353"/>
    <cellStyle name="Comma 13 5 2 5 2" xfId="35354"/>
    <cellStyle name="Comma 13 5 2 5 3" xfId="35355"/>
    <cellStyle name="Comma 13 5 2 6" xfId="35356"/>
    <cellStyle name="Comma 13 5 2 6 2" xfId="35357"/>
    <cellStyle name="Comma 13 5 2 6 3" xfId="35358"/>
    <cellStyle name="Comma 13 5 2 7" xfId="35359"/>
    <cellStyle name="Comma 13 5 2 7 2" xfId="35360"/>
    <cellStyle name="Comma 13 5 2 8" xfId="35361"/>
    <cellStyle name="Comma 13 5 2 9" xfId="35362"/>
    <cellStyle name="Comma 13 5 3" xfId="35363"/>
    <cellStyle name="Comma 13 5 3 2" xfId="35364"/>
    <cellStyle name="Comma 13 5 3 2 2" xfId="35365"/>
    <cellStyle name="Comma 13 5 3 2 3" xfId="35366"/>
    <cellStyle name="Comma 13 5 3 3" xfId="35367"/>
    <cellStyle name="Comma 13 5 3 3 2" xfId="35368"/>
    <cellStyle name="Comma 13 5 3 3 3" xfId="35369"/>
    <cellStyle name="Comma 13 5 3 4" xfId="35370"/>
    <cellStyle name="Comma 13 5 3 4 2" xfId="35371"/>
    <cellStyle name="Comma 13 5 3 5" xfId="35372"/>
    <cellStyle name="Comma 13 5 3 6" xfId="35373"/>
    <cellStyle name="Comma 13 5 4" xfId="35374"/>
    <cellStyle name="Comma 13 5 4 2" xfId="35375"/>
    <cellStyle name="Comma 13 5 4 2 2" xfId="35376"/>
    <cellStyle name="Comma 13 5 4 2 3" xfId="35377"/>
    <cellStyle name="Comma 13 5 4 3" xfId="35378"/>
    <cellStyle name="Comma 13 5 4 3 2" xfId="35379"/>
    <cellStyle name="Comma 13 5 4 3 3" xfId="35380"/>
    <cellStyle name="Comma 13 5 4 4" xfId="35381"/>
    <cellStyle name="Comma 13 5 4 4 2" xfId="35382"/>
    <cellStyle name="Comma 13 5 4 5" xfId="35383"/>
    <cellStyle name="Comma 13 5 4 6" xfId="35384"/>
    <cellStyle name="Comma 13 5 5" xfId="35385"/>
    <cellStyle name="Comma 13 5 5 2" xfId="35386"/>
    <cellStyle name="Comma 13 5 5 2 2" xfId="35387"/>
    <cellStyle name="Comma 13 5 5 2 3" xfId="35388"/>
    <cellStyle name="Comma 13 5 5 3" xfId="35389"/>
    <cellStyle name="Comma 13 5 5 3 2" xfId="35390"/>
    <cellStyle name="Comma 13 5 5 4" xfId="35391"/>
    <cellStyle name="Comma 13 5 5 5" xfId="35392"/>
    <cellStyle name="Comma 13 5 6" xfId="35393"/>
    <cellStyle name="Comma 13 5 6 2" xfId="35394"/>
    <cellStyle name="Comma 13 5 6 3" xfId="35395"/>
    <cellStyle name="Comma 13 5 7" xfId="35396"/>
    <cellStyle name="Comma 13 5 7 2" xfId="35397"/>
    <cellStyle name="Comma 13 5 7 3" xfId="35398"/>
    <cellStyle name="Comma 13 5 8" xfId="35399"/>
    <cellStyle name="Comma 13 5 8 2" xfId="35400"/>
    <cellStyle name="Comma 13 5 9" xfId="35401"/>
    <cellStyle name="Comma 13 6" xfId="35402"/>
    <cellStyle name="Comma 13 6 2" xfId="35403"/>
    <cellStyle name="Comma 13 6 2 2" xfId="35404"/>
    <cellStyle name="Comma 13 6 2 2 2" xfId="35405"/>
    <cellStyle name="Comma 13 6 2 2 3" xfId="35406"/>
    <cellStyle name="Comma 13 6 2 3" xfId="35407"/>
    <cellStyle name="Comma 13 6 2 3 2" xfId="35408"/>
    <cellStyle name="Comma 13 6 2 3 3" xfId="35409"/>
    <cellStyle name="Comma 13 6 2 4" xfId="35410"/>
    <cellStyle name="Comma 13 6 2 4 2" xfId="35411"/>
    <cellStyle name="Comma 13 6 2 5" xfId="35412"/>
    <cellStyle name="Comma 13 6 2 6" xfId="35413"/>
    <cellStyle name="Comma 13 6 3" xfId="35414"/>
    <cellStyle name="Comma 13 6 3 2" xfId="35415"/>
    <cellStyle name="Comma 13 6 3 2 2" xfId="35416"/>
    <cellStyle name="Comma 13 6 3 2 3" xfId="35417"/>
    <cellStyle name="Comma 13 6 3 3" xfId="35418"/>
    <cellStyle name="Comma 13 6 3 3 2" xfId="35419"/>
    <cellStyle name="Comma 13 6 3 3 3" xfId="35420"/>
    <cellStyle name="Comma 13 6 3 4" xfId="35421"/>
    <cellStyle name="Comma 13 6 3 4 2" xfId="35422"/>
    <cellStyle name="Comma 13 6 3 5" xfId="35423"/>
    <cellStyle name="Comma 13 6 3 6" xfId="35424"/>
    <cellStyle name="Comma 13 6 4" xfId="35425"/>
    <cellStyle name="Comma 13 6 4 2" xfId="35426"/>
    <cellStyle name="Comma 13 6 4 2 2" xfId="35427"/>
    <cellStyle name="Comma 13 6 4 2 3" xfId="35428"/>
    <cellStyle name="Comma 13 6 4 3" xfId="35429"/>
    <cellStyle name="Comma 13 6 4 3 2" xfId="35430"/>
    <cellStyle name="Comma 13 6 4 4" xfId="35431"/>
    <cellStyle name="Comma 13 6 4 5" xfId="35432"/>
    <cellStyle name="Comma 13 6 5" xfId="35433"/>
    <cellStyle name="Comma 13 6 5 2" xfId="35434"/>
    <cellStyle name="Comma 13 6 5 3" xfId="35435"/>
    <cellStyle name="Comma 13 6 6" xfId="35436"/>
    <cellStyle name="Comma 13 6 6 2" xfId="35437"/>
    <cellStyle name="Comma 13 6 6 3" xfId="35438"/>
    <cellStyle name="Comma 13 6 7" xfId="35439"/>
    <cellStyle name="Comma 13 6 7 2" xfId="35440"/>
    <cellStyle name="Comma 13 6 8" xfId="35441"/>
    <cellStyle name="Comma 13 6 9" xfId="35442"/>
    <cellStyle name="Comma 13 7" xfId="35443"/>
    <cellStyle name="Comma 13 7 2" xfId="35444"/>
    <cellStyle name="Comma 13 7 2 2" xfId="35445"/>
    <cellStyle name="Comma 13 7 2 2 2" xfId="35446"/>
    <cellStyle name="Comma 13 7 2 2 3" xfId="35447"/>
    <cellStyle name="Comma 13 7 2 3" xfId="35448"/>
    <cellStyle name="Comma 13 7 2 3 2" xfId="35449"/>
    <cellStyle name="Comma 13 7 2 3 3" xfId="35450"/>
    <cellStyle name="Comma 13 7 2 4" xfId="35451"/>
    <cellStyle name="Comma 13 7 2 4 2" xfId="35452"/>
    <cellStyle name="Comma 13 7 2 5" xfId="35453"/>
    <cellStyle name="Comma 13 7 2 6" xfId="35454"/>
    <cellStyle name="Comma 13 7 3" xfId="35455"/>
    <cellStyle name="Comma 13 7 3 2" xfId="35456"/>
    <cellStyle name="Comma 13 7 3 2 2" xfId="35457"/>
    <cellStyle name="Comma 13 7 3 2 3" xfId="35458"/>
    <cellStyle name="Comma 13 7 3 3" xfId="35459"/>
    <cellStyle name="Comma 13 7 3 3 2" xfId="35460"/>
    <cellStyle name="Comma 13 7 3 3 3" xfId="35461"/>
    <cellStyle name="Comma 13 7 3 4" xfId="35462"/>
    <cellStyle name="Comma 13 7 3 4 2" xfId="35463"/>
    <cellStyle name="Comma 13 7 3 5" xfId="35464"/>
    <cellStyle name="Comma 13 7 3 6" xfId="35465"/>
    <cellStyle name="Comma 13 7 4" xfId="35466"/>
    <cellStyle name="Comma 13 7 4 2" xfId="35467"/>
    <cellStyle name="Comma 13 7 4 2 2" xfId="35468"/>
    <cellStyle name="Comma 13 7 4 2 3" xfId="35469"/>
    <cellStyle name="Comma 13 7 4 3" xfId="35470"/>
    <cellStyle name="Comma 13 7 4 3 2" xfId="35471"/>
    <cellStyle name="Comma 13 7 4 4" xfId="35472"/>
    <cellStyle name="Comma 13 7 4 5" xfId="35473"/>
    <cellStyle name="Comma 13 7 5" xfId="35474"/>
    <cellStyle name="Comma 13 7 5 2" xfId="35475"/>
    <cellStyle name="Comma 13 7 5 3" xfId="35476"/>
    <cellStyle name="Comma 13 7 6" xfId="35477"/>
    <cellStyle name="Comma 13 7 6 2" xfId="35478"/>
    <cellStyle name="Comma 13 7 6 3" xfId="35479"/>
    <cellStyle name="Comma 13 7 7" xfId="35480"/>
    <cellStyle name="Comma 13 7 7 2" xfId="35481"/>
    <cellStyle name="Comma 13 7 8" xfId="35482"/>
    <cellStyle name="Comma 13 7 9" xfId="35483"/>
    <cellStyle name="Comma 13 8" xfId="35484"/>
    <cellStyle name="Comma 13 8 2" xfId="35485"/>
    <cellStyle name="Comma 13 8 2 2" xfId="35486"/>
    <cellStyle name="Comma 13 8 2 3" xfId="35487"/>
    <cellStyle name="Comma 13 8 3" xfId="35488"/>
    <cellStyle name="Comma 13 8 3 2" xfId="35489"/>
    <cellStyle name="Comma 13 8 3 3" xfId="35490"/>
    <cellStyle name="Comma 13 8 4" xfId="35491"/>
    <cellStyle name="Comma 13 8 4 2" xfId="35492"/>
    <cellStyle name="Comma 13 8 5" xfId="35493"/>
    <cellStyle name="Comma 13 8 6" xfId="35494"/>
    <cellStyle name="Comma 13 9" xfId="35495"/>
    <cellStyle name="Comma 13 9 2" xfId="35496"/>
    <cellStyle name="Comma 13 9 2 2" xfId="35497"/>
    <cellStyle name="Comma 13 9 2 3" xfId="35498"/>
    <cellStyle name="Comma 13 9 3" xfId="35499"/>
    <cellStyle name="Comma 13 9 3 2" xfId="35500"/>
    <cellStyle name="Comma 13 9 3 3" xfId="35501"/>
    <cellStyle name="Comma 13 9 4" xfId="35502"/>
    <cellStyle name="Comma 13 9 4 2" xfId="35503"/>
    <cellStyle name="Comma 13 9 5" xfId="35504"/>
    <cellStyle name="Comma 13 9 6" xfId="35505"/>
    <cellStyle name="Comma 130" xfId="57845"/>
    <cellStyle name="Comma 131" xfId="57846"/>
    <cellStyle name="Comma 132" xfId="57847"/>
    <cellStyle name="Comma 133" xfId="57848"/>
    <cellStyle name="Comma 134" xfId="57849"/>
    <cellStyle name="Comma 135" xfId="57850"/>
    <cellStyle name="Comma 136" xfId="57851"/>
    <cellStyle name="Comma 137" xfId="57852"/>
    <cellStyle name="Comma 138" xfId="57853"/>
    <cellStyle name="Comma 139" xfId="57854"/>
    <cellStyle name="Comma 14" xfId="3241"/>
    <cellStyle name="Comma 14 10" xfId="35506"/>
    <cellStyle name="Comma 14 10 2" xfId="35507"/>
    <cellStyle name="Comma 14 10 2 2" xfId="35508"/>
    <cellStyle name="Comma 14 10 2 3" xfId="35509"/>
    <cellStyle name="Comma 14 10 3" xfId="35510"/>
    <cellStyle name="Comma 14 10 3 2" xfId="35511"/>
    <cellStyle name="Comma 14 10 4" xfId="35512"/>
    <cellStyle name="Comma 14 10 5" xfId="35513"/>
    <cellStyle name="Comma 14 11" xfId="35514"/>
    <cellStyle name="Comma 14 11 2" xfId="35515"/>
    <cellStyle name="Comma 14 11 3" xfId="35516"/>
    <cellStyle name="Comma 14 12" xfId="35517"/>
    <cellStyle name="Comma 14 12 2" xfId="35518"/>
    <cellStyle name="Comma 14 12 3" xfId="35519"/>
    <cellStyle name="Comma 14 13" xfId="35520"/>
    <cellStyle name="Comma 14 13 2" xfId="35521"/>
    <cellStyle name="Comma 14 14" xfId="35522"/>
    <cellStyle name="Comma 14 15" xfId="35523"/>
    <cellStyle name="Comma 14 16" xfId="35524"/>
    <cellStyle name="Comma 14 2" xfId="8227"/>
    <cellStyle name="Comma 14 2 10" xfId="35525"/>
    <cellStyle name="Comma 14 2 10 2" xfId="35526"/>
    <cellStyle name="Comma 14 2 10 3" xfId="35527"/>
    <cellStyle name="Comma 14 2 11" xfId="35528"/>
    <cellStyle name="Comma 14 2 11 2" xfId="35529"/>
    <cellStyle name="Comma 14 2 11 3" xfId="35530"/>
    <cellStyle name="Comma 14 2 12" xfId="35531"/>
    <cellStyle name="Comma 14 2 12 2" xfId="35532"/>
    <cellStyle name="Comma 14 2 13" xfId="35533"/>
    <cellStyle name="Comma 14 2 14" xfId="35534"/>
    <cellStyle name="Comma 14 2 15" xfId="35535"/>
    <cellStyle name="Comma 14 2 2" xfId="35536"/>
    <cellStyle name="Comma 14 2 2 10" xfId="35537"/>
    <cellStyle name="Comma 14 2 2 10 2" xfId="35538"/>
    <cellStyle name="Comma 14 2 2 10 3" xfId="35539"/>
    <cellStyle name="Comma 14 2 2 11" xfId="35540"/>
    <cellStyle name="Comma 14 2 2 11 2" xfId="35541"/>
    <cellStyle name="Comma 14 2 2 12" xfId="35542"/>
    <cellStyle name="Comma 14 2 2 13" xfId="35543"/>
    <cellStyle name="Comma 14 2 2 2" xfId="35544"/>
    <cellStyle name="Comma 14 2 2 2 10" xfId="35545"/>
    <cellStyle name="Comma 14 2 2 2 10 2" xfId="35546"/>
    <cellStyle name="Comma 14 2 2 2 11" xfId="35547"/>
    <cellStyle name="Comma 14 2 2 2 12" xfId="35548"/>
    <cellStyle name="Comma 14 2 2 2 2" xfId="35549"/>
    <cellStyle name="Comma 14 2 2 2 2 10" xfId="35550"/>
    <cellStyle name="Comma 14 2 2 2 2 2" xfId="35551"/>
    <cellStyle name="Comma 14 2 2 2 2 2 2" xfId="35552"/>
    <cellStyle name="Comma 14 2 2 2 2 2 2 2" xfId="35553"/>
    <cellStyle name="Comma 14 2 2 2 2 2 2 2 2" xfId="35554"/>
    <cellStyle name="Comma 14 2 2 2 2 2 2 2 3" xfId="35555"/>
    <cellStyle name="Comma 14 2 2 2 2 2 2 3" xfId="35556"/>
    <cellStyle name="Comma 14 2 2 2 2 2 2 3 2" xfId="35557"/>
    <cellStyle name="Comma 14 2 2 2 2 2 2 3 3" xfId="35558"/>
    <cellStyle name="Comma 14 2 2 2 2 2 2 4" xfId="35559"/>
    <cellStyle name="Comma 14 2 2 2 2 2 2 4 2" xfId="35560"/>
    <cellStyle name="Comma 14 2 2 2 2 2 2 5" xfId="35561"/>
    <cellStyle name="Comma 14 2 2 2 2 2 2 6" xfId="35562"/>
    <cellStyle name="Comma 14 2 2 2 2 2 3" xfId="35563"/>
    <cellStyle name="Comma 14 2 2 2 2 2 3 2" xfId="35564"/>
    <cellStyle name="Comma 14 2 2 2 2 2 3 2 2" xfId="35565"/>
    <cellStyle name="Comma 14 2 2 2 2 2 3 2 3" xfId="35566"/>
    <cellStyle name="Comma 14 2 2 2 2 2 3 3" xfId="35567"/>
    <cellStyle name="Comma 14 2 2 2 2 2 3 3 2" xfId="35568"/>
    <cellStyle name="Comma 14 2 2 2 2 2 3 3 3" xfId="35569"/>
    <cellStyle name="Comma 14 2 2 2 2 2 3 4" xfId="35570"/>
    <cellStyle name="Comma 14 2 2 2 2 2 3 4 2" xfId="35571"/>
    <cellStyle name="Comma 14 2 2 2 2 2 3 5" xfId="35572"/>
    <cellStyle name="Comma 14 2 2 2 2 2 3 6" xfId="35573"/>
    <cellStyle name="Comma 14 2 2 2 2 2 4" xfId="35574"/>
    <cellStyle name="Comma 14 2 2 2 2 2 4 2" xfId="35575"/>
    <cellStyle name="Comma 14 2 2 2 2 2 4 2 2" xfId="35576"/>
    <cellStyle name="Comma 14 2 2 2 2 2 4 2 3" xfId="35577"/>
    <cellStyle name="Comma 14 2 2 2 2 2 4 3" xfId="35578"/>
    <cellStyle name="Comma 14 2 2 2 2 2 4 3 2" xfId="35579"/>
    <cellStyle name="Comma 14 2 2 2 2 2 4 4" xfId="35580"/>
    <cellStyle name="Comma 14 2 2 2 2 2 4 5" xfId="35581"/>
    <cellStyle name="Comma 14 2 2 2 2 2 5" xfId="35582"/>
    <cellStyle name="Comma 14 2 2 2 2 2 5 2" xfId="35583"/>
    <cellStyle name="Comma 14 2 2 2 2 2 5 3" xfId="35584"/>
    <cellStyle name="Comma 14 2 2 2 2 2 6" xfId="35585"/>
    <cellStyle name="Comma 14 2 2 2 2 2 6 2" xfId="35586"/>
    <cellStyle name="Comma 14 2 2 2 2 2 6 3" xfId="35587"/>
    <cellStyle name="Comma 14 2 2 2 2 2 7" xfId="35588"/>
    <cellStyle name="Comma 14 2 2 2 2 2 7 2" xfId="35589"/>
    <cellStyle name="Comma 14 2 2 2 2 2 8" xfId="35590"/>
    <cellStyle name="Comma 14 2 2 2 2 2 9" xfId="35591"/>
    <cellStyle name="Comma 14 2 2 2 2 3" xfId="35592"/>
    <cellStyle name="Comma 14 2 2 2 2 3 2" xfId="35593"/>
    <cellStyle name="Comma 14 2 2 2 2 3 2 2" xfId="35594"/>
    <cellStyle name="Comma 14 2 2 2 2 3 2 3" xfId="35595"/>
    <cellStyle name="Comma 14 2 2 2 2 3 3" xfId="35596"/>
    <cellStyle name="Comma 14 2 2 2 2 3 3 2" xfId="35597"/>
    <cellStyle name="Comma 14 2 2 2 2 3 3 3" xfId="35598"/>
    <cellStyle name="Comma 14 2 2 2 2 3 4" xfId="35599"/>
    <cellStyle name="Comma 14 2 2 2 2 3 4 2" xfId="35600"/>
    <cellStyle name="Comma 14 2 2 2 2 3 5" xfId="35601"/>
    <cellStyle name="Comma 14 2 2 2 2 3 6" xfId="35602"/>
    <cellStyle name="Comma 14 2 2 2 2 4" xfId="35603"/>
    <cellStyle name="Comma 14 2 2 2 2 4 2" xfId="35604"/>
    <cellStyle name="Comma 14 2 2 2 2 4 2 2" xfId="35605"/>
    <cellStyle name="Comma 14 2 2 2 2 4 2 3" xfId="35606"/>
    <cellStyle name="Comma 14 2 2 2 2 4 3" xfId="35607"/>
    <cellStyle name="Comma 14 2 2 2 2 4 3 2" xfId="35608"/>
    <cellStyle name="Comma 14 2 2 2 2 4 3 3" xfId="35609"/>
    <cellStyle name="Comma 14 2 2 2 2 4 4" xfId="35610"/>
    <cellStyle name="Comma 14 2 2 2 2 4 4 2" xfId="35611"/>
    <cellStyle name="Comma 14 2 2 2 2 4 5" xfId="35612"/>
    <cellStyle name="Comma 14 2 2 2 2 4 6" xfId="35613"/>
    <cellStyle name="Comma 14 2 2 2 2 5" xfId="35614"/>
    <cellStyle name="Comma 14 2 2 2 2 5 2" xfId="35615"/>
    <cellStyle name="Comma 14 2 2 2 2 5 2 2" xfId="35616"/>
    <cellStyle name="Comma 14 2 2 2 2 5 2 3" xfId="35617"/>
    <cellStyle name="Comma 14 2 2 2 2 5 3" xfId="35618"/>
    <cellStyle name="Comma 14 2 2 2 2 5 3 2" xfId="35619"/>
    <cellStyle name="Comma 14 2 2 2 2 5 4" xfId="35620"/>
    <cellStyle name="Comma 14 2 2 2 2 5 5" xfId="35621"/>
    <cellStyle name="Comma 14 2 2 2 2 6" xfId="35622"/>
    <cellStyle name="Comma 14 2 2 2 2 6 2" xfId="35623"/>
    <cellStyle name="Comma 14 2 2 2 2 6 3" xfId="35624"/>
    <cellStyle name="Comma 14 2 2 2 2 7" xfId="35625"/>
    <cellStyle name="Comma 14 2 2 2 2 7 2" xfId="35626"/>
    <cellStyle name="Comma 14 2 2 2 2 7 3" xfId="35627"/>
    <cellStyle name="Comma 14 2 2 2 2 8" xfId="35628"/>
    <cellStyle name="Comma 14 2 2 2 2 8 2" xfId="35629"/>
    <cellStyle name="Comma 14 2 2 2 2 9" xfId="35630"/>
    <cellStyle name="Comma 14 2 2 2 3" xfId="35631"/>
    <cellStyle name="Comma 14 2 2 2 3 2" xfId="35632"/>
    <cellStyle name="Comma 14 2 2 2 3 2 2" xfId="35633"/>
    <cellStyle name="Comma 14 2 2 2 3 2 2 2" xfId="35634"/>
    <cellStyle name="Comma 14 2 2 2 3 2 2 3" xfId="35635"/>
    <cellStyle name="Comma 14 2 2 2 3 2 3" xfId="35636"/>
    <cellStyle name="Comma 14 2 2 2 3 2 3 2" xfId="35637"/>
    <cellStyle name="Comma 14 2 2 2 3 2 3 3" xfId="35638"/>
    <cellStyle name="Comma 14 2 2 2 3 2 4" xfId="35639"/>
    <cellStyle name="Comma 14 2 2 2 3 2 4 2" xfId="35640"/>
    <cellStyle name="Comma 14 2 2 2 3 2 5" xfId="35641"/>
    <cellStyle name="Comma 14 2 2 2 3 2 6" xfId="35642"/>
    <cellStyle name="Comma 14 2 2 2 3 3" xfId="35643"/>
    <cellStyle name="Comma 14 2 2 2 3 3 2" xfId="35644"/>
    <cellStyle name="Comma 14 2 2 2 3 3 2 2" xfId="35645"/>
    <cellStyle name="Comma 14 2 2 2 3 3 2 3" xfId="35646"/>
    <cellStyle name="Comma 14 2 2 2 3 3 3" xfId="35647"/>
    <cellStyle name="Comma 14 2 2 2 3 3 3 2" xfId="35648"/>
    <cellStyle name="Comma 14 2 2 2 3 3 3 3" xfId="35649"/>
    <cellStyle name="Comma 14 2 2 2 3 3 4" xfId="35650"/>
    <cellStyle name="Comma 14 2 2 2 3 3 4 2" xfId="35651"/>
    <cellStyle name="Comma 14 2 2 2 3 3 5" xfId="35652"/>
    <cellStyle name="Comma 14 2 2 2 3 3 6" xfId="35653"/>
    <cellStyle name="Comma 14 2 2 2 3 4" xfId="35654"/>
    <cellStyle name="Comma 14 2 2 2 3 4 2" xfId="35655"/>
    <cellStyle name="Comma 14 2 2 2 3 4 2 2" xfId="35656"/>
    <cellStyle name="Comma 14 2 2 2 3 4 2 3" xfId="35657"/>
    <cellStyle name="Comma 14 2 2 2 3 4 3" xfId="35658"/>
    <cellStyle name="Comma 14 2 2 2 3 4 3 2" xfId="35659"/>
    <cellStyle name="Comma 14 2 2 2 3 4 4" xfId="35660"/>
    <cellStyle name="Comma 14 2 2 2 3 4 5" xfId="35661"/>
    <cellStyle name="Comma 14 2 2 2 3 5" xfId="35662"/>
    <cellStyle name="Comma 14 2 2 2 3 5 2" xfId="35663"/>
    <cellStyle name="Comma 14 2 2 2 3 5 3" xfId="35664"/>
    <cellStyle name="Comma 14 2 2 2 3 6" xfId="35665"/>
    <cellStyle name="Comma 14 2 2 2 3 6 2" xfId="35666"/>
    <cellStyle name="Comma 14 2 2 2 3 6 3" xfId="35667"/>
    <cellStyle name="Comma 14 2 2 2 3 7" xfId="35668"/>
    <cellStyle name="Comma 14 2 2 2 3 7 2" xfId="35669"/>
    <cellStyle name="Comma 14 2 2 2 3 8" xfId="35670"/>
    <cellStyle name="Comma 14 2 2 2 3 9" xfId="35671"/>
    <cellStyle name="Comma 14 2 2 2 4" xfId="35672"/>
    <cellStyle name="Comma 14 2 2 2 4 2" xfId="35673"/>
    <cellStyle name="Comma 14 2 2 2 4 2 2" xfId="35674"/>
    <cellStyle name="Comma 14 2 2 2 4 2 2 2" xfId="35675"/>
    <cellStyle name="Comma 14 2 2 2 4 2 2 3" xfId="35676"/>
    <cellStyle name="Comma 14 2 2 2 4 2 3" xfId="35677"/>
    <cellStyle name="Comma 14 2 2 2 4 2 3 2" xfId="35678"/>
    <cellStyle name="Comma 14 2 2 2 4 2 3 3" xfId="35679"/>
    <cellStyle name="Comma 14 2 2 2 4 2 4" xfId="35680"/>
    <cellStyle name="Comma 14 2 2 2 4 2 4 2" xfId="35681"/>
    <cellStyle name="Comma 14 2 2 2 4 2 5" xfId="35682"/>
    <cellStyle name="Comma 14 2 2 2 4 2 6" xfId="35683"/>
    <cellStyle name="Comma 14 2 2 2 4 3" xfId="35684"/>
    <cellStyle name="Comma 14 2 2 2 4 3 2" xfId="35685"/>
    <cellStyle name="Comma 14 2 2 2 4 3 2 2" xfId="35686"/>
    <cellStyle name="Comma 14 2 2 2 4 3 2 3" xfId="35687"/>
    <cellStyle name="Comma 14 2 2 2 4 3 3" xfId="35688"/>
    <cellStyle name="Comma 14 2 2 2 4 3 3 2" xfId="35689"/>
    <cellStyle name="Comma 14 2 2 2 4 3 3 3" xfId="35690"/>
    <cellStyle name="Comma 14 2 2 2 4 3 4" xfId="35691"/>
    <cellStyle name="Comma 14 2 2 2 4 3 4 2" xfId="35692"/>
    <cellStyle name="Comma 14 2 2 2 4 3 5" xfId="35693"/>
    <cellStyle name="Comma 14 2 2 2 4 3 6" xfId="35694"/>
    <cellStyle name="Comma 14 2 2 2 4 4" xfId="35695"/>
    <cellStyle name="Comma 14 2 2 2 4 4 2" xfId="35696"/>
    <cellStyle name="Comma 14 2 2 2 4 4 2 2" xfId="35697"/>
    <cellStyle name="Comma 14 2 2 2 4 4 2 3" xfId="35698"/>
    <cellStyle name="Comma 14 2 2 2 4 4 3" xfId="35699"/>
    <cellStyle name="Comma 14 2 2 2 4 4 3 2" xfId="35700"/>
    <cellStyle name="Comma 14 2 2 2 4 4 4" xfId="35701"/>
    <cellStyle name="Comma 14 2 2 2 4 4 5" xfId="35702"/>
    <cellStyle name="Comma 14 2 2 2 4 5" xfId="35703"/>
    <cellStyle name="Comma 14 2 2 2 4 5 2" xfId="35704"/>
    <cellStyle name="Comma 14 2 2 2 4 5 3" xfId="35705"/>
    <cellStyle name="Comma 14 2 2 2 4 6" xfId="35706"/>
    <cellStyle name="Comma 14 2 2 2 4 6 2" xfId="35707"/>
    <cellStyle name="Comma 14 2 2 2 4 6 3" xfId="35708"/>
    <cellStyle name="Comma 14 2 2 2 4 7" xfId="35709"/>
    <cellStyle name="Comma 14 2 2 2 4 7 2" xfId="35710"/>
    <cellStyle name="Comma 14 2 2 2 4 8" xfId="35711"/>
    <cellStyle name="Comma 14 2 2 2 4 9" xfId="35712"/>
    <cellStyle name="Comma 14 2 2 2 5" xfId="35713"/>
    <cellStyle name="Comma 14 2 2 2 5 2" xfId="35714"/>
    <cellStyle name="Comma 14 2 2 2 5 2 2" xfId="35715"/>
    <cellStyle name="Comma 14 2 2 2 5 2 3" xfId="35716"/>
    <cellStyle name="Comma 14 2 2 2 5 3" xfId="35717"/>
    <cellStyle name="Comma 14 2 2 2 5 3 2" xfId="35718"/>
    <cellStyle name="Comma 14 2 2 2 5 3 3" xfId="35719"/>
    <cellStyle name="Comma 14 2 2 2 5 4" xfId="35720"/>
    <cellStyle name="Comma 14 2 2 2 5 4 2" xfId="35721"/>
    <cellStyle name="Comma 14 2 2 2 5 5" xfId="35722"/>
    <cellStyle name="Comma 14 2 2 2 5 6" xfId="35723"/>
    <cellStyle name="Comma 14 2 2 2 6" xfId="35724"/>
    <cellStyle name="Comma 14 2 2 2 6 2" xfId="35725"/>
    <cellStyle name="Comma 14 2 2 2 6 2 2" xfId="35726"/>
    <cellStyle name="Comma 14 2 2 2 6 2 3" xfId="35727"/>
    <cellStyle name="Comma 14 2 2 2 6 3" xfId="35728"/>
    <cellStyle name="Comma 14 2 2 2 6 3 2" xfId="35729"/>
    <cellStyle name="Comma 14 2 2 2 6 3 3" xfId="35730"/>
    <cellStyle name="Comma 14 2 2 2 6 4" xfId="35731"/>
    <cellStyle name="Comma 14 2 2 2 6 4 2" xfId="35732"/>
    <cellStyle name="Comma 14 2 2 2 6 5" xfId="35733"/>
    <cellStyle name="Comma 14 2 2 2 6 6" xfId="35734"/>
    <cellStyle name="Comma 14 2 2 2 7" xfId="35735"/>
    <cellStyle name="Comma 14 2 2 2 7 2" xfId="35736"/>
    <cellStyle name="Comma 14 2 2 2 7 2 2" xfId="35737"/>
    <cellStyle name="Comma 14 2 2 2 7 2 3" xfId="35738"/>
    <cellStyle name="Comma 14 2 2 2 7 3" xfId="35739"/>
    <cellStyle name="Comma 14 2 2 2 7 3 2" xfId="35740"/>
    <cellStyle name="Comma 14 2 2 2 7 4" xfId="35741"/>
    <cellStyle name="Comma 14 2 2 2 7 5" xfId="35742"/>
    <cellStyle name="Comma 14 2 2 2 8" xfId="35743"/>
    <cellStyle name="Comma 14 2 2 2 8 2" xfId="35744"/>
    <cellStyle name="Comma 14 2 2 2 8 3" xfId="35745"/>
    <cellStyle name="Comma 14 2 2 2 9" xfId="35746"/>
    <cellStyle name="Comma 14 2 2 2 9 2" xfId="35747"/>
    <cellStyle name="Comma 14 2 2 2 9 3" xfId="35748"/>
    <cellStyle name="Comma 14 2 2 3" xfId="35749"/>
    <cellStyle name="Comma 14 2 2 3 10" xfId="35750"/>
    <cellStyle name="Comma 14 2 2 3 2" xfId="35751"/>
    <cellStyle name="Comma 14 2 2 3 2 2" xfId="35752"/>
    <cellStyle name="Comma 14 2 2 3 2 2 2" xfId="35753"/>
    <cellStyle name="Comma 14 2 2 3 2 2 2 2" xfId="35754"/>
    <cellStyle name="Comma 14 2 2 3 2 2 2 3" xfId="35755"/>
    <cellStyle name="Comma 14 2 2 3 2 2 3" xfId="35756"/>
    <cellStyle name="Comma 14 2 2 3 2 2 3 2" xfId="35757"/>
    <cellStyle name="Comma 14 2 2 3 2 2 3 3" xfId="35758"/>
    <cellStyle name="Comma 14 2 2 3 2 2 4" xfId="35759"/>
    <cellStyle name="Comma 14 2 2 3 2 2 4 2" xfId="35760"/>
    <cellStyle name="Comma 14 2 2 3 2 2 5" xfId="35761"/>
    <cellStyle name="Comma 14 2 2 3 2 2 6" xfId="35762"/>
    <cellStyle name="Comma 14 2 2 3 2 3" xfId="35763"/>
    <cellStyle name="Comma 14 2 2 3 2 3 2" xfId="35764"/>
    <cellStyle name="Comma 14 2 2 3 2 3 2 2" xfId="35765"/>
    <cellStyle name="Comma 14 2 2 3 2 3 2 3" xfId="35766"/>
    <cellStyle name="Comma 14 2 2 3 2 3 3" xfId="35767"/>
    <cellStyle name="Comma 14 2 2 3 2 3 3 2" xfId="35768"/>
    <cellStyle name="Comma 14 2 2 3 2 3 3 3" xfId="35769"/>
    <cellStyle name="Comma 14 2 2 3 2 3 4" xfId="35770"/>
    <cellStyle name="Comma 14 2 2 3 2 3 4 2" xfId="35771"/>
    <cellStyle name="Comma 14 2 2 3 2 3 5" xfId="35772"/>
    <cellStyle name="Comma 14 2 2 3 2 3 6" xfId="35773"/>
    <cellStyle name="Comma 14 2 2 3 2 4" xfId="35774"/>
    <cellStyle name="Comma 14 2 2 3 2 4 2" xfId="35775"/>
    <cellStyle name="Comma 14 2 2 3 2 4 2 2" xfId="35776"/>
    <cellStyle name="Comma 14 2 2 3 2 4 2 3" xfId="35777"/>
    <cellStyle name="Comma 14 2 2 3 2 4 3" xfId="35778"/>
    <cellStyle name="Comma 14 2 2 3 2 4 3 2" xfId="35779"/>
    <cellStyle name="Comma 14 2 2 3 2 4 4" xfId="35780"/>
    <cellStyle name="Comma 14 2 2 3 2 4 5" xfId="35781"/>
    <cellStyle name="Comma 14 2 2 3 2 5" xfId="35782"/>
    <cellStyle name="Comma 14 2 2 3 2 5 2" xfId="35783"/>
    <cellStyle name="Comma 14 2 2 3 2 5 3" xfId="35784"/>
    <cellStyle name="Comma 14 2 2 3 2 6" xfId="35785"/>
    <cellStyle name="Comma 14 2 2 3 2 6 2" xfId="35786"/>
    <cellStyle name="Comma 14 2 2 3 2 6 3" xfId="35787"/>
    <cellStyle name="Comma 14 2 2 3 2 7" xfId="35788"/>
    <cellStyle name="Comma 14 2 2 3 2 7 2" xfId="35789"/>
    <cellStyle name="Comma 14 2 2 3 2 8" xfId="35790"/>
    <cellStyle name="Comma 14 2 2 3 2 9" xfId="35791"/>
    <cellStyle name="Comma 14 2 2 3 3" xfId="35792"/>
    <cellStyle name="Comma 14 2 2 3 3 2" xfId="35793"/>
    <cellStyle name="Comma 14 2 2 3 3 2 2" xfId="35794"/>
    <cellStyle name="Comma 14 2 2 3 3 2 3" xfId="35795"/>
    <cellStyle name="Comma 14 2 2 3 3 3" xfId="35796"/>
    <cellStyle name="Comma 14 2 2 3 3 3 2" xfId="35797"/>
    <cellStyle name="Comma 14 2 2 3 3 3 3" xfId="35798"/>
    <cellStyle name="Comma 14 2 2 3 3 4" xfId="35799"/>
    <cellStyle name="Comma 14 2 2 3 3 4 2" xfId="35800"/>
    <cellStyle name="Comma 14 2 2 3 3 5" xfId="35801"/>
    <cellStyle name="Comma 14 2 2 3 3 6" xfId="35802"/>
    <cellStyle name="Comma 14 2 2 3 4" xfId="35803"/>
    <cellStyle name="Comma 14 2 2 3 4 2" xfId="35804"/>
    <cellStyle name="Comma 14 2 2 3 4 2 2" xfId="35805"/>
    <cellStyle name="Comma 14 2 2 3 4 2 3" xfId="35806"/>
    <cellStyle name="Comma 14 2 2 3 4 3" xfId="35807"/>
    <cellStyle name="Comma 14 2 2 3 4 3 2" xfId="35808"/>
    <cellStyle name="Comma 14 2 2 3 4 3 3" xfId="35809"/>
    <cellStyle name="Comma 14 2 2 3 4 4" xfId="35810"/>
    <cellStyle name="Comma 14 2 2 3 4 4 2" xfId="35811"/>
    <cellStyle name="Comma 14 2 2 3 4 5" xfId="35812"/>
    <cellStyle name="Comma 14 2 2 3 4 6" xfId="35813"/>
    <cellStyle name="Comma 14 2 2 3 5" xfId="35814"/>
    <cellStyle name="Comma 14 2 2 3 5 2" xfId="35815"/>
    <cellStyle name="Comma 14 2 2 3 5 2 2" xfId="35816"/>
    <cellStyle name="Comma 14 2 2 3 5 2 3" xfId="35817"/>
    <cellStyle name="Comma 14 2 2 3 5 3" xfId="35818"/>
    <cellStyle name="Comma 14 2 2 3 5 3 2" xfId="35819"/>
    <cellStyle name="Comma 14 2 2 3 5 4" xfId="35820"/>
    <cellStyle name="Comma 14 2 2 3 5 5" xfId="35821"/>
    <cellStyle name="Comma 14 2 2 3 6" xfId="35822"/>
    <cellStyle name="Comma 14 2 2 3 6 2" xfId="35823"/>
    <cellStyle name="Comma 14 2 2 3 6 3" xfId="35824"/>
    <cellStyle name="Comma 14 2 2 3 7" xfId="35825"/>
    <cellStyle name="Comma 14 2 2 3 7 2" xfId="35826"/>
    <cellStyle name="Comma 14 2 2 3 7 3" xfId="35827"/>
    <cellStyle name="Comma 14 2 2 3 8" xfId="35828"/>
    <cellStyle name="Comma 14 2 2 3 8 2" xfId="35829"/>
    <cellStyle name="Comma 14 2 2 3 9" xfId="35830"/>
    <cellStyle name="Comma 14 2 2 4" xfId="35831"/>
    <cellStyle name="Comma 14 2 2 4 2" xfId="35832"/>
    <cellStyle name="Comma 14 2 2 4 2 2" xfId="35833"/>
    <cellStyle name="Comma 14 2 2 4 2 2 2" xfId="35834"/>
    <cellStyle name="Comma 14 2 2 4 2 2 3" xfId="35835"/>
    <cellStyle name="Comma 14 2 2 4 2 3" xfId="35836"/>
    <cellStyle name="Comma 14 2 2 4 2 3 2" xfId="35837"/>
    <cellStyle name="Comma 14 2 2 4 2 3 3" xfId="35838"/>
    <cellStyle name="Comma 14 2 2 4 2 4" xfId="35839"/>
    <cellStyle name="Comma 14 2 2 4 2 4 2" xfId="35840"/>
    <cellStyle name="Comma 14 2 2 4 2 5" xfId="35841"/>
    <cellStyle name="Comma 14 2 2 4 2 6" xfId="35842"/>
    <cellStyle name="Comma 14 2 2 4 3" xfId="35843"/>
    <cellStyle name="Comma 14 2 2 4 3 2" xfId="35844"/>
    <cellStyle name="Comma 14 2 2 4 3 2 2" xfId="35845"/>
    <cellStyle name="Comma 14 2 2 4 3 2 3" xfId="35846"/>
    <cellStyle name="Comma 14 2 2 4 3 3" xfId="35847"/>
    <cellStyle name="Comma 14 2 2 4 3 3 2" xfId="35848"/>
    <cellStyle name="Comma 14 2 2 4 3 3 3" xfId="35849"/>
    <cellStyle name="Comma 14 2 2 4 3 4" xfId="35850"/>
    <cellStyle name="Comma 14 2 2 4 3 4 2" xfId="35851"/>
    <cellStyle name="Comma 14 2 2 4 3 5" xfId="35852"/>
    <cellStyle name="Comma 14 2 2 4 3 6" xfId="35853"/>
    <cellStyle name="Comma 14 2 2 4 4" xfId="35854"/>
    <cellStyle name="Comma 14 2 2 4 4 2" xfId="35855"/>
    <cellStyle name="Comma 14 2 2 4 4 2 2" xfId="35856"/>
    <cellStyle name="Comma 14 2 2 4 4 2 3" xfId="35857"/>
    <cellStyle name="Comma 14 2 2 4 4 3" xfId="35858"/>
    <cellStyle name="Comma 14 2 2 4 4 3 2" xfId="35859"/>
    <cellStyle name="Comma 14 2 2 4 4 4" xfId="35860"/>
    <cellStyle name="Comma 14 2 2 4 4 5" xfId="35861"/>
    <cellStyle name="Comma 14 2 2 4 5" xfId="35862"/>
    <cellStyle name="Comma 14 2 2 4 5 2" xfId="35863"/>
    <cellStyle name="Comma 14 2 2 4 5 3" xfId="35864"/>
    <cellStyle name="Comma 14 2 2 4 6" xfId="35865"/>
    <cellStyle name="Comma 14 2 2 4 6 2" xfId="35866"/>
    <cellStyle name="Comma 14 2 2 4 6 3" xfId="35867"/>
    <cellStyle name="Comma 14 2 2 4 7" xfId="35868"/>
    <cellStyle name="Comma 14 2 2 4 7 2" xfId="35869"/>
    <cellStyle name="Comma 14 2 2 4 8" xfId="35870"/>
    <cellStyle name="Comma 14 2 2 4 9" xfId="35871"/>
    <cellStyle name="Comma 14 2 2 5" xfId="35872"/>
    <cellStyle name="Comma 14 2 2 5 2" xfId="35873"/>
    <cellStyle name="Comma 14 2 2 5 2 2" xfId="35874"/>
    <cellStyle name="Comma 14 2 2 5 2 2 2" xfId="35875"/>
    <cellStyle name="Comma 14 2 2 5 2 2 3" xfId="35876"/>
    <cellStyle name="Comma 14 2 2 5 2 3" xfId="35877"/>
    <cellStyle name="Comma 14 2 2 5 2 3 2" xfId="35878"/>
    <cellStyle name="Comma 14 2 2 5 2 3 3" xfId="35879"/>
    <cellStyle name="Comma 14 2 2 5 2 4" xfId="35880"/>
    <cellStyle name="Comma 14 2 2 5 2 4 2" xfId="35881"/>
    <cellStyle name="Comma 14 2 2 5 2 5" xfId="35882"/>
    <cellStyle name="Comma 14 2 2 5 2 6" xfId="35883"/>
    <cellStyle name="Comma 14 2 2 5 3" xfId="35884"/>
    <cellStyle name="Comma 14 2 2 5 3 2" xfId="35885"/>
    <cellStyle name="Comma 14 2 2 5 3 2 2" xfId="35886"/>
    <cellStyle name="Comma 14 2 2 5 3 2 3" xfId="35887"/>
    <cellStyle name="Comma 14 2 2 5 3 3" xfId="35888"/>
    <cellStyle name="Comma 14 2 2 5 3 3 2" xfId="35889"/>
    <cellStyle name="Comma 14 2 2 5 3 3 3" xfId="35890"/>
    <cellStyle name="Comma 14 2 2 5 3 4" xfId="35891"/>
    <cellStyle name="Comma 14 2 2 5 3 4 2" xfId="35892"/>
    <cellStyle name="Comma 14 2 2 5 3 5" xfId="35893"/>
    <cellStyle name="Comma 14 2 2 5 3 6" xfId="35894"/>
    <cellStyle name="Comma 14 2 2 5 4" xfId="35895"/>
    <cellStyle name="Comma 14 2 2 5 4 2" xfId="35896"/>
    <cellStyle name="Comma 14 2 2 5 4 2 2" xfId="35897"/>
    <cellStyle name="Comma 14 2 2 5 4 2 3" xfId="35898"/>
    <cellStyle name="Comma 14 2 2 5 4 3" xfId="35899"/>
    <cellStyle name="Comma 14 2 2 5 4 3 2" xfId="35900"/>
    <cellStyle name="Comma 14 2 2 5 4 4" xfId="35901"/>
    <cellStyle name="Comma 14 2 2 5 4 5" xfId="35902"/>
    <cellStyle name="Comma 14 2 2 5 5" xfId="35903"/>
    <cellStyle name="Comma 14 2 2 5 5 2" xfId="35904"/>
    <cellStyle name="Comma 14 2 2 5 5 3" xfId="35905"/>
    <cellStyle name="Comma 14 2 2 5 6" xfId="35906"/>
    <cellStyle name="Comma 14 2 2 5 6 2" xfId="35907"/>
    <cellStyle name="Comma 14 2 2 5 6 3" xfId="35908"/>
    <cellStyle name="Comma 14 2 2 5 7" xfId="35909"/>
    <cellStyle name="Comma 14 2 2 5 7 2" xfId="35910"/>
    <cellStyle name="Comma 14 2 2 5 8" xfId="35911"/>
    <cellStyle name="Comma 14 2 2 5 9" xfId="35912"/>
    <cellStyle name="Comma 14 2 2 6" xfId="35913"/>
    <cellStyle name="Comma 14 2 2 6 2" xfId="35914"/>
    <cellStyle name="Comma 14 2 2 6 2 2" xfId="35915"/>
    <cellStyle name="Comma 14 2 2 6 2 3" xfId="35916"/>
    <cellStyle name="Comma 14 2 2 6 3" xfId="35917"/>
    <cellStyle name="Comma 14 2 2 6 3 2" xfId="35918"/>
    <cellStyle name="Comma 14 2 2 6 3 3" xfId="35919"/>
    <cellStyle name="Comma 14 2 2 6 4" xfId="35920"/>
    <cellStyle name="Comma 14 2 2 6 4 2" xfId="35921"/>
    <cellStyle name="Comma 14 2 2 6 5" xfId="35922"/>
    <cellStyle name="Comma 14 2 2 6 6" xfId="35923"/>
    <cellStyle name="Comma 14 2 2 7" xfId="35924"/>
    <cellStyle name="Comma 14 2 2 7 2" xfId="35925"/>
    <cellStyle name="Comma 14 2 2 7 2 2" xfId="35926"/>
    <cellStyle name="Comma 14 2 2 7 2 3" xfId="35927"/>
    <cellStyle name="Comma 14 2 2 7 3" xfId="35928"/>
    <cellStyle name="Comma 14 2 2 7 3 2" xfId="35929"/>
    <cellStyle name="Comma 14 2 2 7 3 3" xfId="35930"/>
    <cellStyle name="Comma 14 2 2 7 4" xfId="35931"/>
    <cellStyle name="Comma 14 2 2 7 4 2" xfId="35932"/>
    <cellStyle name="Comma 14 2 2 7 5" xfId="35933"/>
    <cellStyle name="Comma 14 2 2 7 6" xfId="35934"/>
    <cellStyle name="Comma 14 2 2 8" xfId="35935"/>
    <cellStyle name="Comma 14 2 2 8 2" xfId="35936"/>
    <cellStyle name="Comma 14 2 2 8 2 2" xfId="35937"/>
    <cellStyle name="Comma 14 2 2 8 2 3" xfId="35938"/>
    <cellStyle name="Comma 14 2 2 8 3" xfId="35939"/>
    <cellStyle name="Comma 14 2 2 8 3 2" xfId="35940"/>
    <cellStyle name="Comma 14 2 2 8 4" xfId="35941"/>
    <cellStyle name="Comma 14 2 2 8 5" xfId="35942"/>
    <cellStyle name="Comma 14 2 2 9" xfId="35943"/>
    <cellStyle name="Comma 14 2 2 9 2" xfId="35944"/>
    <cellStyle name="Comma 14 2 2 9 3" xfId="35945"/>
    <cellStyle name="Comma 14 2 3" xfId="35946"/>
    <cellStyle name="Comma 14 2 3 10" xfId="35947"/>
    <cellStyle name="Comma 14 2 3 10 2" xfId="35948"/>
    <cellStyle name="Comma 14 2 3 11" xfId="35949"/>
    <cellStyle name="Comma 14 2 3 12" xfId="35950"/>
    <cellStyle name="Comma 14 2 3 2" xfId="35951"/>
    <cellStyle name="Comma 14 2 3 2 10" xfId="35952"/>
    <cellStyle name="Comma 14 2 3 2 2" xfId="35953"/>
    <cellStyle name="Comma 14 2 3 2 2 2" xfId="35954"/>
    <cellStyle name="Comma 14 2 3 2 2 2 2" xfId="35955"/>
    <cellStyle name="Comma 14 2 3 2 2 2 2 2" xfId="35956"/>
    <cellStyle name="Comma 14 2 3 2 2 2 2 3" xfId="35957"/>
    <cellStyle name="Comma 14 2 3 2 2 2 3" xfId="35958"/>
    <cellStyle name="Comma 14 2 3 2 2 2 3 2" xfId="35959"/>
    <cellStyle name="Comma 14 2 3 2 2 2 3 3" xfId="35960"/>
    <cellStyle name="Comma 14 2 3 2 2 2 4" xfId="35961"/>
    <cellStyle name="Comma 14 2 3 2 2 2 4 2" xfId="35962"/>
    <cellStyle name="Comma 14 2 3 2 2 2 5" xfId="35963"/>
    <cellStyle name="Comma 14 2 3 2 2 2 6" xfId="35964"/>
    <cellStyle name="Comma 14 2 3 2 2 3" xfId="35965"/>
    <cellStyle name="Comma 14 2 3 2 2 3 2" xfId="35966"/>
    <cellStyle name="Comma 14 2 3 2 2 3 2 2" xfId="35967"/>
    <cellStyle name="Comma 14 2 3 2 2 3 2 3" xfId="35968"/>
    <cellStyle name="Comma 14 2 3 2 2 3 3" xfId="35969"/>
    <cellStyle name="Comma 14 2 3 2 2 3 3 2" xfId="35970"/>
    <cellStyle name="Comma 14 2 3 2 2 3 3 3" xfId="35971"/>
    <cellStyle name="Comma 14 2 3 2 2 3 4" xfId="35972"/>
    <cellStyle name="Comma 14 2 3 2 2 3 4 2" xfId="35973"/>
    <cellStyle name="Comma 14 2 3 2 2 3 5" xfId="35974"/>
    <cellStyle name="Comma 14 2 3 2 2 3 6" xfId="35975"/>
    <cellStyle name="Comma 14 2 3 2 2 4" xfId="35976"/>
    <cellStyle name="Comma 14 2 3 2 2 4 2" xfId="35977"/>
    <cellStyle name="Comma 14 2 3 2 2 4 2 2" xfId="35978"/>
    <cellStyle name="Comma 14 2 3 2 2 4 2 3" xfId="35979"/>
    <cellStyle name="Comma 14 2 3 2 2 4 3" xfId="35980"/>
    <cellStyle name="Comma 14 2 3 2 2 4 3 2" xfId="35981"/>
    <cellStyle name="Comma 14 2 3 2 2 4 4" xfId="35982"/>
    <cellStyle name="Comma 14 2 3 2 2 4 5" xfId="35983"/>
    <cellStyle name="Comma 14 2 3 2 2 5" xfId="35984"/>
    <cellStyle name="Comma 14 2 3 2 2 5 2" xfId="35985"/>
    <cellStyle name="Comma 14 2 3 2 2 5 3" xfId="35986"/>
    <cellStyle name="Comma 14 2 3 2 2 6" xfId="35987"/>
    <cellStyle name="Comma 14 2 3 2 2 6 2" xfId="35988"/>
    <cellStyle name="Comma 14 2 3 2 2 6 3" xfId="35989"/>
    <cellStyle name="Comma 14 2 3 2 2 7" xfId="35990"/>
    <cellStyle name="Comma 14 2 3 2 2 7 2" xfId="35991"/>
    <cellStyle name="Comma 14 2 3 2 2 8" xfId="35992"/>
    <cellStyle name="Comma 14 2 3 2 2 9" xfId="35993"/>
    <cellStyle name="Comma 14 2 3 2 3" xfId="35994"/>
    <cellStyle name="Comma 14 2 3 2 3 2" xfId="35995"/>
    <cellStyle name="Comma 14 2 3 2 3 2 2" xfId="35996"/>
    <cellStyle name="Comma 14 2 3 2 3 2 3" xfId="35997"/>
    <cellStyle name="Comma 14 2 3 2 3 3" xfId="35998"/>
    <cellStyle name="Comma 14 2 3 2 3 3 2" xfId="35999"/>
    <cellStyle name="Comma 14 2 3 2 3 3 3" xfId="36000"/>
    <cellStyle name="Comma 14 2 3 2 3 4" xfId="36001"/>
    <cellStyle name="Comma 14 2 3 2 3 4 2" xfId="36002"/>
    <cellStyle name="Comma 14 2 3 2 3 5" xfId="36003"/>
    <cellStyle name="Comma 14 2 3 2 3 6" xfId="36004"/>
    <cellStyle name="Comma 14 2 3 2 4" xfId="36005"/>
    <cellStyle name="Comma 14 2 3 2 4 2" xfId="36006"/>
    <cellStyle name="Comma 14 2 3 2 4 2 2" xfId="36007"/>
    <cellStyle name="Comma 14 2 3 2 4 2 3" xfId="36008"/>
    <cellStyle name="Comma 14 2 3 2 4 3" xfId="36009"/>
    <cellStyle name="Comma 14 2 3 2 4 3 2" xfId="36010"/>
    <cellStyle name="Comma 14 2 3 2 4 3 3" xfId="36011"/>
    <cellStyle name="Comma 14 2 3 2 4 4" xfId="36012"/>
    <cellStyle name="Comma 14 2 3 2 4 4 2" xfId="36013"/>
    <cellStyle name="Comma 14 2 3 2 4 5" xfId="36014"/>
    <cellStyle name="Comma 14 2 3 2 4 6" xfId="36015"/>
    <cellStyle name="Comma 14 2 3 2 5" xfId="36016"/>
    <cellStyle name="Comma 14 2 3 2 5 2" xfId="36017"/>
    <cellStyle name="Comma 14 2 3 2 5 2 2" xfId="36018"/>
    <cellStyle name="Comma 14 2 3 2 5 2 3" xfId="36019"/>
    <cellStyle name="Comma 14 2 3 2 5 3" xfId="36020"/>
    <cellStyle name="Comma 14 2 3 2 5 3 2" xfId="36021"/>
    <cellStyle name="Comma 14 2 3 2 5 4" xfId="36022"/>
    <cellStyle name="Comma 14 2 3 2 5 5" xfId="36023"/>
    <cellStyle name="Comma 14 2 3 2 6" xfId="36024"/>
    <cellStyle name="Comma 14 2 3 2 6 2" xfId="36025"/>
    <cellStyle name="Comma 14 2 3 2 6 3" xfId="36026"/>
    <cellStyle name="Comma 14 2 3 2 7" xfId="36027"/>
    <cellStyle name="Comma 14 2 3 2 7 2" xfId="36028"/>
    <cellStyle name="Comma 14 2 3 2 7 3" xfId="36029"/>
    <cellStyle name="Comma 14 2 3 2 8" xfId="36030"/>
    <cellStyle name="Comma 14 2 3 2 8 2" xfId="36031"/>
    <cellStyle name="Comma 14 2 3 2 9" xfId="36032"/>
    <cellStyle name="Comma 14 2 3 3" xfId="36033"/>
    <cellStyle name="Comma 14 2 3 3 2" xfId="36034"/>
    <cellStyle name="Comma 14 2 3 3 2 2" xfId="36035"/>
    <cellStyle name="Comma 14 2 3 3 2 2 2" xfId="36036"/>
    <cellStyle name="Comma 14 2 3 3 2 2 3" xfId="36037"/>
    <cellStyle name="Comma 14 2 3 3 2 3" xfId="36038"/>
    <cellStyle name="Comma 14 2 3 3 2 3 2" xfId="36039"/>
    <cellStyle name="Comma 14 2 3 3 2 3 3" xfId="36040"/>
    <cellStyle name="Comma 14 2 3 3 2 4" xfId="36041"/>
    <cellStyle name="Comma 14 2 3 3 2 4 2" xfId="36042"/>
    <cellStyle name="Comma 14 2 3 3 2 5" xfId="36043"/>
    <cellStyle name="Comma 14 2 3 3 2 6" xfId="36044"/>
    <cellStyle name="Comma 14 2 3 3 3" xfId="36045"/>
    <cellStyle name="Comma 14 2 3 3 3 2" xfId="36046"/>
    <cellStyle name="Comma 14 2 3 3 3 2 2" xfId="36047"/>
    <cellStyle name="Comma 14 2 3 3 3 2 3" xfId="36048"/>
    <cellStyle name="Comma 14 2 3 3 3 3" xfId="36049"/>
    <cellStyle name="Comma 14 2 3 3 3 3 2" xfId="36050"/>
    <cellStyle name="Comma 14 2 3 3 3 3 3" xfId="36051"/>
    <cellStyle name="Comma 14 2 3 3 3 4" xfId="36052"/>
    <cellStyle name="Comma 14 2 3 3 3 4 2" xfId="36053"/>
    <cellStyle name="Comma 14 2 3 3 3 5" xfId="36054"/>
    <cellStyle name="Comma 14 2 3 3 3 6" xfId="36055"/>
    <cellStyle name="Comma 14 2 3 3 4" xfId="36056"/>
    <cellStyle name="Comma 14 2 3 3 4 2" xfId="36057"/>
    <cellStyle name="Comma 14 2 3 3 4 2 2" xfId="36058"/>
    <cellStyle name="Comma 14 2 3 3 4 2 3" xfId="36059"/>
    <cellStyle name="Comma 14 2 3 3 4 3" xfId="36060"/>
    <cellStyle name="Comma 14 2 3 3 4 3 2" xfId="36061"/>
    <cellStyle name="Comma 14 2 3 3 4 4" xfId="36062"/>
    <cellStyle name="Comma 14 2 3 3 4 5" xfId="36063"/>
    <cellStyle name="Comma 14 2 3 3 5" xfId="36064"/>
    <cellStyle name="Comma 14 2 3 3 5 2" xfId="36065"/>
    <cellStyle name="Comma 14 2 3 3 5 3" xfId="36066"/>
    <cellStyle name="Comma 14 2 3 3 6" xfId="36067"/>
    <cellStyle name="Comma 14 2 3 3 6 2" xfId="36068"/>
    <cellStyle name="Comma 14 2 3 3 6 3" xfId="36069"/>
    <cellStyle name="Comma 14 2 3 3 7" xfId="36070"/>
    <cellStyle name="Comma 14 2 3 3 7 2" xfId="36071"/>
    <cellStyle name="Comma 14 2 3 3 8" xfId="36072"/>
    <cellStyle name="Comma 14 2 3 3 9" xfId="36073"/>
    <cellStyle name="Comma 14 2 3 4" xfId="36074"/>
    <cellStyle name="Comma 14 2 3 4 2" xfId="36075"/>
    <cellStyle name="Comma 14 2 3 4 2 2" xfId="36076"/>
    <cellStyle name="Comma 14 2 3 4 2 2 2" xfId="36077"/>
    <cellStyle name="Comma 14 2 3 4 2 2 3" xfId="36078"/>
    <cellStyle name="Comma 14 2 3 4 2 3" xfId="36079"/>
    <cellStyle name="Comma 14 2 3 4 2 3 2" xfId="36080"/>
    <cellStyle name="Comma 14 2 3 4 2 3 3" xfId="36081"/>
    <cellStyle name="Comma 14 2 3 4 2 4" xfId="36082"/>
    <cellStyle name="Comma 14 2 3 4 2 4 2" xfId="36083"/>
    <cellStyle name="Comma 14 2 3 4 2 5" xfId="36084"/>
    <cellStyle name="Comma 14 2 3 4 2 6" xfId="36085"/>
    <cellStyle name="Comma 14 2 3 4 3" xfId="36086"/>
    <cellStyle name="Comma 14 2 3 4 3 2" xfId="36087"/>
    <cellStyle name="Comma 14 2 3 4 3 2 2" xfId="36088"/>
    <cellStyle name="Comma 14 2 3 4 3 2 3" xfId="36089"/>
    <cellStyle name="Comma 14 2 3 4 3 3" xfId="36090"/>
    <cellStyle name="Comma 14 2 3 4 3 3 2" xfId="36091"/>
    <cellStyle name="Comma 14 2 3 4 3 3 3" xfId="36092"/>
    <cellStyle name="Comma 14 2 3 4 3 4" xfId="36093"/>
    <cellStyle name="Comma 14 2 3 4 3 4 2" xfId="36094"/>
    <cellStyle name="Comma 14 2 3 4 3 5" xfId="36095"/>
    <cellStyle name="Comma 14 2 3 4 3 6" xfId="36096"/>
    <cellStyle name="Comma 14 2 3 4 4" xfId="36097"/>
    <cellStyle name="Comma 14 2 3 4 4 2" xfId="36098"/>
    <cellStyle name="Comma 14 2 3 4 4 2 2" xfId="36099"/>
    <cellStyle name="Comma 14 2 3 4 4 2 3" xfId="36100"/>
    <cellStyle name="Comma 14 2 3 4 4 3" xfId="36101"/>
    <cellStyle name="Comma 14 2 3 4 4 3 2" xfId="36102"/>
    <cellStyle name="Comma 14 2 3 4 4 4" xfId="36103"/>
    <cellStyle name="Comma 14 2 3 4 4 5" xfId="36104"/>
    <cellStyle name="Comma 14 2 3 4 5" xfId="36105"/>
    <cellStyle name="Comma 14 2 3 4 5 2" xfId="36106"/>
    <cellStyle name="Comma 14 2 3 4 5 3" xfId="36107"/>
    <cellStyle name="Comma 14 2 3 4 6" xfId="36108"/>
    <cellStyle name="Comma 14 2 3 4 6 2" xfId="36109"/>
    <cellStyle name="Comma 14 2 3 4 6 3" xfId="36110"/>
    <cellStyle name="Comma 14 2 3 4 7" xfId="36111"/>
    <cellStyle name="Comma 14 2 3 4 7 2" xfId="36112"/>
    <cellStyle name="Comma 14 2 3 4 8" xfId="36113"/>
    <cellStyle name="Comma 14 2 3 4 9" xfId="36114"/>
    <cellStyle name="Comma 14 2 3 5" xfId="36115"/>
    <cellStyle name="Comma 14 2 3 5 2" xfId="36116"/>
    <cellStyle name="Comma 14 2 3 5 2 2" xfId="36117"/>
    <cellStyle name="Comma 14 2 3 5 2 3" xfId="36118"/>
    <cellStyle name="Comma 14 2 3 5 3" xfId="36119"/>
    <cellStyle name="Comma 14 2 3 5 3 2" xfId="36120"/>
    <cellStyle name="Comma 14 2 3 5 3 3" xfId="36121"/>
    <cellStyle name="Comma 14 2 3 5 4" xfId="36122"/>
    <cellStyle name="Comma 14 2 3 5 4 2" xfId="36123"/>
    <cellStyle name="Comma 14 2 3 5 5" xfId="36124"/>
    <cellStyle name="Comma 14 2 3 5 6" xfId="36125"/>
    <cellStyle name="Comma 14 2 3 6" xfId="36126"/>
    <cellStyle name="Comma 14 2 3 6 2" xfId="36127"/>
    <cellStyle name="Comma 14 2 3 6 2 2" xfId="36128"/>
    <cellStyle name="Comma 14 2 3 6 2 3" xfId="36129"/>
    <cellStyle name="Comma 14 2 3 6 3" xfId="36130"/>
    <cellStyle name="Comma 14 2 3 6 3 2" xfId="36131"/>
    <cellStyle name="Comma 14 2 3 6 3 3" xfId="36132"/>
    <cellStyle name="Comma 14 2 3 6 4" xfId="36133"/>
    <cellStyle name="Comma 14 2 3 6 4 2" xfId="36134"/>
    <cellStyle name="Comma 14 2 3 6 5" xfId="36135"/>
    <cellStyle name="Comma 14 2 3 6 6" xfId="36136"/>
    <cellStyle name="Comma 14 2 3 7" xfId="36137"/>
    <cellStyle name="Comma 14 2 3 7 2" xfId="36138"/>
    <cellStyle name="Comma 14 2 3 7 2 2" xfId="36139"/>
    <cellStyle name="Comma 14 2 3 7 2 3" xfId="36140"/>
    <cellStyle name="Comma 14 2 3 7 3" xfId="36141"/>
    <cellStyle name="Comma 14 2 3 7 3 2" xfId="36142"/>
    <cellStyle name="Comma 14 2 3 7 4" xfId="36143"/>
    <cellStyle name="Comma 14 2 3 7 5" xfId="36144"/>
    <cellStyle name="Comma 14 2 3 8" xfId="36145"/>
    <cellStyle name="Comma 14 2 3 8 2" xfId="36146"/>
    <cellStyle name="Comma 14 2 3 8 3" xfId="36147"/>
    <cellStyle name="Comma 14 2 3 9" xfId="36148"/>
    <cellStyle name="Comma 14 2 3 9 2" xfId="36149"/>
    <cellStyle name="Comma 14 2 3 9 3" xfId="36150"/>
    <cellStyle name="Comma 14 2 4" xfId="36151"/>
    <cellStyle name="Comma 14 2 4 10" xfId="36152"/>
    <cellStyle name="Comma 14 2 4 2" xfId="36153"/>
    <cellStyle name="Comma 14 2 4 2 2" xfId="36154"/>
    <cellStyle name="Comma 14 2 4 2 2 2" xfId="36155"/>
    <cellStyle name="Comma 14 2 4 2 2 2 2" xfId="36156"/>
    <cellStyle name="Comma 14 2 4 2 2 2 3" xfId="36157"/>
    <cellStyle name="Comma 14 2 4 2 2 3" xfId="36158"/>
    <cellStyle name="Comma 14 2 4 2 2 3 2" xfId="36159"/>
    <cellStyle name="Comma 14 2 4 2 2 3 3" xfId="36160"/>
    <cellStyle name="Comma 14 2 4 2 2 4" xfId="36161"/>
    <cellStyle name="Comma 14 2 4 2 2 4 2" xfId="36162"/>
    <cellStyle name="Comma 14 2 4 2 2 5" xfId="36163"/>
    <cellStyle name="Comma 14 2 4 2 2 6" xfId="36164"/>
    <cellStyle name="Comma 14 2 4 2 3" xfId="36165"/>
    <cellStyle name="Comma 14 2 4 2 3 2" xfId="36166"/>
    <cellStyle name="Comma 14 2 4 2 3 2 2" xfId="36167"/>
    <cellStyle name="Comma 14 2 4 2 3 2 3" xfId="36168"/>
    <cellStyle name="Comma 14 2 4 2 3 3" xfId="36169"/>
    <cellStyle name="Comma 14 2 4 2 3 3 2" xfId="36170"/>
    <cellStyle name="Comma 14 2 4 2 3 3 3" xfId="36171"/>
    <cellStyle name="Comma 14 2 4 2 3 4" xfId="36172"/>
    <cellStyle name="Comma 14 2 4 2 3 4 2" xfId="36173"/>
    <cellStyle name="Comma 14 2 4 2 3 5" xfId="36174"/>
    <cellStyle name="Comma 14 2 4 2 3 6" xfId="36175"/>
    <cellStyle name="Comma 14 2 4 2 4" xfId="36176"/>
    <cellStyle name="Comma 14 2 4 2 4 2" xfId="36177"/>
    <cellStyle name="Comma 14 2 4 2 4 2 2" xfId="36178"/>
    <cellStyle name="Comma 14 2 4 2 4 2 3" xfId="36179"/>
    <cellStyle name="Comma 14 2 4 2 4 3" xfId="36180"/>
    <cellStyle name="Comma 14 2 4 2 4 3 2" xfId="36181"/>
    <cellStyle name="Comma 14 2 4 2 4 4" xfId="36182"/>
    <cellStyle name="Comma 14 2 4 2 4 5" xfId="36183"/>
    <cellStyle name="Comma 14 2 4 2 5" xfId="36184"/>
    <cellStyle name="Comma 14 2 4 2 5 2" xfId="36185"/>
    <cellStyle name="Comma 14 2 4 2 5 3" xfId="36186"/>
    <cellStyle name="Comma 14 2 4 2 6" xfId="36187"/>
    <cellStyle name="Comma 14 2 4 2 6 2" xfId="36188"/>
    <cellStyle name="Comma 14 2 4 2 6 3" xfId="36189"/>
    <cellStyle name="Comma 14 2 4 2 7" xfId="36190"/>
    <cellStyle name="Comma 14 2 4 2 7 2" xfId="36191"/>
    <cellStyle name="Comma 14 2 4 2 8" xfId="36192"/>
    <cellStyle name="Comma 14 2 4 2 9" xfId="36193"/>
    <cellStyle name="Comma 14 2 4 3" xfId="36194"/>
    <cellStyle name="Comma 14 2 4 3 2" xfId="36195"/>
    <cellStyle name="Comma 14 2 4 3 2 2" xfId="36196"/>
    <cellStyle name="Comma 14 2 4 3 2 3" xfId="36197"/>
    <cellStyle name="Comma 14 2 4 3 3" xfId="36198"/>
    <cellStyle name="Comma 14 2 4 3 3 2" xfId="36199"/>
    <cellStyle name="Comma 14 2 4 3 3 3" xfId="36200"/>
    <cellStyle name="Comma 14 2 4 3 4" xfId="36201"/>
    <cellStyle name="Comma 14 2 4 3 4 2" xfId="36202"/>
    <cellStyle name="Comma 14 2 4 3 5" xfId="36203"/>
    <cellStyle name="Comma 14 2 4 3 6" xfId="36204"/>
    <cellStyle name="Comma 14 2 4 4" xfId="36205"/>
    <cellStyle name="Comma 14 2 4 4 2" xfId="36206"/>
    <cellStyle name="Comma 14 2 4 4 2 2" xfId="36207"/>
    <cellStyle name="Comma 14 2 4 4 2 3" xfId="36208"/>
    <cellStyle name="Comma 14 2 4 4 3" xfId="36209"/>
    <cellStyle name="Comma 14 2 4 4 3 2" xfId="36210"/>
    <cellStyle name="Comma 14 2 4 4 3 3" xfId="36211"/>
    <cellStyle name="Comma 14 2 4 4 4" xfId="36212"/>
    <cellStyle name="Comma 14 2 4 4 4 2" xfId="36213"/>
    <cellStyle name="Comma 14 2 4 4 5" xfId="36214"/>
    <cellStyle name="Comma 14 2 4 4 6" xfId="36215"/>
    <cellStyle name="Comma 14 2 4 5" xfId="36216"/>
    <cellStyle name="Comma 14 2 4 5 2" xfId="36217"/>
    <cellStyle name="Comma 14 2 4 5 2 2" xfId="36218"/>
    <cellStyle name="Comma 14 2 4 5 2 3" xfId="36219"/>
    <cellStyle name="Comma 14 2 4 5 3" xfId="36220"/>
    <cellStyle name="Comma 14 2 4 5 3 2" xfId="36221"/>
    <cellStyle name="Comma 14 2 4 5 4" xfId="36222"/>
    <cellStyle name="Comma 14 2 4 5 5" xfId="36223"/>
    <cellStyle name="Comma 14 2 4 6" xfId="36224"/>
    <cellStyle name="Comma 14 2 4 6 2" xfId="36225"/>
    <cellStyle name="Comma 14 2 4 6 3" xfId="36226"/>
    <cellStyle name="Comma 14 2 4 7" xfId="36227"/>
    <cellStyle name="Comma 14 2 4 7 2" xfId="36228"/>
    <cellStyle name="Comma 14 2 4 7 3" xfId="36229"/>
    <cellStyle name="Comma 14 2 4 8" xfId="36230"/>
    <cellStyle name="Comma 14 2 4 8 2" xfId="36231"/>
    <cellStyle name="Comma 14 2 4 9" xfId="36232"/>
    <cellStyle name="Comma 14 2 5" xfId="36233"/>
    <cellStyle name="Comma 14 2 5 2" xfId="36234"/>
    <cellStyle name="Comma 14 2 5 2 2" xfId="36235"/>
    <cellStyle name="Comma 14 2 5 2 2 2" xfId="36236"/>
    <cellStyle name="Comma 14 2 5 2 2 3" xfId="36237"/>
    <cellStyle name="Comma 14 2 5 2 3" xfId="36238"/>
    <cellStyle name="Comma 14 2 5 2 3 2" xfId="36239"/>
    <cellStyle name="Comma 14 2 5 2 3 3" xfId="36240"/>
    <cellStyle name="Comma 14 2 5 2 4" xfId="36241"/>
    <cellStyle name="Comma 14 2 5 2 4 2" xfId="36242"/>
    <cellStyle name="Comma 14 2 5 2 5" xfId="36243"/>
    <cellStyle name="Comma 14 2 5 2 6" xfId="36244"/>
    <cellStyle name="Comma 14 2 5 3" xfId="36245"/>
    <cellStyle name="Comma 14 2 5 3 2" xfId="36246"/>
    <cellStyle name="Comma 14 2 5 3 2 2" xfId="36247"/>
    <cellStyle name="Comma 14 2 5 3 2 3" xfId="36248"/>
    <cellStyle name="Comma 14 2 5 3 3" xfId="36249"/>
    <cellStyle name="Comma 14 2 5 3 3 2" xfId="36250"/>
    <cellStyle name="Comma 14 2 5 3 3 3" xfId="36251"/>
    <cellStyle name="Comma 14 2 5 3 4" xfId="36252"/>
    <cellStyle name="Comma 14 2 5 3 4 2" xfId="36253"/>
    <cellStyle name="Comma 14 2 5 3 5" xfId="36254"/>
    <cellStyle name="Comma 14 2 5 3 6" xfId="36255"/>
    <cellStyle name="Comma 14 2 5 4" xfId="36256"/>
    <cellStyle name="Comma 14 2 5 4 2" xfId="36257"/>
    <cellStyle name="Comma 14 2 5 4 2 2" xfId="36258"/>
    <cellStyle name="Comma 14 2 5 4 2 3" xfId="36259"/>
    <cellStyle name="Comma 14 2 5 4 3" xfId="36260"/>
    <cellStyle name="Comma 14 2 5 4 3 2" xfId="36261"/>
    <cellStyle name="Comma 14 2 5 4 4" xfId="36262"/>
    <cellStyle name="Comma 14 2 5 4 5" xfId="36263"/>
    <cellStyle name="Comma 14 2 5 5" xfId="36264"/>
    <cellStyle name="Comma 14 2 5 5 2" xfId="36265"/>
    <cellStyle name="Comma 14 2 5 5 3" xfId="36266"/>
    <cellStyle name="Comma 14 2 5 6" xfId="36267"/>
    <cellStyle name="Comma 14 2 5 6 2" xfId="36268"/>
    <cellStyle name="Comma 14 2 5 6 3" xfId="36269"/>
    <cellStyle name="Comma 14 2 5 7" xfId="36270"/>
    <cellStyle name="Comma 14 2 5 7 2" xfId="36271"/>
    <cellStyle name="Comma 14 2 5 8" xfId="36272"/>
    <cellStyle name="Comma 14 2 5 9" xfId="36273"/>
    <cellStyle name="Comma 14 2 6" xfId="36274"/>
    <cellStyle name="Comma 14 2 6 2" xfId="36275"/>
    <cellStyle name="Comma 14 2 6 2 2" xfId="36276"/>
    <cellStyle name="Comma 14 2 6 2 2 2" xfId="36277"/>
    <cellStyle name="Comma 14 2 6 2 2 3" xfId="36278"/>
    <cellStyle name="Comma 14 2 6 2 3" xfId="36279"/>
    <cellStyle name="Comma 14 2 6 2 3 2" xfId="36280"/>
    <cellStyle name="Comma 14 2 6 2 3 3" xfId="36281"/>
    <cellStyle name="Comma 14 2 6 2 4" xfId="36282"/>
    <cellStyle name="Comma 14 2 6 2 4 2" xfId="36283"/>
    <cellStyle name="Comma 14 2 6 2 5" xfId="36284"/>
    <cellStyle name="Comma 14 2 6 2 6" xfId="36285"/>
    <cellStyle name="Comma 14 2 6 3" xfId="36286"/>
    <cellStyle name="Comma 14 2 6 3 2" xfId="36287"/>
    <cellStyle name="Comma 14 2 6 3 2 2" xfId="36288"/>
    <cellStyle name="Comma 14 2 6 3 2 3" xfId="36289"/>
    <cellStyle name="Comma 14 2 6 3 3" xfId="36290"/>
    <cellStyle name="Comma 14 2 6 3 3 2" xfId="36291"/>
    <cellStyle name="Comma 14 2 6 3 3 3" xfId="36292"/>
    <cellStyle name="Comma 14 2 6 3 4" xfId="36293"/>
    <cellStyle name="Comma 14 2 6 3 4 2" xfId="36294"/>
    <cellStyle name="Comma 14 2 6 3 5" xfId="36295"/>
    <cellStyle name="Comma 14 2 6 3 6" xfId="36296"/>
    <cellStyle name="Comma 14 2 6 4" xfId="36297"/>
    <cellStyle name="Comma 14 2 6 4 2" xfId="36298"/>
    <cellStyle name="Comma 14 2 6 4 2 2" xfId="36299"/>
    <cellStyle name="Comma 14 2 6 4 2 3" xfId="36300"/>
    <cellStyle name="Comma 14 2 6 4 3" xfId="36301"/>
    <cellStyle name="Comma 14 2 6 4 3 2" xfId="36302"/>
    <cellStyle name="Comma 14 2 6 4 4" xfId="36303"/>
    <cellStyle name="Comma 14 2 6 4 5" xfId="36304"/>
    <cellStyle name="Comma 14 2 6 5" xfId="36305"/>
    <cellStyle name="Comma 14 2 6 5 2" xfId="36306"/>
    <cellStyle name="Comma 14 2 6 5 3" xfId="36307"/>
    <cellStyle name="Comma 14 2 6 6" xfId="36308"/>
    <cellStyle name="Comma 14 2 6 6 2" xfId="36309"/>
    <cellStyle name="Comma 14 2 6 6 3" xfId="36310"/>
    <cellStyle name="Comma 14 2 6 7" xfId="36311"/>
    <cellStyle name="Comma 14 2 6 7 2" xfId="36312"/>
    <cellStyle name="Comma 14 2 6 8" xfId="36313"/>
    <cellStyle name="Comma 14 2 6 9" xfId="36314"/>
    <cellStyle name="Comma 14 2 7" xfId="36315"/>
    <cellStyle name="Comma 14 2 7 2" xfId="36316"/>
    <cellStyle name="Comma 14 2 7 2 2" xfId="36317"/>
    <cellStyle name="Comma 14 2 7 2 3" xfId="36318"/>
    <cellStyle name="Comma 14 2 7 3" xfId="36319"/>
    <cellStyle name="Comma 14 2 7 3 2" xfId="36320"/>
    <cellStyle name="Comma 14 2 7 3 3" xfId="36321"/>
    <cellStyle name="Comma 14 2 7 4" xfId="36322"/>
    <cellStyle name="Comma 14 2 7 4 2" xfId="36323"/>
    <cellStyle name="Comma 14 2 7 5" xfId="36324"/>
    <cellStyle name="Comma 14 2 7 6" xfId="36325"/>
    <cellStyle name="Comma 14 2 8" xfId="36326"/>
    <cellStyle name="Comma 14 2 8 2" xfId="36327"/>
    <cellStyle name="Comma 14 2 8 2 2" xfId="36328"/>
    <cellStyle name="Comma 14 2 8 2 3" xfId="36329"/>
    <cellStyle name="Comma 14 2 8 3" xfId="36330"/>
    <cellStyle name="Comma 14 2 8 3 2" xfId="36331"/>
    <cellStyle name="Comma 14 2 8 3 3" xfId="36332"/>
    <cellStyle name="Comma 14 2 8 4" xfId="36333"/>
    <cellStyle name="Comma 14 2 8 4 2" xfId="36334"/>
    <cellStyle name="Comma 14 2 8 5" xfId="36335"/>
    <cellStyle name="Comma 14 2 8 6" xfId="36336"/>
    <cellStyle name="Comma 14 2 9" xfId="36337"/>
    <cellStyle name="Comma 14 2 9 2" xfId="36338"/>
    <cellStyle name="Comma 14 2 9 2 2" xfId="36339"/>
    <cellStyle name="Comma 14 2 9 2 3" xfId="36340"/>
    <cellStyle name="Comma 14 2 9 3" xfId="36341"/>
    <cellStyle name="Comma 14 2 9 3 2" xfId="36342"/>
    <cellStyle name="Comma 14 2 9 4" xfId="36343"/>
    <cellStyle name="Comma 14 2 9 5" xfId="36344"/>
    <cellStyle name="Comma 14 3" xfId="36345"/>
    <cellStyle name="Comma 14 3 10" xfId="36346"/>
    <cellStyle name="Comma 14 3 10 2" xfId="36347"/>
    <cellStyle name="Comma 14 3 10 3" xfId="36348"/>
    <cellStyle name="Comma 14 3 11" xfId="36349"/>
    <cellStyle name="Comma 14 3 11 2" xfId="36350"/>
    <cellStyle name="Comma 14 3 12" xfId="36351"/>
    <cellStyle name="Comma 14 3 13" xfId="36352"/>
    <cellStyle name="Comma 14 3 2" xfId="36353"/>
    <cellStyle name="Comma 14 3 2 10" xfId="36354"/>
    <cellStyle name="Comma 14 3 2 10 2" xfId="36355"/>
    <cellStyle name="Comma 14 3 2 11" xfId="36356"/>
    <cellStyle name="Comma 14 3 2 12" xfId="36357"/>
    <cellStyle name="Comma 14 3 2 2" xfId="36358"/>
    <cellStyle name="Comma 14 3 2 2 10" xfId="36359"/>
    <cellStyle name="Comma 14 3 2 2 2" xfId="36360"/>
    <cellStyle name="Comma 14 3 2 2 2 2" xfId="36361"/>
    <cellStyle name="Comma 14 3 2 2 2 2 2" xfId="36362"/>
    <cellStyle name="Comma 14 3 2 2 2 2 2 2" xfId="36363"/>
    <cellStyle name="Comma 14 3 2 2 2 2 2 3" xfId="36364"/>
    <cellStyle name="Comma 14 3 2 2 2 2 3" xfId="36365"/>
    <cellStyle name="Comma 14 3 2 2 2 2 3 2" xfId="36366"/>
    <cellStyle name="Comma 14 3 2 2 2 2 3 3" xfId="36367"/>
    <cellStyle name="Comma 14 3 2 2 2 2 4" xfId="36368"/>
    <cellStyle name="Comma 14 3 2 2 2 2 4 2" xfId="36369"/>
    <cellStyle name="Comma 14 3 2 2 2 2 5" xfId="36370"/>
    <cellStyle name="Comma 14 3 2 2 2 2 6" xfId="36371"/>
    <cellStyle name="Comma 14 3 2 2 2 3" xfId="36372"/>
    <cellStyle name="Comma 14 3 2 2 2 3 2" xfId="36373"/>
    <cellStyle name="Comma 14 3 2 2 2 3 2 2" xfId="36374"/>
    <cellStyle name="Comma 14 3 2 2 2 3 2 3" xfId="36375"/>
    <cellStyle name="Comma 14 3 2 2 2 3 3" xfId="36376"/>
    <cellStyle name="Comma 14 3 2 2 2 3 3 2" xfId="36377"/>
    <cellStyle name="Comma 14 3 2 2 2 3 3 3" xfId="36378"/>
    <cellStyle name="Comma 14 3 2 2 2 3 4" xfId="36379"/>
    <cellStyle name="Comma 14 3 2 2 2 3 4 2" xfId="36380"/>
    <cellStyle name="Comma 14 3 2 2 2 3 5" xfId="36381"/>
    <cellStyle name="Comma 14 3 2 2 2 3 6" xfId="36382"/>
    <cellStyle name="Comma 14 3 2 2 2 4" xfId="36383"/>
    <cellStyle name="Comma 14 3 2 2 2 4 2" xfId="36384"/>
    <cellStyle name="Comma 14 3 2 2 2 4 2 2" xfId="36385"/>
    <cellStyle name="Comma 14 3 2 2 2 4 2 3" xfId="36386"/>
    <cellStyle name="Comma 14 3 2 2 2 4 3" xfId="36387"/>
    <cellStyle name="Comma 14 3 2 2 2 4 3 2" xfId="36388"/>
    <cellStyle name="Comma 14 3 2 2 2 4 4" xfId="36389"/>
    <cellStyle name="Comma 14 3 2 2 2 4 5" xfId="36390"/>
    <cellStyle name="Comma 14 3 2 2 2 5" xfId="36391"/>
    <cellStyle name="Comma 14 3 2 2 2 5 2" xfId="36392"/>
    <cellStyle name="Comma 14 3 2 2 2 5 3" xfId="36393"/>
    <cellStyle name="Comma 14 3 2 2 2 6" xfId="36394"/>
    <cellStyle name="Comma 14 3 2 2 2 6 2" xfId="36395"/>
    <cellStyle name="Comma 14 3 2 2 2 6 3" xfId="36396"/>
    <cellStyle name="Comma 14 3 2 2 2 7" xfId="36397"/>
    <cellStyle name="Comma 14 3 2 2 2 7 2" xfId="36398"/>
    <cellStyle name="Comma 14 3 2 2 2 8" xfId="36399"/>
    <cellStyle name="Comma 14 3 2 2 2 9" xfId="36400"/>
    <cellStyle name="Comma 14 3 2 2 3" xfId="36401"/>
    <cellStyle name="Comma 14 3 2 2 3 2" xfId="36402"/>
    <cellStyle name="Comma 14 3 2 2 3 2 2" xfId="36403"/>
    <cellStyle name="Comma 14 3 2 2 3 2 3" xfId="36404"/>
    <cellStyle name="Comma 14 3 2 2 3 3" xfId="36405"/>
    <cellStyle name="Comma 14 3 2 2 3 3 2" xfId="36406"/>
    <cellStyle name="Comma 14 3 2 2 3 3 3" xfId="36407"/>
    <cellStyle name="Comma 14 3 2 2 3 4" xfId="36408"/>
    <cellStyle name="Comma 14 3 2 2 3 4 2" xfId="36409"/>
    <cellStyle name="Comma 14 3 2 2 3 5" xfId="36410"/>
    <cellStyle name="Comma 14 3 2 2 3 6" xfId="36411"/>
    <cellStyle name="Comma 14 3 2 2 4" xfId="36412"/>
    <cellStyle name="Comma 14 3 2 2 4 2" xfId="36413"/>
    <cellStyle name="Comma 14 3 2 2 4 2 2" xfId="36414"/>
    <cellStyle name="Comma 14 3 2 2 4 2 3" xfId="36415"/>
    <cellStyle name="Comma 14 3 2 2 4 3" xfId="36416"/>
    <cellStyle name="Comma 14 3 2 2 4 3 2" xfId="36417"/>
    <cellStyle name="Comma 14 3 2 2 4 3 3" xfId="36418"/>
    <cellStyle name="Comma 14 3 2 2 4 4" xfId="36419"/>
    <cellStyle name="Comma 14 3 2 2 4 4 2" xfId="36420"/>
    <cellStyle name="Comma 14 3 2 2 4 5" xfId="36421"/>
    <cellStyle name="Comma 14 3 2 2 4 6" xfId="36422"/>
    <cellStyle name="Comma 14 3 2 2 5" xfId="36423"/>
    <cellStyle name="Comma 14 3 2 2 5 2" xfId="36424"/>
    <cellStyle name="Comma 14 3 2 2 5 2 2" xfId="36425"/>
    <cellStyle name="Comma 14 3 2 2 5 2 3" xfId="36426"/>
    <cellStyle name="Comma 14 3 2 2 5 3" xfId="36427"/>
    <cellStyle name="Comma 14 3 2 2 5 3 2" xfId="36428"/>
    <cellStyle name="Comma 14 3 2 2 5 4" xfId="36429"/>
    <cellStyle name="Comma 14 3 2 2 5 5" xfId="36430"/>
    <cellStyle name="Comma 14 3 2 2 6" xfId="36431"/>
    <cellStyle name="Comma 14 3 2 2 6 2" xfId="36432"/>
    <cellStyle name="Comma 14 3 2 2 6 3" xfId="36433"/>
    <cellStyle name="Comma 14 3 2 2 7" xfId="36434"/>
    <cellStyle name="Comma 14 3 2 2 7 2" xfId="36435"/>
    <cellStyle name="Comma 14 3 2 2 7 3" xfId="36436"/>
    <cellStyle name="Comma 14 3 2 2 8" xfId="36437"/>
    <cellStyle name="Comma 14 3 2 2 8 2" xfId="36438"/>
    <cellStyle name="Comma 14 3 2 2 9" xfId="36439"/>
    <cellStyle name="Comma 14 3 2 3" xfId="36440"/>
    <cellStyle name="Comma 14 3 2 3 2" xfId="36441"/>
    <cellStyle name="Comma 14 3 2 3 2 2" xfId="36442"/>
    <cellStyle name="Comma 14 3 2 3 2 2 2" xfId="36443"/>
    <cellStyle name="Comma 14 3 2 3 2 2 3" xfId="36444"/>
    <cellStyle name="Comma 14 3 2 3 2 3" xfId="36445"/>
    <cellStyle name="Comma 14 3 2 3 2 3 2" xfId="36446"/>
    <cellStyle name="Comma 14 3 2 3 2 3 3" xfId="36447"/>
    <cellStyle name="Comma 14 3 2 3 2 4" xfId="36448"/>
    <cellStyle name="Comma 14 3 2 3 2 4 2" xfId="36449"/>
    <cellStyle name="Comma 14 3 2 3 2 5" xfId="36450"/>
    <cellStyle name="Comma 14 3 2 3 2 6" xfId="36451"/>
    <cellStyle name="Comma 14 3 2 3 3" xfId="36452"/>
    <cellStyle name="Comma 14 3 2 3 3 2" xfId="36453"/>
    <cellStyle name="Comma 14 3 2 3 3 2 2" xfId="36454"/>
    <cellStyle name="Comma 14 3 2 3 3 2 3" xfId="36455"/>
    <cellStyle name="Comma 14 3 2 3 3 3" xfId="36456"/>
    <cellStyle name="Comma 14 3 2 3 3 3 2" xfId="36457"/>
    <cellStyle name="Comma 14 3 2 3 3 3 3" xfId="36458"/>
    <cellStyle name="Comma 14 3 2 3 3 4" xfId="36459"/>
    <cellStyle name="Comma 14 3 2 3 3 4 2" xfId="36460"/>
    <cellStyle name="Comma 14 3 2 3 3 5" xfId="36461"/>
    <cellStyle name="Comma 14 3 2 3 3 6" xfId="36462"/>
    <cellStyle name="Comma 14 3 2 3 4" xfId="36463"/>
    <cellStyle name="Comma 14 3 2 3 4 2" xfId="36464"/>
    <cellStyle name="Comma 14 3 2 3 4 2 2" xfId="36465"/>
    <cellStyle name="Comma 14 3 2 3 4 2 3" xfId="36466"/>
    <cellStyle name="Comma 14 3 2 3 4 3" xfId="36467"/>
    <cellStyle name="Comma 14 3 2 3 4 3 2" xfId="36468"/>
    <cellStyle name="Comma 14 3 2 3 4 4" xfId="36469"/>
    <cellStyle name="Comma 14 3 2 3 4 5" xfId="36470"/>
    <cellStyle name="Comma 14 3 2 3 5" xfId="36471"/>
    <cellStyle name="Comma 14 3 2 3 5 2" xfId="36472"/>
    <cellStyle name="Comma 14 3 2 3 5 3" xfId="36473"/>
    <cellStyle name="Comma 14 3 2 3 6" xfId="36474"/>
    <cellStyle name="Comma 14 3 2 3 6 2" xfId="36475"/>
    <cellStyle name="Comma 14 3 2 3 6 3" xfId="36476"/>
    <cellStyle name="Comma 14 3 2 3 7" xfId="36477"/>
    <cellStyle name="Comma 14 3 2 3 7 2" xfId="36478"/>
    <cellStyle name="Comma 14 3 2 3 8" xfId="36479"/>
    <cellStyle name="Comma 14 3 2 3 9" xfId="36480"/>
    <cellStyle name="Comma 14 3 2 4" xfId="36481"/>
    <cellStyle name="Comma 14 3 2 4 2" xfId="36482"/>
    <cellStyle name="Comma 14 3 2 4 2 2" xfId="36483"/>
    <cellStyle name="Comma 14 3 2 4 2 2 2" xfId="36484"/>
    <cellStyle name="Comma 14 3 2 4 2 2 3" xfId="36485"/>
    <cellStyle name="Comma 14 3 2 4 2 3" xfId="36486"/>
    <cellStyle name="Comma 14 3 2 4 2 3 2" xfId="36487"/>
    <cellStyle name="Comma 14 3 2 4 2 3 3" xfId="36488"/>
    <cellStyle name="Comma 14 3 2 4 2 4" xfId="36489"/>
    <cellStyle name="Comma 14 3 2 4 2 4 2" xfId="36490"/>
    <cellStyle name="Comma 14 3 2 4 2 5" xfId="36491"/>
    <cellStyle name="Comma 14 3 2 4 2 6" xfId="36492"/>
    <cellStyle name="Comma 14 3 2 4 3" xfId="36493"/>
    <cellStyle name="Comma 14 3 2 4 3 2" xfId="36494"/>
    <cellStyle name="Comma 14 3 2 4 3 2 2" xfId="36495"/>
    <cellStyle name="Comma 14 3 2 4 3 2 3" xfId="36496"/>
    <cellStyle name="Comma 14 3 2 4 3 3" xfId="36497"/>
    <cellStyle name="Comma 14 3 2 4 3 3 2" xfId="36498"/>
    <cellStyle name="Comma 14 3 2 4 3 3 3" xfId="36499"/>
    <cellStyle name="Comma 14 3 2 4 3 4" xfId="36500"/>
    <cellStyle name="Comma 14 3 2 4 3 4 2" xfId="36501"/>
    <cellStyle name="Comma 14 3 2 4 3 5" xfId="36502"/>
    <cellStyle name="Comma 14 3 2 4 3 6" xfId="36503"/>
    <cellStyle name="Comma 14 3 2 4 4" xfId="36504"/>
    <cellStyle name="Comma 14 3 2 4 4 2" xfId="36505"/>
    <cellStyle name="Comma 14 3 2 4 4 2 2" xfId="36506"/>
    <cellStyle name="Comma 14 3 2 4 4 2 3" xfId="36507"/>
    <cellStyle name="Comma 14 3 2 4 4 3" xfId="36508"/>
    <cellStyle name="Comma 14 3 2 4 4 3 2" xfId="36509"/>
    <cellStyle name="Comma 14 3 2 4 4 4" xfId="36510"/>
    <cellStyle name="Comma 14 3 2 4 4 5" xfId="36511"/>
    <cellStyle name="Comma 14 3 2 4 5" xfId="36512"/>
    <cellStyle name="Comma 14 3 2 4 5 2" xfId="36513"/>
    <cellStyle name="Comma 14 3 2 4 5 3" xfId="36514"/>
    <cellStyle name="Comma 14 3 2 4 6" xfId="36515"/>
    <cellStyle name="Comma 14 3 2 4 6 2" xfId="36516"/>
    <cellStyle name="Comma 14 3 2 4 6 3" xfId="36517"/>
    <cellStyle name="Comma 14 3 2 4 7" xfId="36518"/>
    <cellStyle name="Comma 14 3 2 4 7 2" xfId="36519"/>
    <cellStyle name="Comma 14 3 2 4 8" xfId="36520"/>
    <cellStyle name="Comma 14 3 2 4 9" xfId="36521"/>
    <cellStyle name="Comma 14 3 2 5" xfId="36522"/>
    <cellStyle name="Comma 14 3 2 5 2" xfId="36523"/>
    <cellStyle name="Comma 14 3 2 5 2 2" xfId="36524"/>
    <cellStyle name="Comma 14 3 2 5 2 3" xfId="36525"/>
    <cellStyle name="Comma 14 3 2 5 3" xfId="36526"/>
    <cellStyle name="Comma 14 3 2 5 3 2" xfId="36527"/>
    <cellStyle name="Comma 14 3 2 5 3 3" xfId="36528"/>
    <cellStyle name="Comma 14 3 2 5 4" xfId="36529"/>
    <cellStyle name="Comma 14 3 2 5 4 2" xfId="36530"/>
    <cellStyle name="Comma 14 3 2 5 5" xfId="36531"/>
    <cellStyle name="Comma 14 3 2 5 6" xfId="36532"/>
    <cellStyle name="Comma 14 3 2 6" xfId="36533"/>
    <cellStyle name="Comma 14 3 2 6 2" xfId="36534"/>
    <cellStyle name="Comma 14 3 2 6 2 2" xfId="36535"/>
    <cellStyle name="Comma 14 3 2 6 2 3" xfId="36536"/>
    <cellStyle name="Comma 14 3 2 6 3" xfId="36537"/>
    <cellStyle name="Comma 14 3 2 6 3 2" xfId="36538"/>
    <cellStyle name="Comma 14 3 2 6 3 3" xfId="36539"/>
    <cellStyle name="Comma 14 3 2 6 4" xfId="36540"/>
    <cellStyle name="Comma 14 3 2 6 4 2" xfId="36541"/>
    <cellStyle name="Comma 14 3 2 6 5" xfId="36542"/>
    <cellStyle name="Comma 14 3 2 6 6" xfId="36543"/>
    <cellStyle name="Comma 14 3 2 7" xfId="36544"/>
    <cellStyle name="Comma 14 3 2 7 2" xfId="36545"/>
    <cellStyle name="Comma 14 3 2 7 2 2" xfId="36546"/>
    <cellStyle name="Comma 14 3 2 7 2 3" xfId="36547"/>
    <cellStyle name="Comma 14 3 2 7 3" xfId="36548"/>
    <cellStyle name="Comma 14 3 2 7 3 2" xfId="36549"/>
    <cellStyle name="Comma 14 3 2 7 4" xfId="36550"/>
    <cellStyle name="Comma 14 3 2 7 5" xfId="36551"/>
    <cellStyle name="Comma 14 3 2 8" xfId="36552"/>
    <cellStyle name="Comma 14 3 2 8 2" xfId="36553"/>
    <cellStyle name="Comma 14 3 2 8 3" xfId="36554"/>
    <cellStyle name="Comma 14 3 2 9" xfId="36555"/>
    <cellStyle name="Comma 14 3 2 9 2" xfId="36556"/>
    <cellStyle name="Comma 14 3 2 9 3" xfId="36557"/>
    <cellStyle name="Comma 14 3 3" xfId="36558"/>
    <cellStyle name="Comma 14 3 3 10" xfId="36559"/>
    <cellStyle name="Comma 14 3 3 2" xfId="36560"/>
    <cellStyle name="Comma 14 3 3 2 2" xfId="36561"/>
    <cellStyle name="Comma 14 3 3 2 2 2" xfId="36562"/>
    <cellStyle name="Comma 14 3 3 2 2 2 2" xfId="36563"/>
    <cellStyle name="Comma 14 3 3 2 2 2 3" xfId="36564"/>
    <cellStyle name="Comma 14 3 3 2 2 3" xfId="36565"/>
    <cellStyle name="Comma 14 3 3 2 2 3 2" xfId="36566"/>
    <cellStyle name="Comma 14 3 3 2 2 3 3" xfId="36567"/>
    <cellStyle name="Comma 14 3 3 2 2 4" xfId="36568"/>
    <cellStyle name="Comma 14 3 3 2 2 4 2" xfId="36569"/>
    <cellStyle name="Comma 14 3 3 2 2 5" xfId="36570"/>
    <cellStyle name="Comma 14 3 3 2 2 6" xfId="36571"/>
    <cellStyle name="Comma 14 3 3 2 3" xfId="36572"/>
    <cellStyle name="Comma 14 3 3 2 3 2" xfId="36573"/>
    <cellStyle name="Comma 14 3 3 2 3 2 2" xfId="36574"/>
    <cellStyle name="Comma 14 3 3 2 3 2 3" xfId="36575"/>
    <cellStyle name="Comma 14 3 3 2 3 3" xfId="36576"/>
    <cellStyle name="Comma 14 3 3 2 3 3 2" xfId="36577"/>
    <cellStyle name="Comma 14 3 3 2 3 3 3" xfId="36578"/>
    <cellStyle name="Comma 14 3 3 2 3 4" xfId="36579"/>
    <cellStyle name="Comma 14 3 3 2 3 4 2" xfId="36580"/>
    <cellStyle name="Comma 14 3 3 2 3 5" xfId="36581"/>
    <cellStyle name="Comma 14 3 3 2 3 6" xfId="36582"/>
    <cellStyle name="Comma 14 3 3 2 4" xfId="36583"/>
    <cellStyle name="Comma 14 3 3 2 4 2" xfId="36584"/>
    <cellStyle name="Comma 14 3 3 2 4 2 2" xfId="36585"/>
    <cellStyle name="Comma 14 3 3 2 4 2 3" xfId="36586"/>
    <cellStyle name="Comma 14 3 3 2 4 3" xfId="36587"/>
    <cellStyle name="Comma 14 3 3 2 4 3 2" xfId="36588"/>
    <cellStyle name="Comma 14 3 3 2 4 4" xfId="36589"/>
    <cellStyle name="Comma 14 3 3 2 4 5" xfId="36590"/>
    <cellStyle name="Comma 14 3 3 2 5" xfId="36591"/>
    <cellStyle name="Comma 14 3 3 2 5 2" xfId="36592"/>
    <cellStyle name="Comma 14 3 3 2 5 3" xfId="36593"/>
    <cellStyle name="Comma 14 3 3 2 6" xfId="36594"/>
    <cellStyle name="Comma 14 3 3 2 6 2" xfId="36595"/>
    <cellStyle name="Comma 14 3 3 2 6 3" xfId="36596"/>
    <cellStyle name="Comma 14 3 3 2 7" xfId="36597"/>
    <cellStyle name="Comma 14 3 3 2 7 2" xfId="36598"/>
    <cellStyle name="Comma 14 3 3 2 8" xfId="36599"/>
    <cellStyle name="Comma 14 3 3 2 9" xfId="36600"/>
    <cellStyle name="Comma 14 3 3 3" xfId="36601"/>
    <cellStyle name="Comma 14 3 3 3 2" xfId="36602"/>
    <cellStyle name="Comma 14 3 3 3 2 2" xfId="36603"/>
    <cellStyle name="Comma 14 3 3 3 2 3" xfId="36604"/>
    <cellStyle name="Comma 14 3 3 3 3" xfId="36605"/>
    <cellStyle name="Comma 14 3 3 3 3 2" xfId="36606"/>
    <cellStyle name="Comma 14 3 3 3 3 3" xfId="36607"/>
    <cellStyle name="Comma 14 3 3 3 4" xfId="36608"/>
    <cellStyle name="Comma 14 3 3 3 4 2" xfId="36609"/>
    <cellStyle name="Comma 14 3 3 3 5" xfId="36610"/>
    <cellStyle name="Comma 14 3 3 3 6" xfId="36611"/>
    <cellStyle name="Comma 14 3 3 4" xfId="36612"/>
    <cellStyle name="Comma 14 3 3 4 2" xfId="36613"/>
    <cellStyle name="Comma 14 3 3 4 2 2" xfId="36614"/>
    <cellStyle name="Comma 14 3 3 4 2 3" xfId="36615"/>
    <cellStyle name="Comma 14 3 3 4 3" xfId="36616"/>
    <cellStyle name="Comma 14 3 3 4 3 2" xfId="36617"/>
    <cellStyle name="Comma 14 3 3 4 3 3" xfId="36618"/>
    <cellStyle name="Comma 14 3 3 4 4" xfId="36619"/>
    <cellStyle name="Comma 14 3 3 4 4 2" xfId="36620"/>
    <cellStyle name="Comma 14 3 3 4 5" xfId="36621"/>
    <cellStyle name="Comma 14 3 3 4 6" xfId="36622"/>
    <cellStyle name="Comma 14 3 3 5" xfId="36623"/>
    <cellStyle name="Comma 14 3 3 5 2" xfId="36624"/>
    <cellStyle name="Comma 14 3 3 5 2 2" xfId="36625"/>
    <cellStyle name="Comma 14 3 3 5 2 3" xfId="36626"/>
    <cellStyle name="Comma 14 3 3 5 3" xfId="36627"/>
    <cellStyle name="Comma 14 3 3 5 3 2" xfId="36628"/>
    <cellStyle name="Comma 14 3 3 5 4" xfId="36629"/>
    <cellStyle name="Comma 14 3 3 5 5" xfId="36630"/>
    <cellStyle name="Comma 14 3 3 6" xfId="36631"/>
    <cellStyle name="Comma 14 3 3 6 2" xfId="36632"/>
    <cellStyle name="Comma 14 3 3 6 3" xfId="36633"/>
    <cellStyle name="Comma 14 3 3 7" xfId="36634"/>
    <cellStyle name="Comma 14 3 3 7 2" xfId="36635"/>
    <cellStyle name="Comma 14 3 3 7 3" xfId="36636"/>
    <cellStyle name="Comma 14 3 3 8" xfId="36637"/>
    <cellStyle name="Comma 14 3 3 8 2" xfId="36638"/>
    <cellStyle name="Comma 14 3 3 9" xfId="36639"/>
    <cellStyle name="Comma 14 3 4" xfId="36640"/>
    <cellStyle name="Comma 14 3 4 2" xfId="36641"/>
    <cellStyle name="Comma 14 3 4 2 2" xfId="36642"/>
    <cellStyle name="Comma 14 3 4 2 2 2" xfId="36643"/>
    <cellStyle name="Comma 14 3 4 2 2 3" xfId="36644"/>
    <cellStyle name="Comma 14 3 4 2 3" xfId="36645"/>
    <cellStyle name="Comma 14 3 4 2 3 2" xfId="36646"/>
    <cellStyle name="Comma 14 3 4 2 3 3" xfId="36647"/>
    <cellStyle name="Comma 14 3 4 2 4" xfId="36648"/>
    <cellStyle name="Comma 14 3 4 2 4 2" xfId="36649"/>
    <cellStyle name="Comma 14 3 4 2 5" xfId="36650"/>
    <cellStyle name="Comma 14 3 4 2 6" xfId="36651"/>
    <cellStyle name="Comma 14 3 4 3" xfId="36652"/>
    <cellStyle name="Comma 14 3 4 3 2" xfId="36653"/>
    <cellStyle name="Comma 14 3 4 3 2 2" xfId="36654"/>
    <cellStyle name="Comma 14 3 4 3 2 3" xfId="36655"/>
    <cellStyle name="Comma 14 3 4 3 3" xfId="36656"/>
    <cellStyle name="Comma 14 3 4 3 3 2" xfId="36657"/>
    <cellStyle name="Comma 14 3 4 3 3 3" xfId="36658"/>
    <cellStyle name="Comma 14 3 4 3 4" xfId="36659"/>
    <cellStyle name="Comma 14 3 4 3 4 2" xfId="36660"/>
    <cellStyle name="Comma 14 3 4 3 5" xfId="36661"/>
    <cellStyle name="Comma 14 3 4 3 6" xfId="36662"/>
    <cellStyle name="Comma 14 3 4 4" xfId="36663"/>
    <cellStyle name="Comma 14 3 4 4 2" xfId="36664"/>
    <cellStyle name="Comma 14 3 4 4 2 2" xfId="36665"/>
    <cellStyle name="Comma 14 3 4 4 2 3" xfId="36666"/>
    <cellStyle name="Comma 14 3 4 4 3" xfId="36667"/>
    <cellStyle name="Comma 14 3 4 4 3 2" xfId="36668"/>
    <cellStyle name="Comma 14 3 4 4 4" xfId="36669"/>
    <cellStyle name="Comma 14 3 4 4 5" xfId="36670"/>
    <cellStyle name="Comma 14 3 4 5" xfId="36671"/>
    <cellStyle name="Comma 14 3 4 5 2" xfId="36672"/>
    <cellStyle name="Comma 14 3 4 5 3" xfId="36673"/>
    <cellStyle name="Comma 14 3 4 6" xfId="36674"/>
    <cellStyle name="Comma 14 3 4 6 2" xfId="36675"/>
    <cellStyle name="Comma 14 3 4 6 3" xfId="36676"/>
    <cellStyle name="Comma 14 3 4 7" xfId="36677"/>
    <cellStyle name="Comma 14 3 4 7 2" xfId="36678"/>
    <cellStyle name="Comma 14 3 4 8" xfId="36679"/>
    <cellStyle name="Comma 14 3 4 9" xfId="36680"/>
    <cellStyle name="Comma 14 3 5" xfId="36681"/>
    <cellStyle name="Comma 14 3 5 2" xfId="36682"/>
    <cellStyle name="Comma 14 3 5 2 2" xfId="36683"/>
    <cellStyle name="Comma 14 3 5 2 2 2" xfId="36684"/>
    <cellStyle name="Comma 14 3 5 2 2 3" xfId="36685"/>
    <cellStyle name="Comma 14 3 5 2 3" xfId="36686"/>
    <cellStyle name="Comma 14 3 5 2 3 2" xfId="36687"/>
    <cellStyle name="Comma 14 3 5 2 3 3" xfId="36688"/>
    <cellStyle name="Comma 14 3 5 2 4" xfId="36689"/>
    <cellStyle name="Comma 14 3 5 2 4 2" xfId="36690"/>
    <cellStyle name="Comma 14 3 5 2 5" xfId="36691"/>
    <cellStyle name="Comma 14 3 5 2 6" xfId="36692"/>
    <cellStyle name="Comma 14 3 5 3" xfId="36693"/>
    <cellStyle name="Comma 14 3 5 3 2" xfId="36694"/>
    <cellStyle name="Comma 14 3 5 3 2 2" xfId="36695"/>
    <cellStyle name="Comma 14 3 5 3 2 3" xfId="36696"/>
    <cellStyle name="Comma 14 3 5 3 3" xfId="36697"/>
    <cellStyle name="Comma 14 3 5 3 3 2" xfId="36698"/>
    <cellStyle name="Comma 14 3 5 3 3 3" xfId="36699"/>
    <cellStyle name="Comma 14 3 5 3 4" xfId="36700"/>
    <cellStyle name="Comma 14 3 5 3 4 2" xfId="36701"/>
    <cellStyle name="Comma 14 3 5 3 5" xfId="36702"/>
    <cellStyle name="Comma 14 3 5 3 6" xfId="36703"/>
    <cellStyle name="Comma 14 3 5 4" xfId="36704"/>
    <cellStyle name="Comma 14 3 5 4 2" xfId="36705"/>
    <cellStyle name="Comma 14 3 5 4 2 2" xfId="36706"/>
    <cellStyle name="Comma 14 3 5 4 2 3" xfId="36707"/>
    <cellStyle name="Comma 14 3 5 4 3" xfId="36708"/>
    <cellStyle name="Comma 14 3 5 4 3 2" xfId="36709"/>
    <cellStyle name="Comma 14 3 5 4 4" xfId="36710"/>
    <cellStyle name="Comma 14 3 5 4 5" xfId="36711"/>
    <cellStyle name="Comma 14 3 5 5" xfId="36712"/>
    <cellStyle name="Comma 14 3 5 5 2" xfId="36713"/>
    <cellStyle name="Comma 14 3 5 5 3" xfId="36714"/>
    <cellStyle name="Comma 14 3 5 6" xfId="36715"/>
    <cellStyle name="Comma 14 3 5 6 2" xfId="36716"/>
    <cellStyle name="Comma 14 3 5 6 3" xfId="36717"/>
    <cellStyle name="Comma 14 3 5 7" xfId="36718"/>
    <cellStyle name="Comma 14 3 5 7 2" xfId="36719"/>
    <cellStyle name="Comma 14 3 5 8" xfId="36720"/>
    <cellStyle name="Comma 14 3 5 9" xfId="36721"/>
    <cellStyle name="Comma 14 3 6" xfId="36722"/>
    <cellStyle name="Comma 14 3 6 2" xfId="36723"/>
    <cellStyle name="Comma 14 3 6 2 2" xfId="36724"/>
    <cellStyle name="Comma 14 3 6 2 3" xfId="36725"/>
    <cellStyle name="Comma 14 3 6 3" xfId="36726"/>
    <cellStyle name="Comma 14 3 6 3 2" xfId="36727"/>
    <cellStyle name="Comma 14 3 6 3 3" xfId="36728"/>
    <cellStyle name="Comma 14 3 6 4" xfId="36729"/>
    <cellStyle name="Comma 14 3 6 4 2" xfId="36730"/>
    <cellStyle name="Comma 14 3 6 5" xfId="36731"/>
    <cellStyle name="Comma 14 3 6 6" xfId="36732"/>
    <cellStyle name="Comma 14 3 7" xfId="36733"/>
    <cellStyle name="Comma 14 3 7 2" xfId="36734"/>
    <cellStyle name="Comma 14 3 7 2 2" xfId="36735"/>
    <cellStyle name="Comma 14 3 7 2 3" xfId="36736"/>
    <cellStyle name="Comma 14 3 7 3" xfId="36737"/>
    <cellStyle name="Comma 14 3 7 3 2" xfId="36738"/>
    <cellStyle name="Comma 14 3 7 3 3" xfId="36739"/>
    <cellStyle name="Comma 14 3 7 4" xfId="36740"/>
    <cellStyle name="Comma 14 3 7 4 2" xfId="36741"/>
    <cellStyle name="Comma 14 3 7 5" xfId="36742"/>
    <cellStyle name="Comma 14 3 7 6" xfId="36743"/>
    <cellStyle name="Comma 14 3 8" xfId="36744"/>
    <cellStyle name="Comma 14 3 8 2" xfId="36745"/>
    <cellStyle name="Comma 14 3 8 2 2" xfId="36746"/>
    <cellStyle name="Comma 14 3 8 2 3" xfId="36747"/>
    <cellStyle name="Comma 14 3 8 3" xfId="36748"/>
    <cellStyle name="Comma 14 3 8 3 2" xfId="36749"/>
    <cellStyle name="Comma 14 3 8 4" xfId="36750"/>
    <cellStyle name="Comma 14 3 8 5" xfId="36751"/>
    <cellStyle name="Comma 14 3 9" xfId="36752"/>
    <cellStyle name="Comma 14 3 9 2" xfId="36753"/>
    <cellStyle name="Comma 14 3 9 3" xfId="36754"/>
    <cellStyle name="Comma 14 4" xfId="36755"/>
    <cellStyle name="Comma 14 4 10" xfId="36756"/>
    <cellStyle name="Comma 14 4 10 2" xfId="36757"/>
    <cellStyle name="Comma 14 4 11" xfId="36758"/>
    <cellStyle name="Comma 14 4 12" xfId="36759"/>
    <cellStyle name="Comma 14 4 2" xfId="36760"/>
    <cellStyle name="Comma 14 4 2 10" xfId="36761"/>
    <cellStyle name="Comma 14 4 2 2" xfId="36762"/>
    <cellStyle name="Comma 14 4 2 2 2" xfId="36763"/>
    <cellStyle name="Comma 14 4 2 2 2 2" xfId="36764"/>
    <cellStyle name="Comma 14 4 2 2 2 2 2" xfId="36765"/>
    <cellStyle name="Comma 14 4 2 2 2 2 3" xfId="36766"/>
    <cellStyle name="Comma 14 4 2 2 2 3" xfId="36767"/>
    <cellStyle name="Comma 14 4 2 2 2 3 2" xfId="36768"/>
    <cellStyle name="Comma 14 4 2 2 2 3 3" xfId="36769"/>
    <cellStyle name="Comma 14 4 2 2 2 4" xfId="36770"/>
    <cellStyle name="Comma 14 4 2 2 2 4 2" xfId="36771"/>
    <cellStyle name="Comma 14 4 2 2 2 5" xfId="36772"/>
    <cellStyle name="Comma 14 4 2 2 2 6" xfId="36773"/>
    <cellStyle name="Comma 14 4 2 2 3" xfId="36774"/>
    <cellStyle name="Comma 14 4 2 2 3 2" xfId="36775"/>
    <cellStyle name="Comma 14 4 2 2 3 2 2" xfId="36776"/>
    <cellStyle name="Comma 14 4 2 2 3 2 3" xfId="36777"/>
    <cellStyle name="Comma 14 4 2 2 3 3" xfId="36778"/>
    <cellStyle name="Comma 14 4 2 2 3 3 2" xfId="36779"/>
    <cellStyle name="Comma 14 4 2 2 3 3 3" xfId="36780"/>
    <cellStyle name="Comma 14 4 2 2 3 4" xfId="36781"/>
    <cellStyle name="Comma 14 4 2 2 3 4 2" xfId="36782"/>
    <cellStyle name="Comma 14 4 2 2 3 5" xfId="36783"/>
    <cellStyle name="Comma 14 4 2 2 3 6" xfId="36784"/>
    <cellStyle name="Comma 14 4 2 2 4" xfId="36785"/>
    <cellStyle name="Comma 14 4 2 2 4 2" xfId="36786"/>
    <cellStyle name="Comma 14 4 2 2 4 2 2" xfId="36787"/>
    <cellStyle name="Comma 14 4 2 2 4 2 3" xfId="36788"/>
    <cellStyle name="Comma 14 4 2 2 4 3" xfId="36789"/>
    <cellStyle name="Comma 14 4 2 2 4 3 2" xfId="36790"/>
    <cellStyle name="Comma 14 4 2 2 4 4" xfId="36791"/>
    <cellStyle name="Comma 14 4 2 2 4 5" xfId="36792"/>
    <cellStyle name="Comma 14 4 2 2 5" xfId="36793"/>
    <cellStyle name="Comma 14 4 2 2 5 2" xfId="36794"/>
    <cellStyle name="Comma 14 4 2 2 5 3" xfId="36795"/>
    <cellStyle name="Comma 14 4 2 2 6" xfId="36796"/>
    <cellStyle name="Comma 14 4 2 2 6 2" xfId="36797"/>
    <cellStyle name="Comma 14 4 2 2 6 3" xfId="36798"/>
    <cellStyle name="Comma 14 4 2 2 7" xfId="36799"/>
    <cellStyle name="Comma 14 4 2 2 7 2" xfId="36800"/>
    <cellStyle name="Comma 14 4 2 2 8" xfId="36801"/>
    <cellStyle name="Comma 14 4 2 2 9" xfId="36802"/>
    <cellStyle name="Comma 14 4 2 3" xfId="36803"/>
    <cellStyle name="Comma 14 4 2 3 2" xfId="36804"/>
    <cellStyle name="Comma 14 4 2 3 2 2" xfId="36805"/>
    <cellStyle name="Comma 14 4 2 3 2 3" xfId="36806"/>
    <cellStyle name="Comma 14 4 2 3 3" xfId="36807"/>
    <cellStyle name="Comma 14 4 2 3 3 2" xfId="36808"/>
    <cellStyle name="Comma 14 4 2 3 3 3" xfId="36809"/>
    <cellStyle name="Comma 14 4 2 3 4" xfId="36810"/>
    <cellStyle name="Comma 14 4 2 3 4 2" xfId="36811"/>
    <cellStyle name="Comma 14 4 2 3 5" xfId="36812"/>
    <cellStyle name="Comma 14 4 2 3 6" xfId="36813"/>
    <cellStyle name="Comma 14 4 2 4" xfId="36814"/>
    <cellStyle name="Comma 14 4 2 4 2" xfId="36815"/>
    <cellStyle name="Comma 14 4 2 4 2 2" xfId="36816"/>
    <cellStyle name="Comma 14 4 2 4 2 3" xfId="36817"/>
    <cellStyle name="Comma 14 4 2 4 3" xfId="36818"/>
    <cellStyle name="Comma 14 4 2 4 3 2" xfId="36819"/>
    <cellStyle name="Comma 14 4 2 4 3 3" xfId="36820"/>
    <cellStyle name="Comma 14 4 2 4 4" xfId="36821"/>
    <cellStyle name="Comma 14 4 2 4 4 2" xfId="36822"/>
    <cellStyle name="Comma 14 4 2 4 5" xfId="36823"/>
    <cellStyle name="Comma 14 4 2 4 6" xfId="36824"/>
    <cellStyle name="Comma 14 4 2 5" xfId="36825"/>
    <cellStyle name="Comma 14 4 2 5 2" xfId="36826"/>
    <cellStyle name="Comma 14 4 2 5 2 2" xfId="36827"/>
    <cellStyle name="Comma 14 4 2 5 2 3" xfId="36828"/>
    <cellStyle name="Comma 14 4 2 5 3" xfId="36829"/>
    <cellStyle name="Comma 14 4 2 5 3 2" xfId="36830"/>
    <cellStyle name="Comma 14 4 2 5 4" xfId="36831"/>
    <cellStyle name="Comma 14 4 2 5 5" xfId="36832"/>
    <cellStyle name="Comma 14 4 2 6" xfId="36833"/>
    <cellStyle name="Comma 14 4 2 6 2" xfId="36834"/>
    <cellStyle name="Comma 14 4 2 6 3" xfId="36835"/>
    <cellStyle name="Comma 14 4 2 7" xfId="36836"/>
    <cellStyle name="Comma 14 4 2 7 2" xfId="36837"/>
    <cellStyle name="Comma 14 4 2 7 3" xfId="36838"/>
    <cellStyle name="Comma 14 4 2 8" xfId="36839"/>
    <cellStyle name="Comma 14 4 2 8 2" xfId="36840"/>
    <cellStyle name="Comma 14 4 2 9" xfId="36841"/>
    <cellStyle name="Comma 14 4 3" xfId="36842"/>
    <cellStyle name="Comma 14 4 3 2" xfId="36843"/>
    <cellStyle name="Comma 14 4 3 2 2" xfId="36844"/>
    <cellStyle name="Comma 14 4 3 2 2 2" xfId="36845"/>
    <cellStyle name="Comma 14 4 3 2 2 3" xfId="36846"/>
    <cellStyle name="Comma 14 4 3 2 3" xfId="36847"/>
    <cellStyle name="Comma 14 4 3 2 3 2" xfId="36848"/>
    <cellStyle name="Comma 14 4 3 2 3 3" xfId="36849"/>
    <cellStyle name="Comma 14 4 3 2 4" xfId="36850"/>
    <cellStyle name="Comma 14 4 3 2 4 2" xfId="36851"/>
    <cellStyle name="Comma 14 4 3 2 5" xfId="36852"/>
    <cellStyle name="Comma 14 4 3 2 6" xfId="36853"/>
    <cellStyle name="Comma 14 4 3 3" xfId="36854"/>
    <cellStyle name="Comma 14 4 3 3 2" xfId="36855"/>
    <cellStyle name="Comma 14 4 3 3 2 2" xfId="36856"/>
    <cellStyle name="Comma 14 4 3 3 2 3" xfId="36857"/>
    <cellStyle name="Comma 14 4 3 3 3" xfId="36858"/>
    <cellStyle name="Comma 14 4 3 3 3 2" xfId="36859"/>
    <cellStyle name="Comma 14 4 3 3 3 3" xfId="36860"/>
    <cellStyle name="Comma 14 4 3 3 4" xfId="36861"/>
    <cellStyle name="Comma 14 4 3 3 4 2" xfId="36862"/>
    <cellStyle name="Comma 14 4 3 3 5" xfId="36863"/>
    <cellStyle name="Comma 14 4 3 3 6" xfId="36864"/>
    <cellStyle name="Comma 14 4 3 4" xfId="36865"/>
    <cellStyle name="Comma 14 4 3 4 2" xfId="36866"/>
    <cellStyle name="Comma 14 4 3 4 2 2" xfId="36867"/>
    <cellStyle name="Comma 14 4 3 4 2 3" xfId="36868"/>
    <cellStyle name="Comma 14 4 3 4 3" xfId="36869"/>
    <cellStyle name="Comma 14 4 3 4 3 2" xfId="36870"/>
    <cellStyle name="Comma 14 4 3 4 4" xfId="36871"/>
    <cellStyle name="Comma 14 4 3 4 5" xfId="36872"/>
    <cellStyle name="Comma 14 4 3 5" xfId="36873"/>
    <cellStyle name="Comma 14 4 3 5 2" xfId="36874"/>
    <cellStyle name="Comma 14 4 3 5 3" xfId="36875"/>
    <cellStyle name="Comma 14 4 3 6" xfId="36876"/>
    <cellStyle name="Comma 14 4 3 6 2" xfId="36877"/>
    <cellStyle name="Comma 14 4 3 6 3" xfId="36878"/>
    <cellStyle name="Comma 14 4 3 7" xfId="36879"/>
    <cellStyle name="Comma 14 4 3 7 2" xfId="36880"/>
    <cellStyle name="Comma 14 4 3 8" xfId="36881"/>
    <cellStyle name="Comma 14 4 3 9" xfId="36882"/>
    <cellStyle name="Comma 14 4 4" xfId="36883"/>
    <cellStyle name="Comma 14 4 4 2" xfId="36884"/>
    <cellStyle name="Comma 14 4 4 2 2" xfId="36885"/>
    <cellStyle name="Comma 14 4 4 2 2 2" xfId="36886"/>
    <cellStyle name="Comma 14 4 4 2 2 3" xfId="36887"/>
    <cellStyle name="Comma 14 4 4 2 3" xfId="36888"/>
    <cellStyle name="Comma 14 4 4 2 3 2" xfId="36889"/>
    <cellStyle name="Comma 14 4 4 2 3 3" xfId="36890"/>
    <cellStyle name="Comma 14 4 4 2 4" xfId="36891"/>
    <cellStyle name="Comma 14 4 4 2 4 2" xfId="36892"/>
    <cellStyle name="Comma 14 4 4 2 5" xfId="36893"/>
    <cellStyle name="Comma 14 4 4 2 6" xfId="36894"/>
    <cellStyle name="Comma 14 4 4 3" xfId="36895"/>
    <cellStyle name="Comma 14 4 4 3 2" xfId="36896"/>
    <cellStyle name="Comma 14 4 4 3 2 2" xfId="36897"/>
    <cellStyle name="Comma 14 4 4 3 2 3" xfId="36898"/>
    <cellStyle name="Comma 14 4 4 3 3" xfId="36899"/>
    <cellStyle name="Comma 14 4 4 3 3 2" xfId="36900"/>
    <cellStyle name="Comma 14 4 4 3 3 3" xfId="36901"/>
    <cellStyle name="Comma 14 4 4 3 4" xfId="36902"/>
    <cellStyle name="Comma 14 4 4 3 4 2" xfId="36903"/>
    <cellStyle name="Comma 14 4 4 3 5" xfId="36904"/>
    <cellStyle name="Comma 14 4 4 3 6" xfId="36905"/>
    <cellStyle name="Comma 14 4 4 4" xfId="36906"/>
    <cellStyle name="Comma 14 4 4 4 2" xfId="36907"/>
    <cellStyle name="Comma 14 4 4 4 2 2" xfId="36908"/>
    <cellStyle name="Comma 14 4 4 4 2 3" xfId="36909"/>
    <cellStyle name="Comma 14 4 4 4 3" xfId="36910"/>
    <cellStyle name="Comma 14 4 4 4 3 2" xfId="36911"/>
    <cellStyle name="Comma 14 4 4 4 4" xfId="36912"/>
    <cellStyle name="Comma 14 4 4 4 5" xfId="36913"/>
    <cellStyle name="Comma 14 4 4 5" xfId="36914"/>
    <cellStyle name="Comma 14 4 4 5 2" xfId="36915"/>
    <cellStyle name="Comma 14 4 4 5 3" xfId="36916"/>
    <cellStyle name="Comma 14 4 4 6" xfId="36917"/>
    <cellStyle name="Comma 14 4 4 6 2" xfId="36918"/>
    <cellStyle name="Comma 14 4 4 6 3" xfId="36919"/>
    <cellStyle name="Comma 14 4 4 7" xfId="36920"/>
    <cellStyle name="Comma 14 4 4 7 2" xfId="36921"/>
    <cellStyle name="Comma 14 4 4 8" xfId="36922"/>
    <cellStyle name="Comma 14 4 4 9" xfId="36923"/>
    <cellStyle name="Comma 14 4 5" xfId="36924"/>
    <cellStyle name="Comma 14 4 5 2" xfId="36925"/>
    <cellStyle name="Comma 14 4 5 2 2" xfId="36926"/>
    <cellStyle name="Comma 14 4 5 2 3" xfId="36927"/>
    <cellStyle name="Comma 14 4 5 3" xfId="36928"/>
    <cellStyle name="Comma 14 4 5 3 2" xfId="36929"/>
    <cellStyle name="Comma 14 4 5 3 3" xfId="36930"/>
    <cellStyle name="Comma 14 4 5 4" xfId="36931"/>
    <cellStyle name="Comma 14 4 5 4 2" xfId="36932"/>
    <cellStyle name="Comma 14 4 5 5" xfId="36933"/>
    <cellStyle name="Comma 14 4 5 6" xfId="36934"/>
    <cellStyle name="Comma 14 4 6" xfId="36935"/>
    <cellStyle name="Comma 14 4 6 2" xfId="36936"/>
    <cellStyle name="Comma 14 4 6 2 2" xfId="36937"/>
    <cellStyle name="Comma 14 4 6 2 3" xfId="36938"/>
    <cellStyle name="Comma 14 4 6 3" xfId="36939"/>
    <cellStyle name="Comma 14 4 6 3 2" xfId="36940"/>
    <cellStyle name="Comma 14 4 6 3 3" xfId="36941"/>
    <cellStyle name="Comma 14 4 6 4" xfId="36942"/>
    <cellStyle name="Comma 14 4 6 4 2" xfId="36943"/>
    <cellStyle name="Comma 14 4 6 5" xfId="36944"/>
    <cellStyle name="Comma 14 4 6 6" xfId="36945"/>
    <cellStyle name="Comma 14 4 7" xfId="36946"/>
    <cellStyle name="Comma 14 4 7 2" xfId="36947"/>
    <cellStyle name="Comma 14 4 7 2 2" xfId="36948"/>
    <cellStyle name="Comma 14 4 7 2 3" xfId="36949"/>
    <cellStyle name="Comma 14 4 7 3" xfId="36950"/>
    <cellStyle name="Comma 14 4 7 3 2" xfId="36951"/>
    <cellStyle name="Comma 14 4 7 4" xfId="36952"/>
    <cellStyle name="Comma 14 4 7 5" xfId="36953"/>
    <cellStyle name="Comma 14 4 8" xfId="36954"/>
    <cellStyle name="Comma 14 4 8 2" xfId="36955"/>
    <cellStyle name="Comma 14 4 8 3" xfId="36956"/>
    <cellStyle name="Comma 14 4 9" xfId="36957"/>
    <cellStyle name="Comma 14 4 9 2" xfId="36958"/>
    <cellStyle name="Comma 14 4 9 3" xfId="36959"/>
    <cellStyle name="Comma 14 5" xfId="36960"/>
    <cellStyle name="Comma 14 5 10" xfId="36961"/>
    <cellStyle name="Comma 14 5 2" xfId="36962"/>
    <cellStyle name="Comma 14 5 2 2" xfId="36963"/>
    <cellStyle name="Comma 14 5 2 2 2" xfId="36964"/>
    <cellStyle name="Comma 14 5 2 2 2 2" xfId="36965"/>
    <cellStyle name="Comma 14 5 2 2 2 3" xfId="36966"/>
    <cellStyle name="Comma 14 5 2 2 3" xfId="36967"/>
    <cellStyle name="Comma 14 5 2 2 3 2" xfId="36968"/>
    <cellStyle name="Comma 14 5 2 2 3 3" xfId="36969"/>
    <cellStyle name="Comma 14 5 2 2 4" xfId="36970"/>
    <cellStyle name="Comma 14 5 2 2 4 2" xfId="36971"/>
    <cellStyle name="Comma 14 5 2 2 5" xfId="36972"/>
    <cellStyle name="Comma 14 5 2 2 6" xfId="36973"/>
    <cellStyle name="Comma 14 5 2 3" xfId="36974"/>
    <cellStyle name="Comma 14 5 2 3 2" xfId="36975"/>
    <cellStyle name="Comma 14 5 2 3 2 2" xfId="36976"/>
    <cellStyle name="Comma 14 5 2 3 2 3" xfId="36977"/>
    <cellStyle name="Comma 14 5 2 3 3" xfId="36978"/>
    <cellStyle name="Comma 14 5 2 3 3 2" xfId="36979"/>
    <cellStyle name="Comma 14 5 2 3 3 3" xfId="36980"/>
    <cellStyle name="Comma 14 5 2 3 4" xfId="36981"/>
    <cellStyle name="Comma 14 5 2 3 4 2" xfId="36982"/>
    <cellStyle name="Comma 14 5 2 3 5" xfId="36983"/>
    <cellStyle name="Comma 14 5 2 3 6" xfId="36984"/>
    <cellStyle name="Comma 14 5 2 4" xfId="36985"/>
    <cellStyle name="Comma 14 5 2 4 2" xfId="36986"/>
    <cellStyle name="Comma 14 5 2 4 2 2" xfId="36987"/>
    <cellStyle name="Comma 14 5 2 4 2 3" xfId="36988"/>
    <cellStyle name="Comma 14 5 2 4 3" xfId="36989"/>
    <cellStyle name="Comma 14 5 2 4 3 2" xfId="36990"/>
    <cellStyle name="Comma 14 5 2 4 4" xfId="36991"/>
    <cellStyle name="Comma 14 5 2 4 5" xfId="36992"/>
    <cellStyle name="Comma 14 5 2 5" xfId="36993"/>
    <cellStyle name="Comma 14 5 2 5 2" xfId="36994"/>
    <cellStyle name="Comma 14 5 2 5 3" xfId="36995"/>
    <cellStyle name="Comma 14 5 2 6" xfId="36996"/>
    <cellStyle name="Comma 14 5 2 6 2" xfId="36997"/>
    <cellStyle name="Comma 14 5 2 6 3" xfId="36998"/>
    <cellStyle name="Comma 14 5 2 7" xfId="36999"/>
    <cellStyle name="Comma 14 5 2 7 2" xfId="37000"/>
    <cellStyle name="Comma 14 5 2 8" xfId="37001"/>
    <cellStyle name="Comma 14 5 2 9" xfId="37002"/>
    <cellStyle name="Comma 14 5 3" xfId="37003"/>
    <cellStyle name="Comma 14 5 3 2" xfId="37004"/>
    <cellStyle name="Comma 14 5 3 2 2" xfId="37005"/>
    <cellStyle name="Comma 14 5 3 2 3" xfId="37006"/>
    <cellStyle name="Comma 14 5 3 3" xfId="37007"/>
    <cellStyle name="Comma 14 5 3 3 2" xfId="37008"/>
    <cellStyle name="Comma 14 5 3 3 3" xfId="37009"/>
    <cellStyle name="Comma 14 5 3 4" xfId="37010"/>
    <cellStyle name="Comma 14 5 3 4 2" xfId="37011"/>
    <cellStyle name="Comma 14 5 3 5" xfId="37012"/>
    <cellStyle name="Comma 14 5 3 6" xfId="37013"/>
    <cellStyle name="Comma 14 5 4" xfId="37014"/>
    <cellStyle name="Comma 14 5 4 2" xfId="37015"/>
    <cellStyle name="Comma 14 5 4 2 2" xfId="37016"/>
    <cellStyle name="Comma 14 5 4 2 3" xfId="37017"/>
    <cellStyle name="Comma 14 5 4 3" xfId="37018"/>
    <cellStyle name="Comma 14 5 4 3 2" xfId="37019"/>
    <cellStyle name="Comma 14 5 4 3 3" xfId="37020"/>
    <cellStyle name="Comma 14 5 4 4" xfId="37021"/>
    <cellStyle name="Comma 14 5 4 4 2" xfId="37022"/>
    <cellStyle name="Comma 14 5 4 5" xfId="37023"/>
    <cellStyle name="Comma 14 5 4 6" xfId="37024"/>
    <cellStyle name="Comma 14 5 5" xfId="37025"/>
    <cellStyle name="Comma 14 5 5 2" xfId="37026"/>
    <cellStyle name="Comma 14 5 5 2 2" xfId="37027"/>
    <cellStyle name="Comma 14 5 5 2 3" xfId="37028"/>
    <cellStyle name="Comma 14 5 5 3" xfId="37029"/>
    <cellStyle name="Comma 14 5 5 3 2" xfId="37030"/>
    <cellStyle name="Comma 14 5 5 4" xfId="37031"/>
    <cellStyle name="Comma 14 5 5 5" xfId="37032"/>
    <cellStyle name="Comma 14 5 6" xfId="37033"/>
    <cellStyle name="Comma 14 5 6 2" xfId="37034"/>
    <cellStyle name="Comma 14 5 6 3" xfId="37035"/>
    <cellStyle name="Comma 14 5 7" xfId="37036"/>
    <cellStyle name="Comma 14 5 7 2" xfId="37037"/>
    <cellStyle name="Comma 14 5 7 3" xfId="37038"/>
    <cellStyle name="Comma 14 5 8" xfId="37039"/>
    <cellStyle name="Comma 14 5 8 2" xfId="37040"/>
    <cellStyle name="Comma 14 5 9" xfId="37041"/>
    <cellStyle name="Comma 14 6" xfId="37042"/>
    <cellStyle name="Comma 14 6 2" xfId="37043"/>
    <cellStyle name="Comma 14 6 2 2" xfId="37044"/>
    <cellStyle name="Comma 14 6 2 2 2" xfId="37045"/>
    <cellStyle name="Comma 14 6 2 2 3" xfId="37046"/>
    <cellStyle name="Comma 14 6 2 3" xfId="37047"/>
    <cellStyle name="Comma 14 6 2 3 2" xfId="37048"/>
    <cellStyle name="Comma 14 6 2 3 3" xfId="37049"/>
    <cellStyle name="Comma 14 6 2 4" xfId="37050"/>
    <cellStyle name="Comma 14 6 2 4 2" xfId="37051"/>
    <cellStyle name="Comma 14 6 2 5" xfId="37052"/>
    <cellStyle name="Comma 14 6 2 6" xfId="37053"/>
    <cellStyle name="Comma 14 6 3" xfId="37054"/>
    <cellStyle name="Comma 14 6 3 2" xfId="37055"/>
    <cellStyle name="Comma 14 6 3 2 2" xfId="37056"/>
    <cellStyle name="Comma 14 6 3 2 3" xfId="37057"/>
    <cellStyle name="Comma 14 6 3 3" xfId="37058"/>
    <cellStyle name="Comma 14 6 3 3 2" xfId="37059"/>
    <cellStyle name="Comma 14 6 3 3 3" xfId="37060"/>
    <cellStyle name="Comma 14 6 3 4" xfId="37061"/>
    <cellStyle name="Comma 14 6 3 4 2" xfId="37062"/>
    <cellStyle name="Comma 14 6 3 5" xfId="37063"/>
    <cellStyle name="Comma 14 6 3 6" xfId="37064"/>
    <cellStyle name="Comma 14 6 4" xfId="37065"/>
    <cellStyle name="Comma 14 6 4 2" xfId="37066"/>
    <cellStyle name="Comma 14 6 4 2 2" xfId="37067"/>
    <cellStyle name="Comma 14 6 4 2 3" xfId="37068"/>
    <cellStyle name="Comma 14 6 4 3" xfId="37069"/>
    <cellStyle name="Comma 14 6 4 3 2" xfId="37070"/>
    <cellStyle name="Comma 14 6 4 4" xfId="37071"/>
    <cellStyle name="Comma 14 6 4 5" xfId="37072"/>
    <cellStyle name="Comma 14 6 5" xfId="37073"/>
    <cellStyle name="Comma 14 6 5 2" xfId="37074"/>
    <cellStyle name="Comma 14 6 5 3" xfId="37075"/>
    <cellStyle name="Comma 14 6 6" xfId="37076"/>
    <cellStyle name="Comma 14 6 6 2" xfId="37077"/>
    <cellStyle name="Comma 14 6 6 3" xfId="37078"/>
    <cellStyle name="Comma 14 6 7" xfId="37079"/>
    <cellStyle name="Comma 14 6 7 2" xfId="37080"/>
    <cellStyle name="Comma 14 6 8" xfId="37081"/>
    <cellStyle name="Comma 14 6 9" xfId="37082"/>
    <cellStyle name="Comma 14 7" xfId="37083"/>
    <cellStyle name="Comma 14 7 2" xfId="37084"/>
    <cellStyle name="Comma 14 7 2 2" xfId="37085"/>
    <cellStyle name="Comma 14 7 2 2 2" xfId="37086"/>
    <cellStyle name="Comma 14 7 2 2 3" xfId="37087"/>
    <cellStyle name="Comma 14 7 2 3" xfId="37088"/>
    <cellStyle name="Comma 14 7 2 3 2" xfId="37089"/>
    <cellStyle name="Comma 14 7 2 3 3" xfId="37090"/>
    <cellStyle name="Comma 14 7 2 4" xfId="37091"/>
    <cellStyle name="Comma 14 7 2 4 2" xfId="37092"/>
    <cellStyle name="Comma 14 7 2 5" xfId="37093"/>
    <cellStyle name="Comma 14 7 2 6" xfId="37094"/>
    <cellStyle name="Comma 14 7 3" xfId="37095"/>
    <cellStyle name="Comma 14 7 3 2" xfId="37096"/>
    <cellStyle name="Comma 14 7 3 2 2" xfId="37097"/>
    <cellStyle name="Comma 14 7 3 2 3" xfId="37098"/>
    <cellStyle name="Comma 14 7 3 3" xfId="37099"/>
    <cellStyle name="Comma 14 7 3 3 2" xfId="37100"/>
    <cellStyle name="Comma 14 7 3 3 3" xfId="37101"/>
    <cellStyle name="Comma 14 7 3 4" xfId="37102"/>
    <cellStyle name="Comma 14 7 3 4 2" xfId="37103"/>
    <cellStyle name="Comma 14 7 3 5" xfId="37104"/>
    <cellStyle name="Comma 14 7 3 6" xfId="37105"/>
    <cellStyle name="Comma 14 7 4" xfId="37106"/>
    <cellStyle name="Comma 14 7 4 2" xfId="37107"/>
    <cellStyle name="Comma 14 7 4 2 2" xfId="37108"/>
    <cellStyle name="Comma 14 7 4 2 3" xfId="37109"/>
    <cellStyle name="Comma 14 7 4 3" xfId="37110"/>
    <cellStyle name="Comma 14 7 4 3 2" xfId="37111"/>
    <cellStyle name="Comma 14 7 4 4" xfId="37112"/>
    <cellStyle name="Comma 14 7 4 5" xfId="37113"/>
    <cellStyle name="Comma 14 7 5" xfId="37114"/>
    <cellStyle name="Comma 14 7 5 2" xfId="37115"/>
    <cellStyle name="Comma 14 7 5 3" xfId="37116"/>
    <cellStyle name="Comma 14 7 6" xfId="37117"/>
    <cellStyle name="Comma 14 7 6 2" xfId="37118"/>
    <cellStyle name="Comma 14 7 6 3" xfId="37119"/>
    <cellStyle name="Comma 14 7 7" xfId="37120"/>
    <cellStyle name="Comma 14 7 7 2" xfId="37121"/>
    <cellStyle name="Comma 14 7 8" xfId="37122"/>
    <cellStyle name="Comma 14 7 9" xfId="37123"/>
    <cellStyle name="Comma 14 8" xfId="37124"/>
    <cellStyle name="Comma 14 8 2" xfId="37125"/>
    <cellStyle name="Comma 14 8 2 2" xfId="37126"/>
    <cellStyle name="Comma 14 8 2 3" xfId="37127"/>
    <cellStyle name="Comma 14 8 3" xfId="37128"/>
    <cellStyle name="Comma 14 8 3 2" xfId="37129"/>
    <cellStyle name="Comma 14 8 3 3" xfId="37130"/>
    <cellStyle name="Comma 14 8 4" xfId="37131"/>
    <cellStyle name="Comma 14 8 4 2" xfId="37132"/>
    <cellStyle name="Comma 14 8 5" xfId="37133"/>
    <cellStyle name="Comma 14 8 6" xfId="37134"/>
    <cellStyle name="Comma 14 9" xfId="37135"/>
    <cellStyle name="Comma 14 9 2" xfId="37136"/>
    <cellStyle name="Comma 14 9 2 2" xfId="37137"/>
    <cellStyle name="Comma 14 9 2 3" xfId="37138"/>
    <cellStyle name="Comma 14 9 3" xfId="37139"/>
    <cellStyle name="Comma 14 9 3 2" xfId="37140"/>
    <cellStyle name="Comma 14 9 3 3" xfId="37141"/>
    <cellStyle name="Comma 14 9 4" xfId="37142"/>
    <cellStyle name="Comma 14 9 4 2" xfId="37143"/>
    <cellStyle name="Comma 14 9 5" xfId="37144"/>
    <cellStyle name="Comma 14 9 6" xfId="37145"/>
    <cellStyle name="Comma 140" xfId="57855"/>
    <cellStyle name="Comma 141" xfId="57856"/>
    <cellStyle name="Comma 142" xfId="57857"/>
    <cellStyle name="Comma 143" xfId="57858"/>
    <cellStyle name="Comma 144" xfId="57859"/>
    <cellStyle name="Comma 145" xfId="57860"/>
    <cellStyle name="Comma 146" xfId="57861"/>
    <cellStyle name="Comma 147" xfId="57862"/>
    <cellStyle name="Comma 148" xfId="57863"/>
    <cellStyle name="Comma 149" xfId="57864"/>
    <cellStyle name="Comma 15" xfId="3242"/>
    <cellStyle name="Comma 15 10" xfId="37146"/>
    <cellStyle name="Comma 15 10 2" xfId="37147"/>
    <cellStyle name="Comma 15 10 2 2" xfId="37148"/>
    <cellStyle name="Comma 15 10 2 3" xfId="37149"/>
    <cellStyle name="Comma 15 10 3" xfId="37150"/>
    <cellStyle name="Comma 15 10 3 2" xfId="37151"/>
    <cellStyle name="Comma 15 10 4" xfId="37152"/>
    <cellStyle name="Comma 15 10 5" xfId="37153"/>
    <cellStyle name="Comma 15 11" xfId="37154"/>
    <cellStyle name="Comma 15 11 2" xfId="37155"/>
    <cellStyle name="Comma 15 11 3" xfId="37156"/>
    <cellStyle name="Comma 15 12" xfId="37157"/>
    <cellStyle name="Comma 15 12 2" xfId="37158"/>
    <cellStyle name="Comma 15 12 3" xfId="37159"/>
    <cellStyle name="Comma 15 13" xfId="37160"/>
    <cellStyle name="Comma 15 13 2" xfId="37161"/>
    <cellStyle name="Comma 15 14" xfId="37162"/>
    <cellStyle name="Comma 15 15" xfId="37163"/>
    <cellStyle name="Comma 15 16" xfId="37164"/>
    <cellStyle name="Comma 15 2" xfId="8228"/>
    <cellStyle name="Comma 15 2 10" xfId="37165"/>
    <cellStyle name="Comma 15 2 10 2" xfId="37166"/>
    <cellStyle name="Comma 15 2 10 3" xfId="37167"/>
    <cellStyle name="Comma 15 2 11" xfId="37168"/>
    <cellStyle name="Comma 15 2 11 2" xfId="37169"/>
    <cellStyle name="Comma 15 2 11 3" xfId="37170"/>
    <cellStyle name="Comma 15 2 12" xfId="37171"/>
    <cellStyle name="Comma 15 2 12 2" xfId="37172"/>
    <cellStyle name="Comma 15 2 13" xfId="37173"/>
    <cellStyle name="Comma 15 2 14" xfId="37174"/>
    <cellStyle name="Comma 15 2 15" xfId="37175"/>
    <cellStyle name="Comma 15 2 2" xfId="37176"/>
    <cellStyle name="Comma 15 2 2 10" xfId="37177"/>
    <cellStyle name="Comma 15 2 2 10 2" xfId="37178"/>
    <cellStyle name="Comma 15 2 2 10 3" xfId="37179"/>
    <cellStyle name="Comma 15 2 2 11" xfId="37180"/>
    <cellStyle name="Comma 15 2 2 11 2" xfId="37181"/>
    <cellStyle name="Comma 15 2 2 12" xfId="37182"/>
    <cellStyle name="Comma 15 2 2 13" xfId="37183"/>
    <cellStyle name="Comma 15 2 2 2" xfId="37184"/>
    <cellStyle name="Comma 15 2 2 2 10" xfId="37185"/>
    <cellStyle name="Comma 15 2 2 2 10 2" xfId="37186"/>
    <cellStyle name="Comma 15 2 2 2 11" xfId="37187"/>
    <cellStyle name="Comma 15 2 2 2 12" xfId="37188"/>
    <cellStyle name="Comma 15 2 2 2 2" xfId="37189"/>
    <cellStyle name="Comma 15 2 2 2 2 10" xfId="37190"/>
    <cellStyle name="Comma 15 2 2 2 2 2" xfId="37191"/>
    <cellStyle name="Comma 15 2 2 2 2 2 2" xfId="37192"/>
    <cellStyle name="Comma 15 2 2 2 2 2 2 2" xfId="37193"/>
    <cellStyle name="Comma 15 2 2 2 2 2 2 2 2" xfId="37194"/>
    <cellStyle name="Comma 15 2 2 2 2 2 2 2 3" xfId="37195"/>
    <cellStyle name="Comma 15 2 2 2 2 2 2 3" xfId="37196"/>
    <cellStyle name="Comma 15 2 2 2 2 2 2 3 2" xfId="37197"/>
    <cellStyle name="Comma 15 2 2 2 2 2 2 3 3" xfId="37198"/>
    <cellStyle name="Comma 15 2 2 2 2 2 2 4" xfId="37199"/>
    <cellStyle name="Comma 15 2 2 2 2 2 2 4 2" xfId="37200"/>
    <cellStyle name="Comma 15 2 2 2 2 2 2 5" xfId="37201"/>
    <cellStyle name="Comma 15 2 2 2 2 2 2 6" xfId="37202"/>
    <cellStyle name="Comma 15 2 2 2 2 2 3" xfId="37203"/>
    <cellStyle name="Comma 15 2 2 2 2 2 3 2" xfId="37204"/>
    <cellStyle name="Comma 15 2 2 2 2 2 3 2 2" xfId="37205"/>
    <cellStyle name="Comma 15 2 2 2 2 2 3 2 3" xfId="37206"/>
    <cellStyle name="Comma 15 2 2 2 2 2 3 3" xfId="37207"/>
    <cellStyle name="Comma 15 2 2 2 2 2 3 3 2" xfId="37208"/>
    <cellStyle name="Comma 15 2 2 2 2 2 3 3 3" xfId="37209"/>
    <cellStyle name="Comma 15 2 2 2 2 2 3 4" xfId="37210"/>
    <cellStyle name="Comma 15 2 2 2 2 2 3 4 2" xfId="37211"/>
    <cellStyle name="Comma 15 2 2 2 2 2 3 5" xfId="37212"/>
    <cellStyle name="Comma 15 2 2 2 2 2 3 6" xfId="37213"/>
    <cellStyle name="Comma 15 2 2 2 2 2 4" xfId="37214"/>
    <cellStyle name="Comma 15 2 2 2 2 2 4 2" xfId="37215"/>
    <cellStyle name="Comma 15 2 2 2 2 2 4 2 2" xfId="37216"/>
    <cellStyle name="Comma 15 2 2 2 2 2 4 2 3" xfId="37217"/>
    <cellStyle name="Comma 15 2 2 2 2 2 4 3" xfId="37218"/>
    <cellStyle name="Comma 15 2 2 2 2 2 4 3 2" xfId="37219"/>
    <cellStyle name="Comma 15 2 2 2 2 2 4 4" xfId="37220"/>
    <cellStyle name="Comma 15 2 2 2 2 2 4 5" xfId="37221"/>
    <cellStyle name="Comma 15 2 2 2 2 2 5" xfId="37222"/>
    <cellStyle name="Comma 15 2 2 2 2 2 5 2" xfId="37223"/>
    <cellStyle name="Comma 15 2 2 2 2 2 5 3" xfId="37224"/>
    <cellStyle name="Comma 15 2 2 2 2 2 6" xfId="37225"/>
    <cellStyle name="Comma 15 2 2 2 2 2 6 2" xfId="37226"/>
    <cellStyle name="Comma 15 2 2 2 2 2 6 3" xfId="37227"/>
    <cellStyle name="Comma 15 2 2 2 2 2 7" xfId="37228"/>
    <cellStyle name="Comma 15 2 2 2 2 2 7 2" xfId="37229"/>
    <cellStyle name="Comma 15 2 2 2 2 2 8" xfId="37230"/>
    <cellStyle name="Comma 15 2 2 2 2 2 9" xfId="37231"/>
    <cellStyle name="Comma 15 2 2 2 2 3" xfId="37232"/>
    <cellStyle name="Comma 15 2 2 2 2 3 2" xfId="37233"/>
    <cellStyle name="Comma 15 2 2 2 2 3 2 2" xfId="37234"/>
    <cellStyle name="Comma 15 2 2 2 2 3 2 3" xfId="37235"/>
    <cellStyle name="Comma 15 2 2 2 2 3 3" xfId="37236"/>
    <cellStyle name="Comma 15 2 2 2 2 3 3 2" xfId="37237"/>
    <cellStyle name="Comma 15 2 2 2 2 3 3 3" xfId="37238"/>
    <cellStyle name="Comma 15 2 2 2 2 3 4" xfId="37239"/>
    <cellStyle name="Comma 15 2 2 2 2 3 4 2" xfId="37240"/>
    <cellStyle name="Comma 15 2 2 2 2 3 5" xfId="37241"/>
    <cellStyle name="Comma 15 2 2 2 2 3 6" xfId="37242"/>
    <cellStyle name="Comma 15 2 2 2 2 4" xfId="37243"/>
    <cellStyle name="Comma 15 2 2 2 2 4 2" xfId="37244"/>
    <cellStyle name="Comma 15 2 2 2 2 4 2 2" xfId="37245"/>
    <cellStyle name="Comma 15 2 2 2 2 4 2 3" xfId="37246"/>
    <cellStyle name="Comma 15 2 2 2 2 4 3" xfId="37247"/>
    <cellStyle name="Comma 15 2 2 2 2 4 3 2" xfId="37248"/>
    <cellStyle name="Comma 15 2 2 2 2 4 3 3" xfId="37249"/>
    <cellStyle name="Comma 15 2 2 2 2 4 4" xfId="37250"/>
    <cellStyle name="Comma 15 2 2 2 2 4 4 2" xfId="37251"/>
    <cellStyle name="Comma 15 2 2 2 2 4 5" xfId="37252"/>
    <cellStyle name="Comma 15 2 2 2 2 4 6" xfId="37253"/>
    <cellStyle name="Comma 15 2 2 2 2 5" xfId="37254"/>
    <cellStyle name="Comma 15 2 2 2 2 5 2" xfId="37255"/>
    <cellStyle name="Comma 15 2 2 2 2 5 2 2" xfId="37256"/>
    <cellStyle name="Comma 15 2 2 2 2 5 2 3" xfId="37257"/>
    <cellStyle name="Comma 15 2 2 2 2 5 3" xfId="37258"/>
    <cellStyle name="Comma 15 2 2 2 2 5 3 2" xfId="37259"/>
    <cellStyle name="Comma 15 2 2 2 2 5 4" xfId="37260"/>
    <cellStyle name="Comma 15 2 2 2 2 5 5" xfId="37261"/>
    <cellStyle name="Comma 15 2 2 2 2 6" xfId="37262"/>
    <cellStyle name="Comma 15 2 2 2 2 6 2" xfId="37263"/>
    <cellStyle name="Comma 15 2 2 2 2 6 3" xfId="37264"/>
    <cellStyle name="Comma 15 2 2 2 2 7" xfId="37265"/>
    <cellStyle name="Comma 15 2 2 2 2 7 2" xfId="37266"/>
    <cellStyle name="Comma 15 2 2 2 2 7 3" xfId="37267"/>
    <cellStyle name="Comma 15 2 2 2 2 8" xfId="37268"/>
    <cellStyle name="Comma 15 2 2 2 2 8 2" xfId="37269"/>
    <cellStyle name="Comma 15 2 2 2 2 9" xfId="37270"/>
    <cellStyle name="Comma 15 2 2 2 3" xfId="37271"/>
    <cellStyle name="Comma 15 2 2 2 3 2" xfId="37272"/>
    <cellStyle name="Comma 15 2 2 2 3 2 2" xfId="37273"/>
    <cellStyle name="Comma 15 2 2 2 3 2 2 2" xfId="37274"/>
    <cellStyle name="Comma 15 2 2 2 3 2 2 3" xfId="37275"/>
    <cellStyle name="Comma 15 2 2 2 3 2 3" xfId="37276"/>
    <cellStyle name="Comma 15 2 2 2 3 2 3 2" xfId="37277"/>
    <cellStyle name="Comma 15 2 2 2 3 2 3 3" xfId="37278"/>
    <cellStyle name="Comma 15 2 2 2 3 2 4" xfId="37279"/>
    <cellStyle name="Comma 15 2 2 2 3 2 4 2" xfId="37280"/>
    <cellStyle name="Comma 15 2 2 2 3 2 5" xfId="37281"/>
    <cellStyle name="Comma 15 2 2 2 3 2 6" xfId="37282"/>
    <cellStyle name="Comma 15 2 2 2 3 3" xfId="37283"/>
    <cellStyle name="Comma 15 2 2 2 3 3 2" xfId="37284"/>
    <cellStyle name="Comma 15 2 2 2 3 3 2 2" xfId="37285"/>
    <cellStyle name="Comma 15 2 2 2 3 3 2 3" xfId="37286"/>
    <cellStyle name="Comma 15 2 2 2 3 3 3" xfId="37287"/>
    <cellStyle name="Comma 15 2 2 2 3 3 3 2" xfId="37288"/>
    <cellStyle name="Comma 15 2 2 2 3 3 3 3" xfId="37289"/>
    <cellStyle name="Comma 15 2 2 2 3 3 4" xfId="37290"/>
    <cellStyle name="Comma 15 2 2 2 3 3 4 2" xfId="37291"/>
    <cellStyle name="Comma 15 2 2 2 3 3 5" xfId="37292"/>
    <cellStyle name="Comma 15 2 2 2 3 3 6" xfId="37293"/>
    <cellStyle name="Comma 15 2 2 2 3 4" xfId="37294"/>
    <cellStyle name="Comma 15 2 2 2 3 4 2" xfId="37295"/>
    <cellStyle name="Comma 15 2 2 2 3 4 2 2" xfId="37296"/>
    <cellStyle name="Comma 15 2 2 2 3 4 2 3" xfId="37297"/>
    <cellStyle name="Comma 15 2 2 2 3 4 3" xfId="37298"/>
    <cellStyle name="Comma 15 2 2 2 3 4 3 2" xfId="37299"/>
    <cellStyle name="Comma 15 2 2 2 3 4 4" xfId="37300"/>
    <cellStyle name="Comma 15 2 2 2 3 4 5" xfId="37301"/>
    <cellStyle name="Comma 15 2 2 2 3 5" xfId="37302"/>
    <cellStyle name="Comma 15 2 2 2 3 5 2" xfId="37303"/>
    <cellStyle name="Comma 15 2 2 2 3 5 3" xfId="37304"/>
    <cellStyle name="Comma 15 2 2 2 3 6" xfId="37305"/>
    <cellStyle name="Comma 15 2 2 2 3 6 2" xfId="37306"/>
    <cellStyle name="Comma 15 2 2 2 3 6 3" xfId="37307"/>
    <cellStyle name="Comma 15 2 2 2 3 7" xfId="37308"/>
    <cellStyle name="Comma 15 2 2 2 3 7 2" xfId="37309"/>
    <cellStyle name="Comma 15 2 2 2 3 8" xfId="37310"/>
    <cellStyle name="Comma 15 2 2 2 3 9" xfId="37311"/>
    <cellStyle name="Comma 15 2 2 2 4" xfId="37312"/>
    <cellStyle name="Comma 15 2 2 2 4 2" xfId="37313"/>
    <cellStyle name="Comma 15 2 2 2 4 2 2" xfId="37314"/>
    <cellStyle name="Comma 15 2 2 2 4 2 2 2" xfId="37315"/>
    <cellStyle name="Comma 15 2 2 2 4 2 2 3" xfId="37316"/>
    <cellStyle name="Comma 15 2 2 2 4 2 3" xfId="37317"/>
    <cellStyle name="Comma 15 2 2 2 4 2 3 2" xfId="37318"/>
    <cellStyle name="Comma 15 2 2 2 4 2 3 3" xfId="37319"/>
    <cellStyle name="Comma 15 2 2 2 4 2 4" xfId="37320"/>
    <cellStyle name="Comma 15 2 2 2 4 2 4 2" xfId="37321"/>
    <cellStyle name="Comma 15 2 2 2 4 2 5" xfId="37322"/>
    <cellStyle name="Comma 15 2 2 2 4 2 6" xfId="37323"/>
    <cellStyle name="Comma 15 2 2 2 4 3" xfId="37324"/>
    <cellStyle name="Comma 15 2 2 2 4 3 2" xfId="37325"/>
    <cellStyle name="Comma 15 2 2 2 4 3 2 2" xfId="37326"/>
    <cellStyle name="Comma 15 2 2 2 4 3 2 3" xfId="37327"/>
    <cellStyle name="Comma 15 2 2 2 4 3 3" xfId="37328"/>
    <cellStyle name="Comma 15 2 2 2 4 3 3 2" xfId="37329"/>
    <cellStyle name="Comma 15 2 2 2 4 3 3 3" xfId="37330"/>
    <cellStyle name="Comma 15 2 2 2 4 3 4" xfId="37331"/>
    <cellStyle name="Comma 15 2 2 2 4 3 4 2" xfId="37332"/>
    <cellStyle name="Comma 15 2 2 2 4 3 5" xfId="37333"/>
    <cellStyle name="Comma 15 2 2 2 4 3 6" xfId="37334"/>
    <cellStyle name="Comma 15 2 2 2 4 4" xfId="37335"/>
    <cellStyle name="Comma 15 2 2 2 4 4 2" xfId="37336"/>
    <cellStyle name="Comma 15 2 2 2 4 4 2 2" xfId="37337"/>
    <cellStyle name="Comma 15 2 2 2 4 4 2 3" xfId="37338"/>
    <cellStyle name="Comma 15 2 2 2 4 4 3" xfId="37339"/>
    <cellStyle name="Comma 15 2 2 2 4 4 3 2" xfId="37340"/>
    <cellStyle name="Comma 15 2 2 2 4 4 4" xfId="37341"/>
    <cellStyle name="Comma 15 2 2 2 4 4 5" xfId="37342"/>
    <cellStyle name="Comma 15 2 2 2 4 5" xfId="37343"/>
    <cellStyle name="Comma 15 2 2 2 4 5 2" xfId="37344"/>
    <cellStyle name="Comma 15 2 2 2 4 5 3" xfId="37345"/>
    <cellStyle name="Comma 15 2 2 2 4 6" xfId="37346"/>
    <cellStyle name="Comma 15 2 2 2 4 6 2" xfId="37347"/>
    <cellStyle name="Comma 15 2 2 2 4 6 3" xfId="37348"/>
    <cellStyle name="Comma 15 2 2 2 4 7" xfId="37349"/>
    <cellStyle name="Comma 15 2 2 2 4 7 2" xfId="37350"/>
    <cellStyle name="Comma 15 2 2 2 4 8" xfId="37351"/>
    <cellStyle name="Comma 15 2 2 2 4 9" xfId="37352"/>
    <cellStyle name="Comma 15 2 2 2 5" xfId="37353"/>
    <cellStyle name="Comma 15 2 2 2 5 2" xfId="37354"/>
    <cellStyle name="Comma 15 2 2 2 5 2 2" xfId="37355"/>
    <cellStyle name="Comma 15 2 2 2 5 2 3" xfId="37356"/>
    <cellStyle name="Comma 15 2 2 2 5 3" xfId="37357"/>
    <cellStyle name="Comma 15 2 2 2 5 3 2" xfId="37358"/>
    <cellStyle name="Comma 15 2 2 2 5 3 3" xfId="37359"/>
    <cellStyle name="Comma 15 2 2 2 5 4" xfId="37360"/>
    <cellStyle name="Comma 15 2 2 2 5 4 2" xfId="37361"/>
    <cellStyle name="Comma 15 2 2 2 5 5" xfId="37362"/>
    <cellStyle name="Comma 15 2 2 2 5 6" xfId="37363"/>
    <cellStyle name="Comma 15 2 2 2 6" xfId="37364"/>
    <cellStyle name="Comma 15 2 2 2 6 2" xfId="37365"/>
    <cellStyle name="Comma 15 2 2 2 6 2 2" xfId="37366"/>
    <cellStyle name="Comma 15 2 2 2 6 2 3" xfId="37367"/>
    <cellStyle name="Comma 15 2 2 2 6 3" xfId="37368"/>
    <cellStyle name="Comma 15 2 2 2 6 3 2" xfId="37369"/>
    <cellStyle name="Comma 15 2 2 2 6 3 3" xfId="37370"/>
    <cellStyle name="Comma 15 2 2 2 6 4" xfId="37371"/>
    <cellStyle name="Comma 15 2 2 2 6 4 2" xfId="37372"/>
    <cellStyle name="Comma 15 2 2 2 6 5" xfId="37373"/>
    <cellStyle name="Comma 15 2 2 2 6 6" xfId="37374"/>
    <cellStyle name="Comma 15 2 2 2 7" xfId="37375"/>
    <cellStyle name="Comma 15 2 2 2 7 2" xfId="37376"/>
    <cellStyle name="Comma 15 2 2 2 7 2 2" xfId="37377"/>
    <cellStyle name="Comma 15 2 2 2 7 2 3" xfId="37378"/>
    <cellStyle name="Comma 15 2 2 2 7 3" xfId="37379"/>
    <cellStyle name="Comma 15 2 2 2 7 3 2" xfId="37380"/>
    <cellStyle name="Comma 15 2 2 2 7 4" xfId="37381"/>
    <cellStyle name="Comma 15 2 2 2 7 5" xfId="37382"/>
    <cellStyle name="Comma 15 2 2 2 8" xfId="37383"/>
    <cellStyle name="Comma 15 2 2 2 8 2" xfId="37384"/>
    <cellStyle name="Comma 15 2 2 2 8 3" xfId="37385"/>
    <cellStyle name="Comma 15 2 2 2 9" xfId="37386"/>
    <cellStyle name="Comma 15 2 2 2 9 2" xfId="37387"/>
    <cellStyle name="Comma 15 2 2 2 9 3" xfId="37388"/>
    <cellStyle name="Comma 15 2 2 3" xfId="37389"/>
    <cellStyle name="Comma 15 2 2 3 10" xfId="37390"/>
    <cellStyle name="Comma 15 2 2 3 2" xfId="37391"/>
    <cellStyle name="Comma 15 2 2 3 2 2" xfId="37392"/>
    <cellStyle name="Comma 15 2 2 3 2 2 2" xfId="37393"/>
    <cellStyle name="Comma 15 2 2 3 2 2 2 2" xfId="37394"/>
    <cellStyle name="Comma 15 2 2 3 2 2 2 3" xfId="37395"/>
    <cellStyle name="Comma 15 2 2 3 2 2 3" xfId="37396"/>
    <cellStyle name="Comma 15 2 2 3 2 2 3 2" xfId="37397"/>
    <cellStyle name="Comma 15 2 2 3 2 2 3 3" xfId="37398"/>
    <cellStyle name="Comma 15 2 2 3 2 2 4" xfId="37399"/>
    <cellStyle name="Comma 15 2 2 3 2 2 4 2" xfId="37400"/>
    <cellStyle name="Comma 15 2 2 3 2 2 5" xfId="37401"/>
    <cellStyle name="Comma 15 2 2 3 2 2 6" xfId="37402"/>
    <cellStyle name="Comma 15 2 2 3 2 3" xfId="37403"/>
    <cellStyle name="Comma 15 2 2 3 2 3 2" xfId="37404"/>
    <cellStyle name="Comma 15 2 2 3 2 3 2 2" xfId="37405"/>
    <cellStyle name="Comma 15 2 2 3 2 3 2 3" xfId="37406"/>
    <cellStyle name="Comma 15 2 2 3 2 3 3" xfId="37407"/>
    <cellStyle name="Comma 15 2 2 3 2 3 3 2" xfId="37408"/>
    <cellStyle name="Comma 15 2 2 3 2 3 3 3" xfId="37409"/>
    <cellStyle name="Comma 15 2 2 3 2 3 4" xfId="37410"/>
    <cellStyle name="Comma 15 2 2 3 2 3 4 2" xfId="37411"/>
    <cellStyle name="Comma 15 2 2 3 2 3 5" xfId="37412"/>
    <cellStyle name="Comma 15 2 2 3 2 3 6" xfId="37413"/>
    <cellStyle name="Comma 15 2 2 3 2 4" xfId="37414"/>
    <cellStyle name="Comma 15 2 2 3 2 4 2" xfId="37415"/>
    <cellStyle name="Comma 15 2 2 3 2 4 2 2" xfId="37416"/>
    <cellStyle name="Comma 15 2 2 3 2 4 2 3" xfId="37417"/>
    <cellStyle name="Comma 15 2 2 3 2 4 3" xfId="37418"/>
    <cellStyle name="Comma 15 2 2 3 2 4 3 2" xfId="37419"/>
    <cellStyle name="Comma 15 2 2 3 2 4 4" xfId="37420"/>
    <cellStyle name="Comma 15 2 2 3 2 4 5" xfId="37421"/>
    <cellStyle name="Comma 15 2 2 3 2 5" xfId="37422"/>
    <cellStyle name="Comma 15 2 2 3 2 5 2" xfId="37423"/>
    <cellStyle name="Comma 15 2 2 3 2 5 3" xfId="37424"/>
    <cellStyle name="Comma 15 2 2 3 2 6" xfId="37425"/>
    <cellStyle name="Comma 15 2 2 3 2 6 2" xfId="37426"/>
    <cellStyle name="Comma 15 2 2 3 2 6 3" xfId="37427"/>
    <cellStyle name="Comma 15 2 2 3 2 7" xfId="37428"/>
    <cellStyle name="Comma 15 2 2 3 2 7 2" xfId="37429"/>
    <cellStyle name="Comma 15 2 2 3 2 8" xfId="37430"/>
    <cellStyle name="Comma 15 2 2 3 2 9" xfId="37431"/>
    <cellStyle name="Comma 15 2 2 3 3" xfId="37432"/>
    <cellStyle name="Comma 15 2 2 3 3 2" xfId="37433"/>
    <cellStyle name="Comma 15 2 2 3 3 2 2" xfId="37434"/>
    <cellStyle name="Comma 15 2 2 3 3 2 3" xfId="37435"/>
    <cellStyle name="Comma 15 2 2 3 3 3" xfId="37436"/>
    <cellStyle name="Comma 15 2 2 3 3 3 2" xfId="37437"/>
    <cellStyle name="Comma 15 2 2 3 3 3 3" xfId="37438"/>
    <cellStyle name="Comma 15 2 2 3 3 4" xfId="37439"/>
    <cellStyle name="Comma 15 2 2 3 3 4 2" xfId="37440"/>
    <cellStyle name="Comma 15 2 2 3 3 5" xfId="37441"/>
    <cellStyle name="Comma 15 2 2 3 3 6" xfId="37442"/>
    <cellStyle name="Comma 15 2 2 3 4" xfId="37443"/>
    <cellStyle name="Comma 15 2 2 3 4 2" xfId="37444"/>
    <cellStyle name="Comma 15 2 2 3 4 2 2" xfId="37445"/>
    <cellStyle name="Comma 15 2 2 3 4 2 3" xfId="37446"/>
    <cellStyle name="Comma 15 2 2 3 4 3" xfId="37447"/>
    <cellStyle name="Comma 15 2 2 3 4 3 2" xfId="37448"/>
    <cellStyle name="Comma 15 2 2 3 4 3 3" xfId="37449"/>
    <cellStyle name="Comma 15 2 2 3 4 4" xfId="37450"/>
    <cellStyle name="Comma 15 2 2 3 4 4 2" xfId="37451"/>
    <cellStyle name="Comma 15 2 2 3 4 5" xfId="37452"/>
    <cellStyle name="Comma 15 2 2 3 4 6" xfId="37453"/>
    <cellStyle name="Comma 15 2 2 3 5" xfId="37454"/>
    <cellStyle name="Comma 15 2 2 3 5 2" xfId="37455"/>
    <cellStyle name="Comma 15 2 2 3 5 2 2" xfId="37456"/>
    <cellStyle name="Comma 15 2 2 3 5 2 3" xfId="37457"/>
    <cellStyle name="Comma 15 2 2 3 5 3" xfId="37458"/>
    <cellStyle name="Comma 15 2 2 3 5 3 2" xfId="37459"/>
    <cellStyle name="Comma 15 2 2 3 5 4" xfId="37460"/>
    <cellStyle name="Comma 15 2 2 3 5 5" xfId="37461"/>
    <cellStyle name="Comma 15 2 2 3 6" xfId="37462"/>
    <cellStyle name="Comma 15 2 2 3 6 2" xfId="37463"/>
    <cellStyle name="Comma 15 2 2 3 6 3" xfId="37464"/>
    <cellStyle name="Comma 15 2 2 3 7" xfId="37465"/>
    <cellStyle name="Comma 15 2 2 3 7 2" xfId="37466"/>
    <cellStyle name="Comma 15 2 2 3 7 3" xfId="37467"/>
    <cellStyle name="Comma 15 2 2 3 8" xfId="37468"/>
    <cellStyle name="Comma 15 2 2 3 8 2" xfId="37469"/>
    <cellStyle name="Comma 15 2 2 3 9" xfId="37470"/>
    <cellStyle name="Comma 15 2 2 4" xfId="37471"/>
    <cellStyle name="Comma 15 2 2 4 2" xfId="37472"/>
    <cellStyle name="Comma 15 2 2 4 2 2" xfId="37473"/>
    <cellStyle name="Comma 15 2 2 4 2 2 2" xfId="37474"/>
    <cellStyle name="Comma 15 2 2 4 2 2 3" xfId="37475"/>
    <cellStyle name="Comma 15 2 2 4 2 3" xfId="37476"/>
    <cellStyle name="Comma 15 2 2 4 2 3 2" xfId="37477"/>
    <cellStyle name="Comma 15 2 2 4 2 3 3" xfId="37478"/>
    <cellStyle name="Comma 15 2 2 4 2 4" xfId="37479"/>
    <cellStyle name="Comma 15 2 2 4 2 4 2" xfId="37480"/>
    <cellStyle name="Comma 15 2 2 4 2 5" xfId="37481"/>
    <cellStyle name="Comma 15 2 2 4 2 6" xfId="37482"/>
    <cellStyle name="Comma 15 2 2 4 3" xfId="37483"/>
    <cellStyle name="Comma 15 2 2 4 3 2" xfId="37484"/>
    <cellStyle name="Comma 15 2 2 4 3 2 2" xfId="37485"/>
    <cellStyle name="Comma 15 2 2 4 3 2 3" xfId="37486"/>
    <cellStyle name="Comma 15 2 2 4 3 3" xfId="37487"/>
    <cellStyle name="Comma 15 2 2 4 3 3 2" xfId="37488"/>
    <cellStyle name="Comma 15 2 2 4 3 3 3" xfId="37489"/>
    <cellStyle name="Comma 15 2 2 4 3 4" xfId="37490"/>
    <cellStyle name="Comma 15 2 2 4 3 4 2" xfId="37491"/>
    <cellStyle name="Comma 15 2 2 4 3 5" xfId="37492"/>
    <cellStyle name="Comma 15 2 2 4 3 6" xfId="37493"/>
    <cellStyle name="Comma 15 2 2 4 4" xfId="37494"/>
    <cellStyle name="Comma 15 2 2 4 4 2" xfId="37495"/>
    <cellStyle name="Comma 15 2 2 4 4 2 2" xfId="37496"/>
    <cellStyle name="Comma 15 2 2 4 4 2 3" xfId="37497"/>
    <cellStyle name="Comma 15 2 2 4 4 3" xfId="37498"/>
    <cellStyle name="Comma 15 2 2 4 4 3 2" xfId="37499"/>
    <cellStyle name="Comma 15 2 2 4 4 4" xfId="37500"/>
    <cellStyle name="Comma 15 2 2 4 4 5" xfId="37501"/>
    <cellStyle name="Comma 15 2 2 4 5" xfId="37502"/>
    <cellStyle name="Comma 15 2 2 4 5 2" xfId="37503"/>
    <cellStyle name="Comma 15 2 2 4 5 3" xfId="37504"/>
    <cellStyle name="Comma 15 2 2 4 6" xfId="37505"/>
    <cellStyle name="Comma 15 2 2 4 6 2" xfId="37506"/>
    <cellStyle name="Comma 15 2 2 4 6 3" xfId="37507"/>
    <cellStyle name="Comma 15 2 2 4 7" xfId="37508"/>
    <cellStyle name="Comma 15 2 2 4 7 2" xfId="37509"/>
    <cellStyle name="Comma 15 2 2 4 8" xfId="37510"/>
    <cellStyle name="Comma 15 2 2 4 9" xfId="37511"/>
    <cellStyle name="Comma 15 2 2 5" xfId="37512"/>
    <cellStyle name="Comma 15 2 2 5 2" xfId="37513"/>
    <cellStyle name="Comma 15 2 2 5 2 2" xfId="37514"/>
    <cellStyle name="Comma 15 2 2 5 2 2 2" xfId="37515"/>
    <cellStyle name="Comma 15 2 2 5 2 2 3" xfId="37516"/>
    <cellStyle name="Comma 15 2 2 5 2 3" xfId="37517"/>
    <cellStyle name="Comma 15 2 2 5 2 3 2" xfId="37518"/>
    <cellStyle name="Comma 15 2 2 5 2 3 3" xfId="37519"/>
    <cellStyle name="Comma 15 2 2 5 2 4" xfId="37520"/>
    <cellStyle name="Comma 15 2 2 5 2 4 2" xfId="37521"/>
    <cellStyle name="Comma 15 2 2 5 2 5" xfId="37522"/>
    <cellStyle name="Comma 15 2 2 5 2 6" xfId="37523"/>
    <cellStyle name="Comma 15 2 2 5 3" xfId="37524"/>
    <cellStyle name="Comma 15 2 2 5 3 2" xfId="37525"/>
    <cellStyle name="Comma 15 2 2 5 3 2 2" xfId="37526"/>
    <cellStyle name="Comma 15 2 2 5 3 2 3" xfId="37527"/>
    <cellStyle name="Comma 15 2 2 5 3 3" xfId="37528"/>
    <cellStyle name="Comma 15 2 2 5 3 3 2" xfId="37529"/>
    <cellStyle name="Comma 15 2 2 5 3 3 3" xfId="37530"/>
    <cellStyle name="Comma 15 2 2 5 3 4" xfId="37531"/>
    <cellStyle name="Comma 15 2 2 5 3 4 2" xfId="37532"/>
    <cellStyle name="Comma 15 2 2 5 3 5" xfId="37533"/>
    <cellStyle name="Comma 15 2 2 5 3 6" xfId="37534"/>
    <cellStyle name="Comma 15 2 2 5 4" xfId="37535"/>
    <cellStyle name="Comma 15 2 2 5 4 2" xfId="37536"/>
    <cellStyle name="Comma 15 2 2 5 4 2 2" xfId="37537"/>
    <cellStyle name="Comma 15 2 2 5 4 2 3" xfId="37538"/>
    <cellStyle name="Comma 15 2 2 5 4 3" xfId="37539"/>
    <cellStyle name="Comma 15 2 2 5 4 3 2" xfId="37540"/>
    <cellStyle name="Comma 15 2 2 5 4 4" xfId="37541"/>
    <cellStyle name="Comma 15 2 2 5 4 5" xfId="37542"/>
    <cellStyle name="Comma 15 2 2 5 5" xfId="37543"/>
    <cellStyle name="Comma 15 2 2 5 5 2" xfId="37544"/>
    <cellStyle name="Comma 15 2 2 5 5 3" xfId="37545"/>
    <cellStyle name="Comma 15 2 2 5 6" xfId="37546"/>
    <cellStyle name="Comma 15 2 2 5 6 2" xfId="37547"/>
    <cellStyle name="Comma 15 2 2 5 6 3" xfId="37548"/>
    <cellStyle name="Comma 15 2 2 5 7" xfId="37549"/>
    <cellStyle name="Comma 15 2 2 5 7 2" xfId="37550"/>
    <cellStyle name="Comma 15 2 2 5 8" xfId="37551"/>
    <cellStyle name="Comma 15 2 2 5 9" xfId="37552"/>
    <cellStyle name="Comma 15 2 2 6" xfId="37553"/>
    <cellStyle name="Comma 15 2 2 6 2" xfId="37554"/>
    <cellStyle name="Comma 15 2 2 6 2 2" xfId="37555"/>
    <cellStyle name="Comma 15 2 2 6 2 3" xfId="37556"/>
    <cellStyle name="Comma 15 2 2 6 3" xfId="37557"/>
    <cellStyle name="Comma 15 2 2 6 3 2" xfId="37558"/>
    <cellStyle name="Comma 15 2 2 6 3 3" xfId="37559"/>
    <cellStyle name="Comma 15 2 2 6 4" xfId="37560"/>
    <cellStyle name="Comma 15 2 2 6 4 2" xfId="37561"/>
    <cellStyle name="Comma 15 2 2 6 5" xfId="37562"/>
    <cellStyle name="Comma 15 2 2 6 6" xfId="37563"/>
    <cellStyle name="Comma 15 2 2 7" xfId="37564"/>
    <cellStyle name="Comma 15 2 2 7 2" xfId="37565"/>
    <cellStyle name="Comma 15 2 2 7 2 2" xfId="37566"/>
    <cellStyle name="Comma 15 2 2 7 2 3" xfId="37567"/>
    <cellStyle name="Comma 15 2 2 7 3" xfId="37568"/>
    <cellStyle name="Comma 15 2 2 7 3 2" xfId="37569"/>
    <cellStyle name="Comma 15 2 2 7 3 3" xfId="37570"/>
    <cellStyle name="Comma 15 2 2 7 4" xfId="37571"/>
    <cellStyle name="Comma 15 2 2 7 4 2" xfId="37572"/>
    <cellStyle name="Comma 15 2 2 7 5" xfId="37573"/>
    <cellStyle name="Comma 15 2 2 7 6" xfId="37574"/>
    <cellStyle name="Comma 15 2 2 8" xfId="37575"/>
    <cellStyle name="Comma 15 2 2 8 2" xfId="37576"/>
    <cellStyle name="Comma 15 2 2 8 2 2" xfId="37577"/>
    <cellStyle name="Comma 15 2 2 8 2 3" xfId="37578"/>
    <cellStyle name="Comma 15 2 2 8 3" xfId="37579"/>
    <cellStyle name="Comma 15 2 2 8 3 2" xfId="37580"/>
    <cellStyle name="Comma 15 2 2 8 4" xfId="37581"/>
    <cellStyle name="Comma 15 2 2 8 5" xfId="37582"/>
    <cellStyle name="Comma 15 2 2 9" xfId="37583"/>
    <cellStyle name="Comma 15 2 2 9 2" xfId="37584"/>
    <cellStyle name="Comma 15 2 2 9 3" xfId="37585"/>
    <cellStyle name="Comma 15 2 3" xfId="37586"/>
    <cellStyle name="Comma 15 2 3 10" xfId="37587"/>
    <cellStyle name="Comma 15 2 3 10 2" xfId="37588"/>
    <cellStyle name="Comma 15 2 3 11" xfId="37589"/>
    <cellStyle name="Comma 15 2 3 12" xfId="37590"/>
    <cellStyle name="Comma 15 2 3 2" xfId="37591"/>
    <cellStyle name="Comma 15 2 3 2 10" xfId="37592"/>
    <cellStyle name="Comma 15 2 3 2 2" xfId="37593"/>
    <cellStyle name="Comma 15 2 3 2 2 2" xfId="37594"/>
    <cellStyle name="Comma 15 2 3 2 2 2 2" xfId="37595"/>
    <cellStyle name="Comma 15 2 3 2 2 2 2 2" xfId="37596"/>
    <cellStyle name="Comma 15 2 3 2 2 2 2 3" xfId="37597"/>
    <cellStyle name="Comma 15 2 3 2 2 2 3" xfId="37598"/>
    <cellStyle name="Comma 15 2 3 2 2 2 3 2" xfId="37599"/>
    <cellStyle name="Comma 15 2 3 2 2 2 3 3" xfId="37600"/>
    <cellStyle name="Comma 15 2 3 2 2 2 4" xfId="37601"/>
    <cellStyle name="Comma 15 2 3 2 2 2 4 2" xfId="37602"/>
    <cellStyle name="Comma 15 2 3 2 2 2 5" xfId="37603"/>
    <cellStyle name="Comma 15 2 3 2 2 2 6" xfId="37604"/>
    <cellStyle name="Comma 15 2 3 2 2 3" xfId="37605"/>
    <cellStyle name="Comma 15 2 3 2 2 3 2" xfId="37606"/>
    <cellStyle name="Comma 15 2 3 2 2 3 2 2" xfId="37607"/>
    <cellStyle name="Comma 15 2 3 2 2 3 2 3" xfId="37608"/>
    <cellStyle name="Comma 15 2 3 2 2 3 3" xfId="37609"/>
    <cellStyle name="Comma 15 2 3 2 2 3 3 2" xfId="37610"/>
    <cellStyle name="Comma 15 2 3 2 2 3 3 3" xfId="37611"/>
    <cellStyle name="Comma 15 2 3 2 2 3 4" xfId="37612"/>
    <cellStyle name="Comma 15 2 3 2 2 3 4 2" xfId="37613"/>
    <cellStyle name="Comma 15 2 3 2 2 3 5" xfId="37614"/>
    <cellStyle name="Comma 15 2 3 2 2 3 6" xfId="37615"/>
    <cellStyle name="Comma 15 2 3 2 2 4" xfId="37616"/>
    <cellStyle name="Comma 15 2 3 2 2 4 2" xfId="37617"/>
    <cellStyle name="Comma 15 2 3 2 2 4 2 2" xfId="37618"/>
    <cellStyle name="Comma 15 2 3 2 2 4 2 3" xfId="37619"/>
    <cellStyle name="Comma 15 2 3 2 2 4 3" xfId="37620"/>
    <cellStyle name="Comma 15 2 3 2 2 4 3 2" xfId="37621"/>
    <cellStyle name="Comma 15 2 3 2 2 4 4" xfId="37622"/>
    <cellStyle name="Comma 15 2 3 2 2 4 5" xfId="37623"/>
    <cellStyle name="Comma 15 2 3 2 2 5" xfId="37624"/>
    <cellStyle name="Comma 15 2 3 2 2 5 2" xfId="37625"/>
    <cellStyle name="Comma 15 2 3 2 2 5 3" xfId="37626"/>
    <cellStyle name="Comma 15 2 3 2 2 6" xfId="37627"/>
    <cellStyle name="Comma 15 2 3 2 2 6 2" xfId="37628"/>
    <cellStyle name="Comma 15 2 3 2 2 6 3" xfId="37629"/>
    <cellStyle name="Comma 15 2 3 2 2 7" xfId="37630"/>
    <cellStyle name="Comma 15 2 3 2 2 7 2" xfId="37631"/>
    <cellStyle name="Comma 15 2 3 2 2 8" xfId="37632"/>
    <cellStyle name="Comma 15 2 3 2 2 9" xfId="37633"/>
    <cellStyle name="Comma 15 2 3 2 3" xfId="37634"/>
    <cellStyle name="Comma 15 2 3 2 3 2" xfId="37635"/>
    <cellStyle name="Comma 15 2 3 2 3 2 2" xfId="37636"/>
    <cellStyle name="Comma 15 2 3 2 3 2 3" xfId="37637"/>
    <cellStyle name="Comma 15 2 3 2 3 3" xfId="37638"/>
    <cellStyle name="Comma 15 2 3 2 3 3 2" xfId="37639"/>
    <cellStyle name="Comma 15 2 3 2 3 3 3" xfId="37640"/>
    <cellStyle name="Comma 15 2 3 2 3 4" xfId="37641"/>
    <cellStyle name="Comma 15 2 3 2 3 4 2" xfId="37642"/>
    <cellStyle name="Comma 15 2 3 2 3 5" xfId="37643"/>
    <cellStyle name="Comma 15 2 3 2 3 6" xfId="37644"/>
    <cellStyle name="Comma 15 2 3 2 4" xfId="37645"/>
    <cellStyle name="Comma 15 2 3 2 4 2" xfId="37646"/>
    <cellStyle name="Comma 15 2 3 2 4 2 2" xfId="37647"/>
    <cellStyle name="Comma 15 2 3 2 4 2 3" xfId="37648"/>
    <cellStyle name="Comma 15 2 3 2 4 3" xfId="37649"/>
    <cellStyle name="Comma 15 2 3 2 4 3 2" xfId="37650"/>
    <cellStyle name="Comma 15 2 3 2 4 3 3" xfId="37651"/>
    <cellStyle name="Comma 15 2 3 2 4 4" xfId="37652"/>
    <cellStyle name="Comma 15 2 3 2 4 4 2" xfId="37653"/>
    <cellStyle name="Comma 15 2 3 2 4 5" xfId="37654"/>
    <cellStyle name="Comma 15 2 3 2 4 6" xfId="37655"/>
    <cellStyle name="Comma 15 2 3 2 5" xfId="37656"/>
    <cellStyle name="Comma 15 2 3 2 5 2" xfId="37657"/>
    <cellStyle name="Comma 15 2 3 2 5 2 2" xfId="37658"/>
    <cellStyle name="Comma 15 2 3 2 5 2 3" xfId="37659"/>
    <cellStyle name="Comma 15 2 3 2 5 3" xfId="37660"/>
    <cellStyle name="Comma 15 2 3 2 5 3 2" xfId="37661"/>
    <cellStyle name="Comma 15 2 3 2 5 4" xfId="37662"/>
    <cellStyle name="Comma 15 2 3 2 5 5" xfId="37663"/>
    <cellStyle name="Comma 15 2 3 2 6" xfId="37664"/>
    <cellStyle name="Comma 15 2 3 2 6 2" xfId="37665"/>
    <cellStyle name="Comma 15 2 3 2 6 3" xfId="37666"/>
    <cellStyle name="Comma 15 2 3 2 7" xfId="37667"/>
    <cellStyle name="Comma 15 2 3 2 7 2" xfId="37668"/>
    <cellStyle name="Comma 15 2 3 2 7 3" xfId="37669"/>
    <cellStyle name="Comma 15 2 3 2 8" xfId="37670"/>
    <cellStyle name="Comma 15 2 3 2 8 2" xfId="37671"/>
    <cellStyle name="Comma 15 2 3 2 9" xfId="37672"/>
    <cellStyle name="Comma 15 2 3 3" xfId="37673"/>
    <cellStyle name="Comma 15 2 3 3 2" xfId="37674"/>
    <cellStyle name="Comma 15 2 3 3 2 2" xfId="37675"/>
    <cellStyle name="Comma 15 2 3 3 2 2 2" xfId="37676"/>
    <cellStyle name="Comma 15 2 3 3 2 2 3" xfId="37677"/>
    <cellStyle name="Comma 15 2 3 3 2 3" xfId="37678"/>
    <cellStyle name="Comma 15 2 3 3 2 3 2" xfId="37679"/>
    <cellStyle name="Comma 15 2 3 3 2 3 3" xfId="37680"/>
    <cellStyle name="Comma 15 2 3 3 2 4" xfId="37681"/>
    <cellStyle name="Comma 15 2 3 3 2 4 2" xfId="37682"/>
    <cellStyle name="Comma 15 2 3 3 2 5" xfId="37683"/>
    <cellStyle name="Comma 15 2 3 3 2 6" xfId="37684"/>
    <cellStyle name="Comma 15 2 3 3 3" xfId="37685"/>
    <cellStyle name="Comma 15 2 3 3 3 2" xfId="37686"/>
    <cellStyle name="Comma 15 2 3 3 3 2 2" xfId="37687"/>
    <cellStyle name="Comma 15 2 3 3 3 2 3" xfId="37688"/>
    <cellStyle name="Comma 15 2 3 3 3 3" xfId="37689"/>
    <cellStyle name="Comma 15 2 3 3 3 3 2" xfId="37690"/>
    <cellStyle name="Comma 15 2 3 3 3 3 3" xfId="37691"/>
    <cellStyle name="Comma 15 2 3 3 3 4" xfId="37692"/>
    <cellStyle name="Comma 15 2 3 3 3 4 2" xfId="37693"/>
    <cellStyle name="Comma 15 2 3 3 3 5" xfId="37694"/>
    <cellStyle name="Comma 15 2 3 3 3 6" xfId="37695"/>
    <cellStyle name="Comma 15 2 3 3 4" xfId="37696"/>
    <cellStyle name="Comma 15 2 3 3 4 2" xfId="37697"/>
    <cellStyle name="Comma 15 2 3 3 4 2 2" xfId="37698"/>
    <cellStyle name="Comma 15 2 3 3 4 2 3" xfId="37699"/>
    <cellStyle name="Comma 15 2 3 3 4 3" xfId="37700"/>
    <cellStyle name="Comma 15 2 3 3 4 3 2" xfId="37701"/>
    <cellStyle name="Comma 15 2 3 3 4 4" xfId="37702"/>
    <cellStyle name="Comma 15 2 3 3 4 5" xfId="37703"/>
    <cellStyle name="Comma 15 2 3 3 5" xfId="37704"/>
    <cellStyle name="Comma 15 2 3 3 5 2" xfId="37705"/>
    <cellStyle name="Comma 15 2 3 3 5 3" xfId="37706"/>
    <cellStyle name="Comma 15 2 3 3 6" xfId="37707"/>
    <cellStyle name="Comma 15 2 3 3 6 2" xfId="37708"/>
    <cellStyle name="Comma 15 2 3 3 6 3" xfId="37709"/>
    <cellStyle name="Comma 15 2 3 3 7" xfId="37710"/>
    <cellStyle name="Comma 15 2 3 3 7 2" xfId="37711"/>
    <cellStyle name="Comma 15 2 3 3 8" xfId="37712"/>
    <cellStyle name="Comma 15 2 3 3 9" xfId="37713"/>
    <cellStyle name="Comma 15 2 3 4" xfId="37714"/>
    <cellStyle name="Comma 15 2 3 4 2" xfId="37715"/>
    <cellStyle name="Comma 15 2 3 4 2 2" xfId="37716"/>
    <cellStyle name="Comma 15 2 3 4 2 2 2" xfId="37717"/>
    <cellStyle name="Comma 15 2 3 4 2 2 3" xfId="37718"/>
    <cellStyle name="Comma 15 2 3 4 2 3" xfId="37719"/>
    <cellStyle name="Comma 15 2 3 4 2 3 2" xfId="37720"/>
    <cellStyle name="Comma 15 2 3 4 2 3 3" xfId="37721"/>
    <cellStyle name="Comma 15 2 3 4 2 4" xfId="37722"/>
    <cellStyle name="Comma 15 2 3 4 2 4 2" xfId="37723"/>
    <cellStyle name="Comma 15 2 3 4 2 5" xfId="37724"/>
    <cellStyle name="Comma 15 2 3 4 2 6" xfId="37725"/>
    <cellStyle name="Comma 15 2 3 4 3" xfId="37726"/>
    <cellStyle name="Comma 15 2 3 4 3 2" xfId="37727"/>
    <cellStyle name="Comma 15 2 3 4 3 2 2" xfId="37728"/>
    <cellStyle name="Comma 15 2 3 4 3 2 3" xfId="37729"/>
    <cellStyle name="Comma 15 2 3 4 3 3" xfId="37730"/>
    <cellStyle name="Comma 15 2 3 4 3 3 2" xfId="37731"/>
    <cellStyle name="Comma 15 2 3 4 3 3 3" xfId="37732"/>
    <cellStyle name="Comma 15 2 3 4 3 4" xfId="37733"/>
    <cellStyle name="Comma 15 2 3 4 3 4 2" xfId="37734"/>
    <cellStyle name="Comma 15 2 3 4 3 5" xfId="37735"/>
    <cellStyle name="Comma 15 2 3 4 3 6" xfId="37736"/>
    <cellStyle name="Comma 15 2 3 4 4" xfId="37737"/>
    <cellStyle name="Comma 15 2 3 4 4 2" xfId="37738"/>
    <cellStyle name="Comma 15 2 3 4 4 2 2" xfId="37739"/>
    <cellStyle name="Comma 15 2 3 4 4 2 3" xfId="37740"/>
    <cellStyle name="Comma 15 2 3 4 4 3" xfId="37741"/>
    <cellStyle name="Comma 15 2 3 4 4 3 2" xfId="37742"/>
    <cellStyle name="Comma 15 2 3 4 4 4" xfId="37743"/>
    <cellStyle name="Comma 15 2 3 4 4 5" xfId="37744"/>
    <cellStyle name="Comma 15 2 3 4 5" xfId="37745"/>
    <cellStyle name="Comma 15 2 3 4 5 2" xfId="37746"/>
    <cellStyle name="Comma 15 2 3 4 5 3" xfId="37747"/>
    <cellStyle name="Comma 15 2 3 4 6" xfId="37748"/>
    <cellStyle name="Comma 15 2 3 4 6 2" xfId="37749"/>
    <cellStyle name="Comma 15 2 3 4 6 3" xfId="37750"/>
    <cellStyle name="Comma 15 2 3 4 7" xfId="37751"/>
    <cellStyle name="Comma 15 2 3 4 7 2" xfId="37752"/>
    <cellStyle name="Comma 15 2 3 4 8" xfId="37753"/>
    <cellStyle name="Comma 15 2 3 4 9" xfId="37754"/>
    <cellStyle name="Comma 15 2 3 5" xfId="37755"/>
    <cellStyle name="Comma 15 2 3 5 2" xfId="37756"/>
    <cellStyle name="Comma 15 2 3 5 2 2" xfId="37757"/>
    <cellStyle name="Comma 15 2 3 5 2 3" xfId="37758"/>
    <cellStyle name="Comma 15 2 3 5 3" xfId="37759"/>
    <cellStyle name="Comma 15 2 3 5 3 2" xfId="37760"/>
    <cellStyle name="Comma 15 2 3 5 3 3" xfId="37761"/>
    <cellStyle name="Comma 15 2 3 5 4" xfId="37762"/>
    <cellStyle name="Comma 15 2 3 5 4 2" xfId="37763"/>
    <cellStyle name="Comma 15 2 3 5 5" xfId="37764"/>
    <cellStyle name="Comma 15 2 3 5 6" xfId="37765"/>
    <cellStyle name="Comma 15 2 3 6" xfId="37766"/>
    <cellStyle name="Comma 15 2 3 6 2" xfId="37767"/>
    <cellStyle name="Comma 15 2 3 6 2 2" xfId="37768"/>
    <cellStyle name="Comma 15 2 3 6 2 3" xfId="37769"/>
    <cellStyle name="Comma 15 2 3 6 3" xfId="37770"/>
    <cellStyle name="Comma 15 2 3 6 3 2" xfId="37771"/>
    <cellStyle name="Comma 15 2 3 6 3 3" xfId="37772"/>
    <cellStyle name="Comma 15 2 3 6 4" xfId="37773"/>
    <cellStyle name="Comma 15 2 3 6 4 2" xfId="37774"/>
    <cellStyle name="Comma 15 2 3 6 5" xfId="37775"/>
    <cellStyle name="Comma 15 2 3 6 6" xfId="37776"/>
    <cellStyle name="Comma 15 2 3 7" xfId="37777"/>
    <cellStyle name="Comma 15 2 3 7 2" xfId="37778"/>
    <cellStyle name="Comma 15 2 3 7 2 2" xfId="37779"/>
    <cellStyle name="Comma 15 2 3 7 2 3" xfId="37780"/>
    <cellStyle name="Comma 15 2 3 7 3" xfId="37781"/>
    <cellStyle name="Comma 15 2 3 7 3 2" xfId="37782"/>
    <cellStyle name="Comma 15 2 3 7 4" xfId="37783"/>
    <cellStyle name="Comma 15 2 3 7 5" xfId="37784"/>
    <cellStyle name="Comma 15 2 3 8" xfId="37785"/>
    <cellStyle name="Comma 15 2 3 8 2" xfId="37786"/>
    <cellStyle name="Comma 15 2 3 8 3" xfId="37787"/>
    <cellStyle name="Comma 15 2 3 9" xfId="37788"/>
    <cellStyle name="Comma 15 2 3 9 2" xfId="37789"/>
    <cellStyle name="Comma 15 2 3 9 3" xfId="37790"/>
    <cellStyle name="Comma 15 2 4" xfId="37791"/>
    <cellStyle name="Comma 15 2 4 10" xfId="37792"/>
    <cellStyle name="Comma 15 2 4 2" xfId="37793"/>
    <cellStyle name="Comma 15 2 4 2 2" xfId="37794"/>
    <cellStyle name="Comma 15 2 4 2 2 2" xfId="37795"/>
    <cellStyle name="Comma 15 2 4 2 2 2 2" xfId="37796"/>
    <cellStyle name="Comma 15 2 4 2 2 2 3" xfId="37797"/>
    <cellStyle name="Comma 15 2 4 2 2 3" xfId="37798"/>
    <cellStyle name="Comma 15 2 4 2 2 3 2" xfId="37799"/>
    <cellStyle name="Comma 15 2 4 2 2 3 3" xfId="37800"/>
    <cellStyle name="Comma 15 2 4 2 2 4" xfId="37801"/>
    <cellStyle name="Comma 15 2 4 2 2 4 2" xfId="37802"/>
    <cellStyle name="Comma 15 2 4 2 2 5" xfId="37803"/>
    <cellStyle name="Comma 15 2 4 2 2 6" xfId="37804"/>
    <cellStyle name="Comma 15 2 4 2 3" xfId="37805"/>
    <cellStyle name="Comma 15 2 4 2 3 2" xfId="37806"/>
    <cellStyle name="Comma 15 2 4 2 3 2 2" xfId="37807"/>
    <cellStyle name="Comma 15 2 4 2 3 2 3" xfId="37808"/>
    <cellStyle name="Comma 15 2 4 2 3 3" xfId="37809"/>
    <cellStyle name="Comma 15 2 4 2 3 3 2" xfId="37810"/>
    <cellStyle name="Comma 15 2 4 2 3 3 3" xfId="37811"/>
    <cellStyle name="Comma 15 2 4 2 3 4" xfId="37812"/>
    <cellStyle name="Comma 15 2 4 2 3 4 2" xfId="37813"/>
    <cellStyle name="Comma 15 2 4 2 3 5" xfId="37814"/>
    <cellStyle name="Comma 15 2 4 2 3 6" xfId="37815"/>
    <cellStyle name="Comma 15 2 4 2 4" xfId="37816"/>
    <cellStyle name="Comma 15 2 4 2 4 2" xfId="37817"/>
    <cellStyle name="Comma 15 2 4 2 4 2 2" xfId="37818"/>
    <cellStyle name="Comma 15 2 4 2 4 2 3" xfId="37819"/>
    <cellStyle name="Comma 15 2 4 2 4 3" xfId="37820"/>
    <cellStyle name="Comma 15 2 4 2 4 3 2" xfId="37821"/>
    <cellStyle name="Comma 15 2 4 2 4 4" xfId="37822"/>
    <cellStyle name="Comma 15 2 4 2 4 5" xfId="37823"/>
    <cellStyle name="Comma 15 2 4 2 5" xfId="37824"/>
    <cellStyle name="Comma 15 2 4 2 5 2" xfId="37825"/>
    <cellStyle name="Comma 15 2 4 2 5 3" xfId="37826"/>
    <cellStyle name="Comma 15 2 4 2 6" xfId="37827"/>
    <cellStyle name="Comma 15 2 4 2 6 2" xfId="37828"/>
    <cellStyle name="Comma 15 2 4 2 6 3" xfId="37829"/>
    <cellStyle name="Comma 15 2 4 2 7" xfId="37830"/>
    <cellStyle name="Comma 15 2 4 2 7 2" xfId="37831"/>
    <cellStyle name="Comma 15 2 4 2 8" xfId="37832"/>
    <cellStyle name="Comma 15 2 4 2 9" xfId="37833"/>
    <cellStyle name="Comma 15 2 4 3" xfId="37834"/>
    <cellStyle name="Comma 15 2 4 3 2" xfId="37835"/>
    <cellStyle name="Comma 15 2 4 3 2 2" xfId="37836"/>
    <cellStyle name="Comma 15 2 4 3 2 3" xfId="37837"/>
    <cellStyle name="Comma 15 2 4 3 3" xfId="37838"/>
    <cellStyle name="Comma 15 2 4 3 3 2" xfId="37839"/>
    <cellStyle name="Comma 15 2 4 3 3 3" xfId="37840"/>
    <cellStyle name="Comma 15 2 4 3 4" xfId="37841"/>
    <cellStyle name="Comma 15 2 4 3 4 2" xfId="37842"/>
    <cellStyle name="Comma 15 2 4 3 5" xfId="37843"/>
    <cellStyle name="Comma 15 2 4 3 6" xfId="37844"/>
    <cellStyle name="Comma 15 2 4 4" xfId="37845"/>
    <cellStyle name="Comma 15 2 4 4 2" xfId="37846"/>
    <cellStyle name="Comma 15 2 4 4 2 2" xfId="37847"/>
    <cellStyle name="Comma 15 2 4 4 2 3" xfId="37848"/>
    <cellStyle name="Comma 15 2 4 4 3" xfId="37849"/>
    <cellStyle name="Comma 15 2 4 4 3 2" xfId="37850"/>
    <cellStyle name="Comma 15 2 4 4 3 3" xfId="37851"/>
    <cellStyle name="Comma 15 2 4 4 4" xfId="37852"/>
    <cellStyle name="Comma 15 2 4 4 4 2" xfId="37853"/>
    <cellStyle name="Comma 15 2 4 4 5" xfId="37854"/>
    <cellStyle name="Comma 15 2 4 4 6" xfId="37855"/>
    <cellStyle name="Comma 15 2 4 5" xfId="37856"/>
    <cellStyle name="Comma 15 2 4 5 2" xfId="37857"/>
    <cellStyle name="Comma 15 2 4 5 2 2" xfId="37858"/>
    <cellStyle name="Comma 15 2 4 5 2 3" xfId="37859"/>
    <cellStyle name="Comma 15 2 4 5 3" xfId="37860"/>
    <cellStyle name="Comma 15 2 4 5 3 2" xfId="37861"/>
    <cellStyle name="Comma 15 2 4 5 4" xfId="37862"/>
    <cellStyle name="Comma 15 2 4 5 5" xfId="37863"/>
    <cellStyle name="Comma 15 2 4 6" xfId="37864"/>
    <cellStyle name="Comma 15 2 4 6 2" xfId="37865"/>
    <cellStyle name="Comma 15 2 4 6 3" xfId="37866"/>
    <cellStyle name="Comma 15 2 4 7" xfId="37867"/>
    <cellStyle name="Comma 15 2 4 7 2" xfId="37868"/>
    <cellStyle name="Comma 15 2 4 7 3" xfId="37869"/>
    <cellStyle name="Comma 15 2 4 8" xfId="37870"/>
    <cellStyle name="Comma 15 2 4 8 2" xfId="37871"/>
    <cellStyle name="Comma 15 2 4 9" xfId="37872"/>
    <cellStyle name="Comma 15 2 5" xfId="37873"/>
    <cellStyle name="Comma 15 2 5 2" xfId="37874"/>
    <cellStyle name="Comma 15 2 5 2 2" xfId="37875"/>
    <cellStyle name="Comma 15 2 5 2 2 2" xfId="37876"/>
    <cellStyle name="Comma 15 2 5 2 2 3" xfId="37877"/>
    <cellStyle name="Comma 15 2 5 2 3" xfId="37878"/>
    <cellStyle name="Comma 15 2 5 2 3 2" xfId="37879"/>
    <cellStyle name="Comma 15 2 5 2 3 3" xfId="37880"/>
    <cellStyle name="Comma 15 2 5 2 4" xfId="37881"/>
    <cellStyle name="Comma 15 2 5 2 4 2" xfId="37882"/>
    <cellStyle name="Comma 15 2 5 2 5" xfId="37883"/>
    <cellStyle name="Comma 15 2 5 2 6" xfId="37884"/>
    <cellStyle name="Comma 15 2 5 3" xfId="37885"/>
    <cellStyle name="Comma 15 2 5 3 2" xfId="37886"/>
    <cellStyle name="Comma 15 2 5 3 2 2" xfId="37887"/>
    <cellStyle name="Comma 15 2 5 3 2 3" xfId="37888"/>
    <cellStyle name="Comma 15 2 5 3 3" xfId="37889"/>
    <cellStyle name="Comma 15 2 5 3 3 2" xfId="37890"/>
    <cellStyle name="Comma 15 2 5 3 3 3" xfId="37891"/>
    <cellStyle name="Comma 15 2 5 3 4" xfId="37892"/>
    <cellStyle name="Comma 15 2 5 3 4 2" xfId="37893"/>
    <cellStyle name="Comma 15 2 5 3 5" xfId="37894"/>
    <cellStyle name="Comma 15 2 5 3 6" xfId="37895"/>
    <cellStyle name="Comma 15 2 5 4" xfId="37896"/>
    <cellStyle name="Comma 15 2 5 4 2" xfId="37897"/>
    <cellStyle name="Comma 15 2 5 4 2 2" xfId="37898"/>
    <cellStyle name="Comma 15 2 5 4 2 3" xfId="37899"/>
    <cellStyle name="Comma 15 2 5 4 3" xfId="37900"/>
    <cellStyle name="Comma 15 2 5 4 3 2" xfId="37901"/>
    <cellStyle name="Comma 15 2 5 4 4" xfId="37902"/>
    <cellStyle name="Comma 15 2 5 4 5" xfId="37903"/>
    <cellStyle name="Comma 15 2 5 5" xfId="37904"/>
    <cellStyle name="Comma 15 2 5 5 2" xfId="37905"/>
    <cellStyle name="Comma 15 2 5 5 3" xfId="37906"/>
    <cellStyle name="Comma 15 2 5 6" xfId="37907"/>
    <cellStyle name="Comma 15 2 5 6 2" xfId="37908"/>
    <cellStyle name="Comma 15 2 5 6 3" xfId="37909"/>
    <cellStyle name="Comma 15 2 5 7" xfId="37910"/>
    <cellStyle name="Comma 15 2 5 7 2" xfId="37911"/>
    <cellStyle name="Comma 15 2 5 8" xfId="37912"/>
    <cellStyle name="Comma 15 2 5 9" xfId="37913"/>
    <cellStyle name="Comma 15 2 6" xfId="37914"/>
    <cellStyle name="Comma 15 2 6 2" xfId="37915"/>
    <cellStyle name="Comma 15 2 6 2 2" xfId="37916"/>
    <cellStyle name="Comma 15 2 6 2 2 2" xfId="37917"/>
    <cellStyle name="Comma 15 2 6 2 2 3" xfId="37918"/>
    <cellStyle name="Comma 15 2 6 2 3" xfId="37919"/>
    <cellStyle name="Comma 15 2 6 2 3 2" xfId="37920"/>
    <cellStyle name="Comma 15 2 6 2 3 3" xfId="37921"/>
    <cellStyle name="Comma 15 2 6 2 4" xfId="37922"/>
    <cellStyle name="Comma 15 2 6 2 4 2" xfId="37923"/>
    <cellStyle name="Comma 15 2 6 2 5" xfId="37924"/>
    <cellStyle name="Comma 15 2 6 2 6" xfId="37925"/>
    <cellStyle name="Comma 15 2 6 3" xfId="37926"/>
    <cellStyle name="Comma 15 2 6 3 2" xfId="37927"/>
    <cellStyle name="Comma 15 2 6 3 2 2" xfId="37928"/>
    <cellStyle name="Comma 15 2 6 3 2 3" xfId="37929"/>
    <cellStyle name="Comma 15 2 6 3 3" xfId="37930"/>
    <cellStyle name="Comma 15 2 6 3 3 2" xfId="37931"/>
    <cellStyle name="Comma 15 2 6 3 3 3" xfId="37932"/>
    <cellStyle name="Comma 15 2 6 3 4" xfId="37933"/>
    <cellStyle name="Comma 15 2 6 3 4 2" xfId="37934"/>
    <cellStyle name="Comma 15 2 6 3 5" xfId="37935"/>
    <cellStyle name="Comma 15 2 6 3 6" xfId="37936"/>
    <cellStyle name="Comma 15 2 6 4" xfId="37937"/>
    <cellStyle name="Comma 15 2 6 4 2" xfId="37938"/>
    <cellStyle name="Comma 15 2 6 4 2 2" xfId="37939"/>
    <cellStyle name="Comma 15 2 6 4 2 3" xfId="37940"/>
    <cellStyle name="Comma 15 2 6 4 3" xfId="37941"/>
    <cellStyle name="Comma 15 2 6 4 3 2" xfId="37942"/>
    <cellStyle name="Comma 15 2 6 4 4" xfId="37943"/>
    <cellStyle name="Comma 15 2 6 4 5" xfId="37944"/>
    <cellStyle name="Comma 15 2 6 5" xfId="37945"/>
    <cellStyle name="Comma 15 2 6 5 2" xfId="37946"/>
    <cellStyle name="Comma 15 2 6 5 3" xfId="37947"/>
    <cellStyle name="Comma 15 2 6 6" xfId="37948"/>
    <cellStyle name="Comma 15 2 6 6 2" xfId="37949"/>
    <cellStyle name="Comma 15 2 6 6 3" xfId="37950"/>
    <cellStyle name="Comma 15 2 6 7" xfId="37951"/>
    <cellStyle name="Comma 15 2 6 7 2" xfId="37952"/>
    <cellStyle name="Comma 15 2 6 8" xfId="37953"/>
    <cellStyle name="Comma 15 2 6 9" xfId="37954"/>
    <cellStyle name="Comma 15 2 7" xfId="37955"/>
    <cellStyle name="Comma 15 2 7 2" xfId="37956"/>
    <cellStyle name="Comma 15 2 7 2 2" xfId="37957"/>
    <cellStyle name="Comma 15 2 7 2 3" xfId="37958"/>
    <cellStyle name="Comma 15 2 7 3" xfId="37959"/>
    <cellStyle name="Comma 15 2 7 3 2" xfId="37960"/>
    <cellStyle name="Comma 15 2 7 3 3" xfId="37961"/>
    <cellStyle name="Comma 15 2 7 4" xfId="37962"/>
    <cellStyle name="Comma 15 2 7 4 2" xfId="37963"/>
    <cellStyle name="Comma 15 2 7 5" xfId="37964"/>
    <cellStyle name="Comma 15 2 7 6" xfId="37965"/>
    <cellStyle name="Comma 15 2 8" xfId="37966"/>
    <cellStyle name="Comma 15 2 8 2" xfId="37967"/>
    <cellStyle name="Comma 15 2 8 2 2" xfId="37968"/>
    <cellStyle name="Comma 15 2 8 2 3" xfId="37969"/>
    <cellStyle name="Comma 15 2 8 3" xfId="37970"/>
    <cellStyle name="Comma 15 2 8 3 2" xfId="37971"/>
    <cellStyle name="Comma 15 2 8 3 3" xfId="37972"/>
    <cellStyle name="Comma 15 2 8 4" xfId="37973"/>
    <cellStyle name="Comma 15 2 8 4 2" xfId="37974"/>
    <cellStyle name="Comma 15 2 8 5" xfId="37975"/>
    <cellStyle name="Comma 15 2 8 6" xfId="37976"/>
    <cellStyle name="Comma 15 2 9" xfId="37977"/>
    <cellStyle name="Comma 15 2 9 2" xfId="37978"/>
    <cellStyle name="Comma 15 2 9 2 2" xfId="37979"/>
    <cellStyle name="Comma 15 2 9 2 3" xfId="37980"/>
    <cellStyle name="Comma 15 2 9 3" xfId="37981"/>
    <cellStyle name="Comma 15 2 9 3 2" xfId="37982"/>
    <cellStyle name="Comma 15 2 9 4" xfId="37983"/>
    <cellStyle name="Comma 15 2 9 5" xfId="37984"/>
    <cellStyle name="Comma 15 3" xfId="8781"/>
    <cellStyle name="Comma 15 3 10" xfId="37985"/>
    <cellStyle name="Comma 15 3 10 2" xfId="37986"/>
    <cellStyle name="Comma 15 3 10 3" xfId="37987"/>
    <cellStyle name="Comma 15 3 11" xfId="37988"/>
    <cellStyle name="Comma 15 3 11 2" xfId="37989"/>
    <cellStyle name="Comma 15 3 12" xfId="37990"/>
    <cellStyle name="Comma 15 3 13" xfId="37991"/>
    <cellStyle name="Comma 15 3 2" xfId="37992"/>
    <cellStyle name="Comma 15 3 2 10" xfId="37993"/>
    <cellStyle name="Comma 15 3 2 10 2" xfId="37994"/>
    <cellStyle name="Comma 15 3 2 11" xfId="37995"/>
    <cellStyle name="Comma 15 3 2 12" xfId="37996"/>
    <cellStyle name="Comma 15 3 2 2" xfId="37997"/>
    <cellStyle name="Comma 15 3 2 2 10" xfId="37998"/>
    <cellStyle name="Comma 15 3 2 2 2" xfId="37999"/>
    <cellStyle name="Comma 15 3 2 2 2 2" xfId="38000"/>
    <cellStyle name="Comma 15 3 2 2 2 2 2" xfId="38001"/>
    <cellStyle name="Comma 15 3 2 2 2 2 2 2" xfId="38002"/>
    <cellStyle name="Comma 15 3 2 2 2 2 2 3" xfId="38003"/>
    <cellStyle name="Comma 15 3 2 2 2 2 3" xfId="38004"/>
    <cellStyle name="Comma 15 3 2 2 2 2 3 2" xfId="38005"/>
    <cellStyle name="Comma 15 3 2 2 2 2 3 3" xfId="38006"/>
    <cellStyle name="Comma 15 3 2 2 2 2 4" xfId="38007"/>
    <cellStyle name="Comma 15 3 2 2 2 2 4 2" xfId="38008"/>
    <cellStyle name="Comma 15 3 2 2 2 2 5" xfId="38009"/>
    <cellStyle name="Comma 15 3 2 2 2 2 6" xfId="38010"/>
    <cellStyle name="Comma 15 3 2 2 2 3" xfId="38011"/>
    <cellStyle name="Comma 15 3 2 2 2 3 2" xfId="38012"/>
    <cellStyle name="Comma 15 3 2 2 2 3 2 2" xfId="38013"/>
    <cellStyle name="Comma 15 3 2 2 2 3 2 3" xfId="38014"/>
    <cellStyle name="Comma 15 3 2 2 2 3 3" xfId="38015"/>
    <cellStyle name="Comma 15 3 2 2 2 3 3 2" xfId="38016"/>
    <cellStyle name="Comma 15 3 2 2 2 3 3 3" xfId="38017"/>
    <cellStyle name="Comma 15 3 2 2 2 3 4" xfId="38018"/>
    <cellStyle name="Comma 15 3 2 2 2 3 4 2" xfId="38019"/>
    <cellStyle name="Comma 15 3 2 2 2 3 5" xfId="38020"/>
    <cellStyle name="Comma 15 3 2 2 2 3 6" xfId="38021"/>
    <cellStyle name="Comma 15 3 2 2 2 4" xfId="38022"/>
    <cellStyle name="Comma 15 3 2 2 2 4 2" xfId="38023"/>
    <cellStyle name="Comma 15 3 2 2 2 4 2 2" xfId="38024"/>
    <cellStyle name="Comma 15 3 2 2 2 4 2 3" xfId="38025"/>
    <cellStyle name="Comma 15 3 2 2 2 4 3" xfId="38026"/>
    <cellStyle name="Comma 15 3 2 2 2 4 3 2" xfId="38027"/>
    <cellStyle name="Comma 15 3 2 2 2 4 4" xfId="38028"/>
    <cellStyle name="Comma 15 3 2 2 2 4 5" xfId="38029"/>
    <cellStyle name="Comma 15 3 2 2 2 5" xfId="38030"/>
    <cellStyle name="Comma 15 3 2 2 2 5 2" xfId="38031"/>
    <cellStyle name="Comma 15 3 2 2 2 5 3" xfId="38032"/>
    <cellStyle name="Comma 15 3 2 2 2 6" xfId="38033"/>
    <cellStyle name="Comma 15 3 2 2 2 6 2" xfId="38034"/>
    <cellStyle name="Comma 15 3 2 2 2 6 3" xfId="38035"/>
    <cellStyle name="Comma 15 3 2 2 2 7" xfId="38036"/>
    <cellStyle name="Comma 15 3 2 2 2 7 2" xfId="38037"/>
    <cellStyle name="Comma 15 3 2 2 2 8" xfId="38038"/>
    <cellStyle name="Comma 15 3 2 2 2 9" xfId="38039"/>
    <cellStyle name="Comma 15 3 2 2 3" xfId="38040"/>
    <cellStyle name="Comma 15 3 2 2 3 2" xfId="38041"/>
    <cellStyle name="Comma 15 3 2 2 3 2 2" xfId="38042"/>
    <cellStyle name="Comma 15 3 2 2 3 2 3" xfId="38043"/>
    <cellStyle name="Comma 15 3 2 2 3 3" xfId="38044"/>
    <cellStyle name="Comma 15 3 2 2 3 3 2" xfId="38045"/>
    <cellStyle name="Comma 15 3 2 2 3 3 3" xfId="38046"/>
    <cellStyle name="Comma 15 3 2 2 3 4" xfId="38047"/>
    <cellStyle name="Comma 15 3 2 2 3 4 2" xfId="38048"/>
    <cellStyle name="Comma 15 3 2 2 3 5" xfId="38049"/>
    <cellStyle name="Comma 15 3 2 2 3 6" xfId="38050"/>
    <cellStyle name="Comma 15 3 2 2 4" xfId="38051"/>
    <cellStyle name="Comma 15 3 2 2 4 2" xfId="38052"/>
    <cellStyle name="Comma 15 3 2 2 4 2 2" xfId="38053"/>
    <cellStyle name="Comma 15 3 2 2 4 2 3" xfId="38054"/>
    <cellStyle name="Comma 15 3 2 2 4 3" xfId="38055"/>
    <cellStyle name="Comma 15 3 2 2 4 3 2" xfId="38056"/>
    <cellStyle name="Comma 15 3 2 2 4 3 3" xfId="38057"/>
    <cellStyle name="Comma 15 3 2 2 4 4" xfId="38058"/>
    <cellStyle name="Comma 15 3 2 2 4 4 2" xfId="38059"/>
    <cellStyle name="Comma 15 3 2 2 4 5" xfId="38060"/>
    <cellStyle name="Comma 15 3 2 2 4 6" xfId="38061"/>
    <cellStyle name="Comma 15 3 2 2 5" xfId="38062"/>
    <cellStyle name="Comma 15 3 2 2 5 2" xfId="38063"/>
    <cellStyle name="Comma 15 3 2 2 5 2 2" xfId="38064"/>
    <cellStyle name="Comma 15 3 2 2 5 2 3" xfId="38065"/>
    <cellStyle name="Comma 15 3 2 2 5 3" xfId="38066"/>
    <cellStyle name="Comma 15 3 2 2 5 3 2" xfId="38067"/>
    <cellStyle name="Comma 15 3 2 2 5 4" xfId="38068"/>
    <cellStyle name="Comma 15 3 2 2 5 5" xfId="38069"/>
    <cellStyle name="Comma 15 3 2 2 6" xfId="38070"/>
    <cellStyle name="Comma 15 3 2 2 6 2" xfId="38071"/>
    <cellStyle name="Comma 15 3 2 2 6 3" xfId="38072"/>
    <cellStyle name="Comma 15 3 2 2 7" xfId="38073"/>
    <cellStyle name="Comma 15 3 2 2 7 2" xfId="38074"/>
    <cellStyle name="Comma 15 3 2 2 7 3" xfId="38075"/>
    <cellStyle name="Comma 15 3 2 2 8" xfId="38076"/>
    <cellStyle name="Comma 15 3 2 2 8 2" xfId="38077"/>
    <cellStyle name="Comma 15 3 2 2 9" xfId="38078"/>
    <cellStyle name="Comma 15 3 2 3" xfId="38079"/>
    <cellStyle name="Comma 15 3 2 3 2" xfId="38080"/>
    <cellStyle name="Comma 15 3 2 3 2 2" xfId="38081"/>
    <cellStyle name="Comma 15 3 2 3 2 2 2" xfId="38082"/>
    <cellStyle name="Comma 15 3 2 3 2 2 3" xfId="38083"/>
    <cellStyle name="Comma 15 3 2 3 2 3" xfId="38084"/>
    <cellStyle name="Comma 15 3 2 3 2 3 2" xfId="38085"/>
    <cellStyle name="Comma 15 3 2 3 2 3 3" xfId="38086"/>
    <cellStyle name="Comma 15 3 2 3 2 4" xfId="38087"/>
    <cellStyle name="Comma 15 3 2 3 2 4 2" xfId="38088"/>
    <cellStyle name="Comma 15 3 2 3 2 5" xfId="38089"/>
    <cellStyle name="Comma 15 3 2 3 2 6" xfId="38090"/>
    <cellStyle name="Comma 15 3 2 3 3" xfId="38091"/>
    <cellStyle name="Comma 15 3 2 3 3 2" xfId="38092"/>
    <cellStyle name="Comma 15 3 2 3 3 2 2" xfId="38093"/>
    <cellStyle name="Comma 15 3 2 3 3 2 3" xfId="38094"/>
    <cellStyle name="Comma 15 3 2 3 3 3" xfId="38095"/>
    <cellStyle name="Comma 15 3 2 3 3 3 2" xfId="38096"/>
    <cellStyle name="Comma 15 3 2 3 3 3 3" xfId="38097"/>
    <cellStyle name="Comma 15 3 2 3 3 4" xfId="38098"/>
    <cellStyle name="Comma 15 3 2 3 3 4 2" xfId="38099"/>
    <cellStyle name="Comma 15 3 2 3 3 5" xfId="38100"/>
    <cellStyle name="Comma 15 3 2 3 3 6" xfId="38101"/>
    <cellStyle name="Comma 15 3 2 3 4" xfId="38102"/>
    <cellStyle name="Comma 15 3 2 3 4 2" xfId="38103"/>
    <cellStyle name="Comma 15 3 2 3 4 2 2" xfId="38104"/>
    <cellStyle name="Comma 15 3 2 3 4 2 3" xfId="38105"/>
    <cellStyle name="Comma 15 3 2 3 4 3" xfId="38106"/>
    <cellStyle name="Comma 15 3 2 3 4 3 2" xfId="38107"/>
    <cellStyle name="Comma 15 3 2 3 4 4" xfId="38108"/>
    <cellStyle name="Comma 15 3 2 3 4 5" xfId="38109"/>
    <cellStyle name="Comma 15 3 2 3 5" xfId="38110"/>
    <cellStyle name="Comma 15 3 2 3 5 2" xfId="38111"/>
    <cellStyle name="Comma 15 3 2 3 5 3" xfId="38112"/>
    <cellStyle name="Comma 15 3 2 3 6" xfId="38113"/>
    <cellStyle name="Comma 15 3 2 3 6 2" xfId="38114"/>
    <cellStyle name="Comma 15 3 2 3 6 3" xfId="38115"/>
    <cellStyle name="Comma 15 3 2 3 7" xfId="38116"/>
    <cellStyle name="Comma 15 3 2 3 7 2" xfId="38117"/>
    <cellStyle name="Comma 15 3 2 3 8" xfId="38118"/>
    <cellStyle name="Comma 15 3 2 3 9" xfId="38119"/>
    <cellStyle name="Comma 15 3 2 4" xfId="38120"/>
    <cellStyle name="Comma 15 3 2 4 2" xfId="38121"/>
    <cellStyle name="Comma 15 3 2 4 2 2" xfId="38122"/>
    <cellStyle name="Comma 15 3 2 4 2 2 2" xfId="38123"/>
    <cellStyle name="Comma 15 3 2 4 2 2 3" xfId="38124"/>
    <cellStyle name="Comma 15 3 2 4 2 3" xfId="38125"/>
    <cellStyle name="Comma 15 3 2 4 2 3 2" xfId="38126"/>
    <cellStyle name="Comma 15 3 2 4 2 3 3" xfId="38127"/>
    <cellStyle name="Comma 15 3 2 4 2 4" xfId="38128"/>
    <cellStyle name="Comma 15 3 2 4 2 4 2" xfId="38129"/>
    <cellStyle name="Comma 15 3 2 4 2 5" xfId="38130"/>
    <cellStyle name="Comma 15 3 2 4 2 6" xfId="38131"/>
    <cellStyle name="Comma 15 3 2 4 3" xfId="38132"/>
    <cellStyle name="Comma 15 3 2 4 3 2" xfId="38133"/>
    <cellStyle name="Comma 15 3 2 4 3 2 2" xfId="38134"/>
    <cellStyle name="Comma 15 3 2 4 3 2 3" xfId="38135"/>
    <cellStyle name="Comma 15 3 2 4 3 3" xfId="38136"/>
    <cellStyle name="Comma 15 3 2 4 3 3 2" xfId="38137"/>
    <cellStyle name="Comma 15 3 2 4 3 3 3" xfId="38138"/>
    <cellStyle name="Comma 15 3 2 4 3 4" xfId="38139"/>
    <cellStyle name="Comma 15 3 2 4 3 4 2" xfId="38140"/>
    <cellStyle name="Comma 15 3 2 4 3 5" xfId="38141"/>
    <cellStyle name="Comma 15 3 2 4 3 6" xfId="38142"/>
    <cellStyle name="Comma 15 3 2 4 4" xfId="38143"/>
    <cellStyle name="Comma 15 3 2 4 4 2" xfId="38144"/>
    <cellStyle name="Comma 15 3 2 4 4 2 2" xfId="38145"/>
    <cellStyle name="Comma 15 3 2 4 4 2 3" xfId="38146"/>
    <cellStyle name="Comma 15 3 2 4 4 3" xfId="38147"/>
    <cellStyle name="Comma 15 3 2 4 4 3 2" xfId="38148"/>
    <cellStyle name="Comma 15 3 2 4 4 4" xfId="38149"/>
    <cellStyle name="Comma 15 3 2 4 4 5" xfId="38150"/>
    <cellStyle name="Comma 15 3 2 4 5" xfId="38151"/>
    <cellStyle name="Comma 15 3 2 4 5 2" xfId="38152"/>
    <cellStyle name="Comma 15 3 2 4 5 3" xfId="38153"/>
    <cellStyle name="Comma 15 3 2 4 6" xfId="38154"/>
    <cellStyle name="Comma 15 3 2 4 6 2" xfId="38155"/>
    <cellStyle name="Comma 15 3 2 4 6 3" xfId="38156"/>
    <cellStyle name="Comma 15 3 2 4 7" xfId="38157"/>
    <cellStyle name="Comma 15 3 2 4 7 2" xfId="38158"/>
    <cellStyle name="Comma 15 3 2 4 8" xfId="38159"/>
    <cellStyle name="Comma 15 3 2 4 9" xfId="38160"/>
    <cellStyle name="Comma 15 3 2 5" xfId="38161"/>
    <cellStyle name="Comma 15 3 2 5 2" xfId="38162"/>
    <cellStyle name="Comma 15 3 2 5 2 2" xfId="38163"/>
    <cellStyle name="Comma 15 3 2 5 2 3" xfId="38164"/>
    <cellStyle name="Comma 15 3 2 5 3" xfId="38165"/>
    <cellStyle name="Comma 15 3 2 5 3 2" xfId="38166"/>
    <cellStyle name="Comma 15 3 2 5 3 3" xfId="38167"/>
    <cellStyle name="Comma 15 3 2 5 4" xfId="38168"/>
    <cellStyle name="Comma 15 3 2 5 4 2" xfId="38169"/>
    <cellStyle name="Comma 15 3 2 5 5" xfId="38170"/>
    <cellStyle name="Comma 15 3 2 5 6" xfId="38171"/>
    <cellStyle name="Comma 15 3 2 6" xfId="38172"/>
    <cellStyle name="Comma 15 3 2 6 2" xfId="38173"/>
    <cellStyle name="Comma 15 3 2 6 2 2" xfId="38174"/>
    <cellStyle name="Comma 15 3 2 6 2 3" xfId="38175"/>
    <cellStyle name="Comma 15 3 2 6 3" xfId="38176"/>
    <cellStyle name="Comma 15 3 2 6 3 2" xfId="38177"/>
    <cellStyle name="Comma 15 3 2 6 3 3" xfId="38178"/>
    <cellStyle name="Comma 15 3 2 6 4" xfId="38179"/>
    <cellStyle name="Comma 15 3 2 6 4 2" xfId="38180"/>
    <cellStyle name="Comma 15 3 2 6 5" xfId="38181"/>
    <cellStyle name="Comma 15 3 2 6 6" xfId="38182"/>
    <cellStyle name="Comma 15 3 2 7" xfId="38183"/>
    <cellStyle name="Comma 15 3 2 7 2" xfId="38184"/>
    <cellStyle name="Comma 15 3 2 7 2 2" xfId="38185"/>
    <cellStyle name="Comma 15 3 2 7 2 3" xfId="38186"/>
    <cellStyle name="Comma 15 3 2 7 3" xfId="38187"/>
    <cellStyle name="Comma 15 3 2 7 3 2" xfId="38188"/>
    <cellStyle name="Comma 15 3 2 7 4" xfId="38189"/>
    <cellStyle name="Comma 15 3 2 7 5" xfId="38190"/>
    <cellStyle name="Comma 15 3 2 8" xfId="38191"/>
    <cellStyle name="Comma 15 3 2 8 2" xfId="38192"/>
    <cellStyle name="Comma 15 3 2 8 3" xfId="38193"/>
    <cellStyle name="Comma 15 3 2 9" xfId="38194"/>
    <cellStyle name="Comma 15 3 2 9 2" xfId="38195"/>
    <cellStyle name="Comma 15 3 2 9 3" xfId="38196"/>
    <cellStyle name="Comma 15 3 3" xfId="38197"/>
    <cellStyle name="Comma 15 3 3 10" xfId="38198"/>
    <cellStyle name="Comma 15 3 3 2" xfId="38199"/>
    <cellStyle name="Comma 15 3 3 2 2" xfId="38200"/>
    <cellStyle name="Comma 15 3 3 2 2 2" xfId="38201"/>
    <cellStyle name="Comma 15 3 3 2 2 2 2" xfId="38202"/>
    <cellStyle name="Comma 15 3 3 2 2 2 3" xfId="38203"/>
    <cellStyle name="Comma 15 3 3 2 2 3" xfId="38204"/>
    <cellStyle name="Comma 15 3 3 2 2 3 2" xfId="38205"/>
    <cellStyle name="Comma 15 3 3 2 2 3 3" xfId="38206"/>
    <cellStyle name="Comma 15 3 3 2 2 4" xfId="38207"/>
    <cellStyle name="Comma 15 3 3 2 2 4 2" xfId="38208"/>
    <cellStyle name="Comma 15 3 3 2 2 5" xfId="38209"/>
    <cellStyle name="Comma 15 3 3 2 2 6" xfId="38210"/>
    <cellStyle name="Comma 15 3 3 2 3" xfId="38211"/>
    <cellStyle name="Comma 15 3 3 2 3 2" xfId="38212"/>
    <cellStyle name="Comma 15 3 3 2 3 2 2" xfId="38213"/>
    <cellStyle name="Comma 15 3 3 2 3 2 3" xfId="38214"/>
    <cellStyle name="Comma 15 3 3 2 3 3" xfId="38215"/>
    <cellStyle name="Comma 15 3 3 2 3 3 2" xfId="38216"/>
    <cellStyle name="Comma 15 3 3 2 3 3 3" xfId="38217"/>
    <cellStyle name="Comma 15 3 3 2 3 4" xfId="38218"/>
    <cellStyle name="Comma 15 3 3 2 3 4 2" xfId="38219"/>
    <cellStyle name="Comma 15 3 3 2 3 5" xfId="38220"/>
    <cellStyle name="Comma 15 3 3 2 3 6" xfId="38221"/>
    <cellStyle name="Comma 15 3 3 2 4" xfId="38222"/>
    <cellStyle name="Comma 15 3 3 2 4 2" xfId="38223"/>
    <cellStyle name="Comma 15 3 3 2 4 2 2" xfId="38224"/>
    <cellStyle name="Comma 15 3 3 2 4 2 3" xfId="38225"/>
    <cellStyle name="Comma 15 3 3 2 4 3" xfId="38226"/>
    <cellStyle name="Comma 15 3 3 2 4 3 2" xfId="38227"/>
    <cellStyle name="Comma 15 3 3 2 4 4" xfId="38228"/>
    <cellStyle name="Comma 15 3 3 2 4 5" xfId="38229"/>
    <cellStyle name="Comma 15 3 3 2 5" xfId="38230"/>
    <cellStyle name="Comma 15 3 3 2 5 2" xfId="38231"/>
    <cellStyle name="Comma 15 3 3 2 5 3" xfId="38232"/>
    <cellStyle name="Comma 15 3 3 2 6" xfId="38233"/>
    <cellStyle name="Comma 15 3 3 2 6 2" xfId="38234"/>
    <cellStyle name="Comma 15 3 3 2 6 3" xfId="38235"/>
    <cellStyle name="Comma 15 3 3 2 7" xfId="38236"/>
    <cellStyle name="Comma 15 3 3 2 7 2" xfId="38237"/>
    <cellStyle name="Comma 15 3 3 2 8" xfId="38238"/>
    <cellStyle name="Comma 15 3 3 2 9" xfId="38239"/>
    <cellStyle name="Comma 15 3 3 3" xfId="38240"/>
    <cellStyle name="Comma 15 3 3 3 2" xfId="38241"/>
    <cellStyle name="Comma 15 3 3 3 2 2" xfId="38242"/>
    <cellStyle name="Comma 15 3 3 3 2 3" xfId="38243"/>
    <cellStyle name="Comma 15 3 3 3 3" xfId="38244"/>
    <cellStyle name="Comma 15 3 3 3 3 2" xfId="38245"/>
    <cellStyle name="Comma 15 3 3 3 3 3" xfId="38246"/>
    <cellStyle name="Comma 15 3 3 3 4" xfId="38247"/>
    <cellStyle name="Comma 15 3 3 3 4 2" xfId="38248"/>
    <cellStyle name="Comma 15 3 3 3 5" xfId="38249"/>
    <cellStyle name="Comma 15 3 3 3 6" xfId="38250"/>
    <cellStyle name="Comma 15 3 3 4" xfId="38251"/>
    <cellStyle name="Comma 15 3 3 4 2" xfId="38252"/>
    <cellStyle name="Comma 15 3 3 4 2 2" xfId="38253"/>
    <cellStyle name="Comma 15 3 3 4 2 3" xfId="38254"/>
    <cellStyle name="Comma 15 3 3 4 3" xfId="38255"/>
    <cellStyle name="Comma 15 3 3 4 3 2" xfId="38256"/>
    <cellStyle name="Comma 15 3 3 4 3 3" xfId="38257"/>
    <cellStyle name="Comma 15 3 3 4 4" xfId="38258"/>
    <cellStyle name="Comma 15 3 3 4 4 2" xfId="38259"/>
    <cellStyle name="Comma 15 3 3 4 5" xfId="38260"/>
    <cellStyle name="Comma 15 3 3 4 6" xfId="38261"/>
    <cellStyle name="Comma 15 3 3 5" xfId="38262"/>
    <cellStyle name="Comma 15 3 3 5 2" xfId="38263"/>
    <cellStyle name="Comma 15 3 3 5 2 2" xfId="38264"/>
    <cellStyle name="Comma 15 3 3 5 2 3" xfId="38265"/>
    <cellStyle name="Comma 15 3 3 5 3" xfId="38266"/>
    <cellStyle name="Comma 15 3 3 5 3 2" xfId="38267"/>
    <cellStyle name="Comma 15 3 3 5 4" xfId="38268"/>
    <cellStyle name="Comma 15 3 3 5 5" xfId="38269"/>
    <cellStyle name="Comma 15 3 3 6" xfId="38270"/>
    <cellStyle name="Comma 15 3 3 6 2" xfId="38271"/>
    <cellStyle name="Comma 15 3 3 6 3" xfId="38272"/>
    <cellStyle name="Comma 15 3 3 7" xfId="38273"/>
    <cellStyle name="Comma 15 3 3 7 2" xfId="38274"/>
    <cellStyle name="Comma 15 3 3 7 3" xfId="38275"/>
    <cellStyle name="Comma 15 3 3 8" xfId="38276"/>
    <cellStyle name="Comma 15 3 3 8 2" xfId="38277"/>
    <cellStyle name="Comma 15 3 3 9" xfId="38278"/>
    <cellStyle name="Comma 15 3 4" xfId="38279"/>
    <cellStyle name="Comma 15 3 4 2" xfId="38280"/>
    <cellStyle name="Comma 15 3 4 2 2" xfId="38281"/>
    <cellStyle name="Comma 15 3 4 2 2 2" xfId="38282"/>
    <cellStyle name="Comma 15 3 4 2 2 3" xfId="38283"/>
    <cellStyle name="Comma 15 3 4 2 3" xfId="38284"/>
    <cellStyle name="Comma 15 3 4 2 3 2" xfId="38285"/>
    <cellStyle name="Comma 15 3 4 2 3 3" xfId="38286"/>
    <cellStyle name="Comma 15 3 4 2 4" xfId="38287"/>
    <cellStyle name="Comma 15 3 4 2 4 2" xfId="38288"/>
    <cellStyle name="Comma 15 3 4 2 5" xfId="38289"/>
    <cellStyle name="Comma 15 3 4 2 6" xfId="38290"/>
    <cellStyle name="Comma 15 3 4 3" xfId="38291"/>
    <cellStyle name="Comma 15 3 4 3 2" xfId="38292"/>
    <cellStyle name="Comma 15 3 4 3 2 2" xfId="38293"/>
    <cellStyle name="Comma 15 3 4 3 2 3" xfId="38294"/>
    <cellStyle name="Comma 15 3 4 3 3" xfId="38295"/>
    <cellStyle name="Comma 15 3 4 3 3 2" xfId="38296"/>
    <cellStyle name="Comma 15 3 4 3 3 3" xfId="38297"/>
    <cellStyle name="Comma 15 3 4 3 4" xfId="38298"/>
    <cellStyle name="Comma 15 3 4 3 4 2" xfId="38299"/>
    <cellStyle name="Comma 15 3 4 3 5" xfId="38300"/>
    <cellStyle name="Comma 15 3 4 3 6" xfId="38301"/>
    <cellStyle name="Comma 15 3 4 4" xfId="38302"/>
    <cellStyle name="Comma 15 3 4 4 2" xfId="38303"/>
    <cellStyle name="Comma 15 3 4 4 2 2" xfId="38304"/>
    <cellStyle name="Comma 15 3 4 4 2 3" xfId="38305"/>
    <cellStyle name="Comma 15 3 4 4 3" xfId="38306"/>
    <cellStyle name="Comma 15 3 4 4 3 2" xfId="38307"/>
    <cellStyle name="Comma 15 3 4 4 4" xfId="38308"/>
    <cellStyle name="Comma 15 3 4 4 5" xfId="38309"/>
    <cellStyle name="Comma 15 3 4 5" xfId="38310"/>
    <cellStyle name="Comma 15 3 4 5 2" xfId="38311"/>
    <cellStyle name="Comma 15 3 4 5 3" xfId="38312"/>
    <cellStyle name="Comma 15 3 4 6" xfId="38313"/>
    <cellStyle name="Comma 15 3 4 6 2" xfId="38314"/>
    <cellStyle name="Comma 15 3 4 6 3" xfId="38315"/>
    <cellStyle name="Comma 15 3 4 7" xfId="38316"/>
    <cellStyle name="Comma 15 3 4 7 2" xfId="38317"/>
    <cellStyle name="Comma 15 3 4 8" xfId="38318"/>
    <cellStyle name="Comma 15 3 4 9" xfId="38319"/>
    <cellStyle name="Comma 15 3 5" xfId="38320"/>
    <cellStyle name="Comma 15 3 5 2" xfId="38321"/>
    <cellStyle name="Comma 15 3 5 2 2" xfId="38322"/>
    <cellStyle name="Comma 15 3 5 2 2 2" xfId="38323"/>
    <cellStyle name="Comma 15 3 5 2 2 3" xfId="38324"/>
    <cellStyle name="Comma 15 3 5 2 3" xfId="38325"/>
    <cellStyle name="Comma 15 3 5 2 3 2" xfId="38326"/>
    <cellStyle name="Comma 15 3 5 2 3 3" xfId="38327"/>
    <cellStyle name="Comma 15 3 5 2 4" xfId="38328"/>
    <cellStyle name="Comma 15 3 5 2 4 2" xfId="38329"/>
    <cellStyle name="Comma 15 3 5 2 5" xfId="38330"/>
    <cellStyle name="Comma 15 3 5 2 6" xfId="38331"/>
    <cellStyle name="Comma 15 3 5 3" xfId="38332"/>
    <cellStyle name="Comma 15 3 5 3 2" xfId="38333"/>
    <cellStyle name="Comma 15 3 5 3 2 2" xfId="38334"/>
    <cellStyle name="Comma 15 3 5 3 2 3" xfId="38335"/>
    <cellStyle name="Comma 15 3 5 3 3" xfId="38336"/>
    <cellStyle name="Comma 15 3 5 3 3 2" xfId="38337"/>
    <cellStyle name="Comma 15 3 5 3 3 3" xfId="38338"/>
    <cellStyle name="Comma 15 3 5 3 4" xfId="38339"/>
    <cellStyle name="Comma 15 3 5 3 4 2" xfId="38340"/>
    <cellStyle name="Comma 15 3 5 3 5" xfId="38341"/>
    <cellStyle name="Comma 15 3 5 3 6" xfId="38342"/>
    <cellStyle name="Comma 15 3 5 4" xfId="38343"/>
    <cellStyle name="Comma 15 3 5 4 2" xfId="38344"/>
    <cellStyle name="Comma 15 3 5 4 2 2" xfId="38345"/>
    <cellStyle name="Comma 15 3 5 4 2 3" xfId="38346"/>
    <cellStyle name="Comma 15 3 5 4 3" xfId="38347"/>
    <cellStyle name="Comma 15 3 5 4 3 2" xfId="38348"/>
    <cellStyle name="Comma 15 3 5 4 4" xfId="38349"/>
    <cellStyle name="Comma 15 3 5 4 5" xfId="38350"/>
    <cellStyle name="Comma 15 3 5 5" xfId="38351"/>
    <cellStyle name="Comma 15 3 5 5 2" xfId="38352"/>
    <cellStyle name="Comma 15 3 5 5 3" xfId="38353"/>
    <cellStyle name="Comma 15 3 5 6" xfId="38354"/>
    <cellStyle name="Comma 15 3 5 6 2" xfId="38355"/>
    <cellStyle name="Comma 15 3 5 6 3" xfId="38356"/>
    <cellStyle name="Comma 15 3 5 7" xfId="38357"/>
    <cellStyle name="Comma 15 3 5 7 2" xfId="38358"/>
    <cellStyle name="Comma 15 3 5 8" xfId="38359"/>
    <cellStyle name="Comma 15 3 5 9" xfId="38360"/>
    <cellStyle name="Comma 15 3 6" xfId="38361"/>
    <cellStyle name="Comma 15 3 6 2" xfId="38362"/>
    <cellStyle name="Comma 15 3 6 2 2" xfId="38363"/>
    <cellStyle name="Comma 15 3 6 2 3" xfId="38364"/>
    <cellStyle name="Comma 15 3 6 3" xfId="38365"/>
    <cellStyle name="Comma 15 3 6 3 2" xfId="38366"/>
    <cellStyle name="Comma 15 3 6 3 3" xfId="38367"/>
    <cellStyle name="Comma 15 3 6 4" xfId="38368"/>
    <cellStyle name="Comma 15 3 6 4 2" xfId="38369"/>
    <cellStyle name="Comma 15 3 6 5" xfId="38370"/>
    <cellStyle name="Comma 15 3 6 6" xfId="38371"/>
    <cellStyle name="Comma 15 3 7" xfId="38372"/>
    <cellStyle name="Comma 15 3 7 2" xfId="38373"/>
    <cellStyle name="Comma 15 3 7 2 2" xfId="38374"/>
    <cellStyle name="Comma 15 3 7 2 3" xfId="38375"/>
    <cellStyle name="Comma 15 3 7 3" xfId="38376"/>
    <cellStyle name="Comma 15 3 7 3 2" xfId="38377"/>
    <cellStyle name="Comma 15 3 7 3 3" xfId="38378"/>
    <cellStyle name="Comma 15 3 7 4" xfId="38379"/>
    <cellStyle name="Comma 15 3 7 4 2" xfId="38380"/>
    <cellStyle name="Comma 15 3 7 5" xfId="38381"/>
    <cellStyle name="Comma 15 3 7 6" xfId="38382"/>
    <cellStyle name="Comma 15 3 8" xfId="38383"/>
    <cellStyle name="Comma 15 3 8 2" xfId="38384"/>
    <cellStyle name="Comma 15 3 8 2 2" xfId="38385"/>
    <cellStyle name="Comma 15 3 8 2 3" xfId="38386"/>
    <cellStyle name="Comma 15 3 8 3" xfId="38387"/>
    <cellStyle name="Comma 15 3 8 3 2" xfId="38388"/>
    <cellStyle name="Comma 15 3 8 4" xfId="38389"/>
    <cellStyle name="Comma 15 3 8 5" xfId="38390"/>
    <cellStyle name="Comma 15 3 9" xfId="38391"/>
    <cellStyle name="Comma 15 3 9 2" xfId="38392"/>
    <cellStyle name="Comma 15 3 9 3" xfId="38393"/>
    <cellStyle name="Comma 15 4" xfId="38394"/>
    <cellStyle name="Comma 15 4 10" xfId="38395"/>
    <cellStyle name="Comma 15 4 10 2" xfId="38396"/>
    <cellStyle name="Comma 15 4 11" xfId="38397"/>
    <cellStyle name="Comma 15 4 12" xfId="38398"/>
    <cellStyle name="Comma 15 4 2" xfId="38399"/>
    <cellStyle name="Comma 15 4 2 10" xfId="38400"/>
    <cellStyle name="Comma 15 4 2 2" xfId="38401"/>
    <cellStyle name="Comma 15 4 2 2 2" xfId="38402"/>
    <cellStyle name="Comma 15 4 2 2 2 2" xfId="38403"/>
    <cellStyle name="Comma 15 4 2 2 2 2 2" xfId="38404"/>
    <cellStyle name="Comma 15 4 2 2 2 2 3" xfId="38405"/>
    <cellStyle name="Comma 15 4 2 2 2 3" xfId="38406"/>
    <cellStyle name="Comma 15 4 2 2 2 3 2" xfId="38407"/>
    <cellStyle name="Comma 15 4 2 2 2 3 3" xfId="38408"/>
    <cellStyle name="Comma 15 4 2 2 2 4" xfId="38409"/>
    <cellStyle name="Comma 15 4 2 2 2 4 2" xfId="38410"/>
    <cellStyle name="Comma 15 4 2 2 2 5" xfId="38411"/>
    <cellStyle name="Comma 15 4 2 2 2 6" xfId="38412"/>
    <cellStyle name="Comma 15 4 2 2 3" xfId="38413"/>
    <cellStyle name="Comma 15 4 2 2 3 2" xfId="38414"/>
    <cellStyle name="Comma 15 4 2 2 3 2 2" xfId="38415"/>
    <cellStyle name="Comma 15 4 2 2 3 2 3" xfId="38416"/>
    <cellStyle name="Comma 15 4 2 2 3 3" xfId="38417"/>
    <cellStyle name="Comma 15 4 2 2 3 3 2" xfId="38418"/>
    <cellStyle name="Comma 15 4 2 2 3 3 3" xfId="38419"/>
    <cellStyle name="Comma 15 4 2 2 3 4" xfId="38420"/>
    <cellStyle name="Comma 15 4 2 2 3 4 2" xfId="38421"/>
    <cellStyle name="Comma 15 4 2 2 3 5" xfId="38422"/>
    <cellStyle name="Comma 15 4 2 2 3 6" xfId="38423"/>
    <cellStyle name="Comma 15 4 2 2 4" xfId="38424"/>
    <cellStyle name="Comma 15 4 2 2 4 2" xfId="38425"/>
    <cellStyle name="Comma 15 4 2 2 4 2 2" xfId="38426"/>
    <cellStyle name="Comma 15 4 2 2 4 2 3" xfId="38427"/>
    <cellStyle name="Comma 15 4 2 2 4 3" xfId="38428"/>
    <cellStyle name="Comma 15 4 2 2 4 3 2" xfId="38429"/>
    <cellStyle name="Comma 15 4 2 2 4 4" xfId="38430"/>
    <cellStyle name="Comma 15 4 2 2 4 5" xfId="38431"/>
    <cellStyle name="Comma 15 4 2 2 5" xfId="38432"/>
    <cellStyle name="Comma 15 4 2 2 5 2" xfId="38433"/>
    <cellStyle name="Comma 15 4 2 2 5 3" xfId="38434"/>
    <cellStyle name="Comma 15 4 2 2 6" xfId="38435"/>
    <cellStyle name="Comma 15 4 2 2 6 2" xfId="38436"/>
    <cellStyle name="Comma 15 4 2 2 6 3" xfId="38437"/>
    <cellStyle name="Comma 15 4 2 2 7" xfId="38438"/>
    <cellStyle name="Comma 15 4 2 2 7 2" xfId="38439"/>
    <cellStyle name="Comma 15 4 2 2 8" xfId="38440"/>
    <cellStyle name="Comma 15 4 2 2 9" xfId="38441"/>
    <cellStyle name="Comma 15 4 2 3" xfId="38442"/>
    <cellStyle name="Comma 15 4 2 3 2" xfId="38443"/>
    <cellStyle name="Comma 15 4 2 3 2 2" xfId="38444"/>
    <cellStyle name="Comma 15 4 2 3 2 3" xfId="38445"/>
    <cellStyle name="Comma 15 4 2 3 3" xfId="38446"/>
    <cellStyle name="Comma 15 4 2 3 3 2" xfId="38447"/>
    <cellStyle name="Comma 15 4 2 3 3 3" xfId="38448"/>
    <cellStyle name="Comma 15 4 2 3 4" xfId="38449"/>
    <cellStyle name="Comma 15 4 2 3 4 2" xfId="38450"/>
    <cellStyle name="Comma 15 4 2 3 5" xfId="38451"/>
    <cellStyle name="Comma 15 4 2 3 6" xfId="38452"/>
    <cellStyle name="Comma 15 4 2 4" xfId="38453"/>
    <cellStyle name="Comma 15 4 2 4 2" xfId="38454"/>
    <cellStyle name="Comma 15 4 2 4 2 2" xfId="38455"/>
    <cellStyle name="Comma 15 4 2 4 2 3" xfId="38456"/>
    <cellStyle name="Comma 15 4 2 4 3" xfId="38457"/>
    <cellStyle name="Comma 15 4 2 4 3 2" xfId="38458"/>
    <cellStyle name="Comma 15 4 2 4 3 3" xfId="38459"/>
    <cellStyle name="Comma 15 4 2 4 4" xfId="38460"/>
    <cellStyle name="Comma 15 4 2 4 4 2" xfId="38461"/>
    <cellStyle name="Comma 15 4 2 4 5" xfId="38462"/>
    <cellStyle name="Comma 15 4 2 4 6" xfId="38463"/>
    <cellStyle name="Comma 15 4 2 5" xfId="38464"/>
    <cellStyle name="Comma 15 4 2 5 2" xfId="38465"/>
    <cellStyle name="Comma 15 4 2 5 2 2" xfId="38466"/>
    <cellStyle name="Comma 15 4 2 5 2 3" xfId="38467"/>
    <cellStyle name="Comma 15 4 2 5 3" xfId="38468"/>
    <cellStyle name="Comma 15 4 2 5 3 2" xfId="38469"/>
    <cellStyle name="Comma 15 4 2 5 4" xfId="38470"/>
    <cellStyle name="Comma 15 4 2 5 5" xfId="38471"/>
    <cellStyle name="Comma 15 4 2 6" xfId="38472"/>
    <cellStyle name="Comma 15 4 2 6 2" xfId="38473"/>
    <cellStyle name="Comma 15 4 2 6 3" xfId="38474"/>
    <cellStyle name="Comma 15 4 2 7" xfId="38475"/>
    <cellStyle name="Comma 15 4 2 7 2" xfId="38476"/>
    <cellStyle name="Comma 15 4 2 7 3" xfId="38477"/>
    <cellStyle name="Comma 15 4 2 8" xfId="38478"/>
    <cellStyle name="Comma 15 4 2 8 2" xfId="38479"/>
    <cellStyle name="Comma 15 4 2 9" xfId="38480"/>
    <cellStyle name="Comma 15 4 3" xfId="38481"/>
    <cellStyle name="Comma 15 4 3 2" xfId="38482"/>
    <cellStyle name="Comma 15 4 3 2 2" xfId="38483"/>
    <cellStyle name="Comma 15 4 3 2 2 2" xfId="38484"/>
    <cellStyle name="Comma 15 4 3 2 2 3" xfId="38485"/>
    <cellStyle name="Comma 15 4 3 2 3" xfId="38486"/>
    <cellStyle name="Comma 15 4 3 2 3 2" xfId="38487"/>
    <cellStyle name="Comma 15 4 3 2 3 3" xfId="38488"/>
    <cellStyle name="Comma 15 4 3 2 4" xfId="38489"/>
    <cellStyle name="Comma 15 4 3 2 4 2" xfId="38490"/>
    <cellStyle name="Comma 15 4 3 2 5" xfId="38491"/>
    <cellStyle name="Comma 15 4 3 2 6" xfId="38492"/>
    <cellStyle name="Comma 15 4 3 3" xfId="38493"/>
    <cellStyle name="Comma 15 4 3 3 2" xfId="38494"/>
    <cellStyle name="Comma 15 4 3 3 2 2" xfId="38495"/>
    <cellStyle name="Comma 15 4 3 3 2 3" xfId="38496"/>
    <cellStyle name="Comma 15 4 3 3 3" xfId="38497"/>
    <cellStyle name="Comma 15 4 3 3 3 2" xfId="38498"/>
    <cellStyle name="Comma 15 4 3 3 3 3" xfId="38499"/>
    <cellStyle name="Comma 15 4 3 3 4" xfId="38500"/>
    <cellStyle name="Comma 15 4 3 3 4 2" xfId="38501"/>
    <cellStyle name="Comma 15 4 3 3 5" xfId="38502"/>
    <cellStyle name="Comma 15 4 3 3 6" xfId="38503"/>
    <cellStyle name="Comma 15 4 3 4" xfId="38504"/>
    <cellStyle name="Comma 15 4 3 4 2" xfId="38505"/>
    <cellStyle name="Comma 15 4 3 4 2 2" xfId="38506"/>
    <cellStyle name="Comma 15 4 3 4 2 3" xfId="38507"/>
    <cellStyle name="Comma 15 4 3 4 3" xfId="38508"/>
    <cellStyle name="Comma 15 4 3 4 3 2" xfId="38509"/>
    <cellStyle name="Comma 15 4 3 4 4" xfId="38510"/>
    <cellStyle name="Comma 15 4 3 4 5" xfId="38511"/>
    <cellStyle name="Comma 15 4 3 5" xfId="38512"/>
    <cellStyle name="Comma 15 4 3 5 2" xfId="38513"/>
    <cellStyle name="Comma 15 4 3 5 3" xfId="38514"/>
    <cellStyle name="Comma 15 4 3 6" xfId="38515"/>
    <cellStyle name="Comma 15 4 3 6 2" xfId="38516"/>
    <cellStyle name="Comma 15 4 3 6 3" xfId="38517"/>
    <cellStyle name="Comma 15 4 3 7" xfId="38518"/>
    <cellStyle name="Comma 15 4 3 7 2" xfId="38519"/>
    <cellStyle name="Comma 15 4 3 8" xfId="38520"/>
    <cellStyle name="Comma 15 4 3 9" xfId="38521"/>
    <cellStyle name="Comma 15 4 4" xfId="38522"/>
    <cellStyle name="Comma 15 4 4 2" xfId="38523"/>
    <cellStyle name="Comma 15 4 4 2 2" xfId="38524"/>
    <cellStyle name="Comma 15 4 4 2 2 2" xfId="38525"/>
    <cellStyle name="Comma 15 4 4 2 2 3" xfId="38526"/>
    <cellStyle name="Comma 15 4 4 2 3" xfId="38527"/>
    <cellStyle name="Comma 15 4 4 2 3 2" xfId="38528"/>
    <cellStyle name="Comma 15 4 4 2 3 3" xfId="38529"/>
    <cellStyle name="Comma 15 4 4 2 4" xfId="38530"/>
    <cellStyle name="Comma 15 4 4 2 4 2" xfId="38531"/>
    <cellStyle name="Comma 15 4 4 2 5" xfId="38532"/>
    <cellStyle name="Comma 15 4 4 2 6" xfId="38533"/>
    <cellStyle name="Comma 15 4 4 3" xfId="38534"/>
    <cellStyle name="Comma 15 4 4 3 2" xfId="38535"/>
    <cellStyle name="Comma 15 4 4 3 2 2" xfId="38536"/>
    <cellStyle name="Comma 15 4 4 3 2 3" xfId="38537"/>
    <cellStyle name="Comma 15 4 4 3 3" xfId="38538"/>
    <cellStyle name="Comma 15 4 4 3 3 2" xfId="38539"/>
    <cellStyle name="Comma 15 4 4 3 3 3" xfId="38540"/>
    <cellStyle name="Comma 15 4 4 3 4" xfId="38541"/>
    <cellStyle name="Comma 15 4 4 3 4 2" xfId="38542"/>
    <cellStyle name="Comma 15 4 4 3 5" xfId="38543"/>
    <cellStyle name="Comma 15 4 4 3 6" xfId="38544"/>
    <cellStyle name="Comma 15 4 4 4" xfId="38545"/>
    <cellStyle name="Comma 15 4 4 4 2" xfId="38546"/>
    <cellStyle name="Comma 15 4 4 4 2 2" xfId="38547"/>
    <cellStyle name="Comma 15 4 4 4 2 3" xfId="38548"/>
    <cellStyle name="Comma 15 4 4 4 3" xfId="38549"/>
    <cellStyle name="Comma 15 4 4 4 3 2" xfId="38550"/>
    <cellStyle name="Comma 15 4 4 4 4" xfId="38551"/>
    <cellStyle name="Comma 15 4 4 4 5" xfId="38552"/>
    <cellStyle name="Comma 15 4 4 5" xfId="38553"/>
    <cellStyle name="Comma 15 4 4 5 2" xfId="38554"/>
    <cellStyle name="Comma 15 4 4 5 3" xfId="38555"/>
    <cellStyle name="Comma 15 4 4 6" xfId="38556"/>
    <cellStyle name="Comma 15 4 4 6 2" xfId="38557"/>
    <cellStyle name="Comma 15 4 4 6 3" xfId="38558"/>
    <cellStyle name="Comma 15 4 4 7" xfId="38559"/>
    <cellStyle name="Comma 15 4 4 7 2" xfId="38560"/>
    <cellStyle name="Comma 15 4 4 8" xfId="38561"/>
    <cellStyle name="Comma 15 4 4 9" xfId="38562"/>
    <cellStyle name="Comma 15 4 5" xfId="38563"/>
    <cellStyle name="Comma 15 4 5 2" xfId="38564"/>
    <cellStyle name="Comma 15 4 5 2 2" xfId="38565"/>
    <cellStyle name="Comma 15 4 5 2 3" xfId="38566"/>
    <cellStyle name="Comma 15 4 5 3" xfId="38567"/>
    <cellStyle name="Comma 15 4 5 3 2" xfId="38568"/>
    <cellStyle name="Comma 15 4 5 3 3" xfId="38569"/>
    <cellStyle name="Comma 15 4 5 4" xfId="38570"/>
    <cellStyle name="Comma 15 4 5 4 2" xfId="38571"/>
    <cellStyle name="Comma 15 4 5 5" xfId="38572"/>
    <cellStyle name="Comma 15 4 5 6" xfId="38573"/>
    <cellStyle name="Comma 15 4 6" xfId="38574"/>
    <cellStyle name="Comma 15 4 6 2" xfId="38575"/>
    <cellStyle name="Comma 15 4 6 2 2" xfId="38576"/>
    <cellStyle name="Comma 15 4 6 2 3" xfId="38577"/>
    <cellStyle name="Comma 15 4 6 3" xfId="38578"/>
    <cellStyle name="Comma 15 4 6 3 2" xfId="38579"/>
    <cellStyle name="Comma 15 4 6 3 3" xfId="38580"/>
    <cellStyle name="Comma 15 4 6 4" xfId="38581"/>
    <cellStyle name="Comma 15 4 6 4 2" xfId="38582"/>
    <cellStyle name="Comma 15 4 6 5" xfId="38583"/>
    <cellStyle name="Comma 15 4 6 6" xfId="38584"/>
    <cellStyle name="Comma 15 4 7" xfId="38585"/>
    <cellStyle name="Comma 15 4 7 2" xfId="38586"/>
    <cellStyle name="Comma 15 4 7 2 2" xfId="38587"/>
    <cellStyle name="Comma 15 4 7 2 3" xfId="38588"/>
    <cellStyle name="Comma 15 4 7 3" xfId="38589"/>
    <cellStyle name="Comma 15 4 7 3 2" xfId="38590"/>
    <cellStyle name="Comma 15 4 7 4" xfId="38591"/>
    <cellStyle name="Comma 15 4 7 5" xfId="38592"/>
    <cellStyle name="Comma 15 4 8" xfId="38593"/>
    <cellStyle name="Comma 15 4 8 2" xfId="38594"/>
    <cellStyle name="Comma 15 4 8 3" xfId="38595"/>
    <cellStyle name="Comma 15 4 9" xfId="38596"/>
    <cellStyle name="Comma 15 4 9 2" xfId="38597"/>
    <cellStyle name="Comma 15 4 9 3" xfId="38598"/>
    <cellStyle name="Comma 15 5" xfId="38599"/>
    <cellStyle name="Comma 15 5 10" xfId="38600"/>
    <cellStyle name="Comma 15 5 2" xfId="38601"/>
    <cellStyle name="Comma 15 5 2 2" xfId="38602"/>
    <cellStyle name="Comma 15 5 2 2 2" xfId="38603"/>
    <cellStyle name="Comma 15 5 2 2 2 2" xfId="38604"/>
    <cellStyle name="Comma 15 5 2 2 2 3" xfId="38605"/>
    <cellStyle name="Comma 15 5 2 2 3" xfId="38606"/>
    <cellStyle name="Comma 15 5 2 2 3 2" xfId="38607"/>
    <cellStyle name="Comma 15 5 2 2 3 3" xfId="38608"/>
    <cellStyle name="Comma 15 5 2 2 4" xfId="38609"/>
    <cellStyle name="Comma 15 5 2 2 4 2" xfId="38610"/>
    <cellStyle name="Comma 15 5 2 2 5" xfId="38611"/>
    <cellStyle name="Comma 15 5 2 2 6" xfId="38612"/>
    <cellStyle name="Comma 15 5 2 3" xfId="38613"/>
    <cellStyle name="Comma 15 5 2 3 2" xfId="38614"/>
    <cellStyle name="Comma 15 5 2 3 2 2" xfId="38615"/>
    <cellStyle name="Comma 15 5 2 3 2 3" xfId="38616"/>
    <cellStyle name="Comma 15 5 2 3 3" xfId="38617"/>
    <cellStyle name="Comma 15 5 2 3 3 2" xfId="38618"/>
    <cellStyle name="Comma 15 5 2 3 3 3" xfId="38619"/>
    <cellStyle name="Comma 15 5 2 3 4" xfId="38620"/>
    <cellStyle name="Comma 15 5 2 3 4 2" xfId="38621"/>
    <cellStyle name="Comma 15 5 2 3 5" xfId="38622"/>
    <cellStyle name="Comma 15 5 2 3 6" xfId="38623"/>
    <cellStyle name="Comma 15 5 2 4" xfId="38624"/>
    <cellStyle name="Comma 15 5 2 4 2" xfId="38625"/>
    <cellStyle name="Comma 15 5 2 4 2 2" xfId="38626"/>
    <cellStyle name="Comma 15 5 2 4 2 3" xfId="38627"/>
    <cellStyle name="Comma 15 5 2 4 3" xfId="38628"/>
    <cellStyle name="Comma 15 5 2 4 3 2" xfId="38629"/>
    <cellStyle name="Comma 15 5 2 4 4" xfId="38630"/>
    <cellStyle name="Comma 15 5 2 4 5" xfId="38631"/>
    <cellStyle name="Comma 15 5 2 5" xfId="38632"/>
    <cellStyle name="Comma 15 5 2 5 2" xfId="38633"/>
    <cellStyle name="Comma 15 5 2 5 3" xfId="38634"/>
    <cellStyle name="Comma 15 5 2 6" xfId="38635"/>
    <cellStyle name="Comma 15 5 2 6 2" xfId="38636"/>
    <cellStyle name="Comma 15 5 2 6 3" xfId="38637"/>
    <cellStyle name="Comma 15 5 2 7" xfId="38638"/>
    <cellStyle name="Comma 15 5 2 7 2" xfId="38639"/>
    <cellStyle name="Comma 15 5 2 8" xfId="38640"/>
    <cellStyle name="Comma 15 5 2 9" xfId="38641"/>
    <cellStyle name="Comma 15 5 3" xfId="38642"/>
    <cellStyle name="Comma 15 5 3 2" xfId="38643"/>
    <cellStyle name="Comma 15 5 3 2 2" xfId="38644"/>
    <cellStyle name="Comma 15 5 3 2 3" xfId="38645"/>
    <cellStyle name="Comma 15 5 3 3" xfId="38646"/>
    <cellStyle name="Comma 15 5 3 3 2" xfId="38647"/>
    <cellStyle name="Comma 15 5 3 3 3" xfId="38648"/>
    <cellStyle name="Comma 15 5 3 4" xfId="38649"/>
    <cellStyle name="Comma 15 5 3 4 2" xfId="38650"/>
    <cellStyle name="Comma 15 5 3 5" xfId="38651"/>
    <cellStyle name="Comma 15 5 3 6" xfId="38652"/>
    <cellStyle name="Comma 15 5 4" xfId="38653"/>
    <cellStyle name="Comma 15 5 4 2" xfId="38654"/>
    <cellStyle name="Comma 15 5 4 2 2" xfId="38655"/>
    <cellStyle name="Comma 15 5 4 2 3" xfId="38656"/>
    <cellStyle name="Comma 15 5 4 3" xfId="38657"/>
    <cellStyle name="Comma 15 5 4 3 2" xfId="38658"/>
    <cellStyle name="Comma 15 5 4 3 3" xfId="38659"/>
    <cellStyle name="Comma 15 5 4 4" xfId="38660"/>
    <cellStyle name="Comma 15 5 4 4 2" xfId="38661"/>
    <cellStyle name="Comma 15 5 4 5" xfId="38662"/>
    <cellStyle name="Comma 15 5 4 6" xfId="38663"/>
    <cellStyle name="Comma 15 5 5" xfId="38664"/>
    <cellStyle name="Comma 15 5 5 2" xfId="38665"/>
    <cellStyle name="Comma 15 5 5 2 2" xfId="38666"/>
    <cellStyle name="Comma 15 5 5 2 3" xfId="38667"/>
    <cellStyle name="Comma 15 5 5 3" xfId="38668"/>
    <cellStyle name="Comma 15 5 5 3 2" xfId="38669"/>
    <cellStyle name="Comma 15 5 5 4" xfId="38670"/>
    <cellStyle name="Comma 15 5 5 5" xfId="38671"/>
    <cellStyle name="Comma 15 5 6" xfId="38672"/>
    <cellStyle name="Comma 15 5 6 2" xfId="38673"/>
    <cellStyle name="Comma 15 5 6 3" xfId="38674"/>
    <cellStyle name="Comma 15 5 7" xfId="38675"/>
    <cellStyle name="Comma 15 5 7 2" xfId="38676"/>
    <cellStyle name="Comma 15 5 7 3" xfId="38677"/>
    <cellStyle name="Comma 15 5 8" xfId="38678"/>
    <cellStyle name="Comma 15 5 8 2" xfId="38679"/>
    <cellStyle name="Comma 15 5 9" xfId="38680"/>
    <cellStyle name="Comma 15 6" xfId="38681"/>
    <cellStyle name="Comma 15 6 2" xfId="38682"/>
    <cellStyle name="Comma 15 6 2 2" xfId="38683"/>
    <cellStyle name="Comma 15 6 2 2 2" xfId="38684"/>
    <cellStyle name="Comma 15 6 2 2 3" xfId="38685"/>
    <cellStyle name="Comma 15 6 2 3" xfId="38686"/>
    <cellStyle name="Comma 15 6 2 3 2" xfId="38687"/>
    <cellStyle name="Comma 15 6 2 3 3" xfId="38688"/>
    <cellStyle name="Comma 15 6 2 4" xfId="38689"/>
    <cellStyle name="Comma 15 6 2 4 2" xfId="38690"/>
    <cellStyle name="Comma 15 6 2 5" xfId="38691"/>
    <cellStyle name="Comma 15 6 2 6" xfId="38692"/>
    <cellStyle name="Comma 15 6 3" xfId="38693"/>
    <cellStyle name="Comma 15 6 3 2" xfId="38694"/>
    <cellStyle name="Comma 15 6 3 2 2" xfId="38695"/>
    <cellStyle name="Comma 15 6 3 2 3" xfId="38696"/>
    <cellStyle name="Comma 15 6 3 3" xfId="38697"/>
    <cellStyle name="Comma 15 6 3 3 2" xfId="38698"/>
    <cellStyle name="Comma 15 6 3 3 3" xfId="38699"/>
    <cellStyle name="Comma 15 6 3 4" xfId="38700"/>
    <cellStyle name="Comma 15 6 3 4 2" xfId="38701"/>
    <cellStyle name="Comma 15 6 3 5" xfId="38702"/>
    <cellStyle name="Comma 15 6 3 6" xfId="38703"/>
    <cellStyle name="Comma 15 6 4" xfId="38704"/>
    <cellStyle name="Comma 15 6 4 2" xfId="38705"/>
    <cellStyle name="Comma 15 6 4 2 2" xfId="38706"/>
    <cellStyle name="Comma 15 6 4 2 3" xfId="38707"/>
    <cellStyle name="Comma 15 6 4 3" xfId="38708"/>
    <cellStyle name="Comma 15 6 4 3 2" xfId="38709"/>
    <cellStyle name="Comma 15 6 4 4" xfId="38710"/>
    <cellStyle name="Comma 15 6 4 5" xfId="38711"/>
    <cellStyle name="Comma 15 6 5" xfId="38712"/>
    <cellStyle name="Comma 15 6 5 2" xfId="38713"/>
    <cellStyle name="Comma 15 6 5 3" xfId="38714"/>
    <cellStyle name="Comma 15 6 6" xfId="38715"/>
    <cellStyle name="Comma 15 6 6 2" xfId="38716"/>
    <cellStyle name="Comma 15 6 6 3" xfId="38717"/>
    <cellStyle name="Comma 15 6 7" xfId="38718"/>
    <cellStyle name="Comma 15 6 7 2" xfId="38719"/>
    <cellStyle name="Comma 15 6 8" xfId="38720"/>
    <cellStyle name="Comma 15 6 9" xfId="38721"/>
    <cellStyle name="Comma 15 7" xfId="38722"/>
    <cellStyle name="Comma 15 7 2" xfId="38723"/>
    <cellStyle name="Comma 15 7 2 2" xfId="38724"/>
    <cellStyle name="Comma 15 7 2 2 2" xfId="38725"/>
    <cellStyle name="Comma 15 7 2 2 3" xfId="38726"/>
    <cellStyle name="Comma 15 7 2 3" xfId="38727"/>
    <cellStyle name="Comma 15 7 2 3 2" xfId="38728"/>
    <cellStyle name="Comma 15 7 2 3 3" xfId="38729"/>
    <cellStyle name="Comma 15 7 2 4" xfId="38730"/>
    <cellStyle name="Comma 15 7 2 4 2" xfId="38731"/>
    <cellStyle name="Comma 15 7 2 5" xfId="38732"/>
    <cellStyle name="Comma 15 7 2 6" xfId="38733"/>
    <cellStyle name="Comma 15 7 3" xfId="38734"/>
    <cellStyle name="Comma 15 7 3 2" xfId="38735"/>
    <cellStyle name="Comma 15 7 3 2 2" xfId="38736"/>
    <cellStyle name="Comma 15 7 3 2 3" xfId="38737"/>
    <cellStyle name="Comma 15 7 3 3" xfId="38738"/>
    <cellStyle name="Comma 15 7 3 3 2" xfId="38739"/>
    <cellStyle name="Comma 15 7 3 3 3" xfId="38740"/>
    <cellStyle name="Comma 15 7 3 4" xfId="38741"/>
    <cellStyle name="Comma 15 7 3 4 2" xfId="38742"/>
    <cellStyle name="Comma 15 7 3 5" xfId="38743"/>
    <cellStyle name="Comma 15 7 3 6" xfId="38744"/>
    <cellStyle name="Comma 15 7 4" xfId="38745"/>
    <cellStyle name="Comma 15 7 4 2" xfId="38746"/>
    <cellStyle name="Comma 15 7 4 2 2" xfId="38747"/>
    <cellStyle name="Comma 15 7 4 2 3" xfId="38748"/>
    <cellStyle name="Comma 15 7 4 3" xfId="38749"/>
    <cellStyle name="Comma 15 7 4 3 2" xfId="38750"/>
    <cellStyle name="Comma 15 7 4 4" xfId="38751"/>
    <cellStyle name="Comma 15 7 4 5" xfId="38752"/>
    <cellStyle name="Comma 15 7 5" xfId="38753"/>
    <cellStyle name="Comma 15 7 5 2" xfId="38754"/>
    <cellStyle name="Comma 15 7 5 3" xfId="38755"/>
    <cellStyle name="Comma 15 7 6" xfId="38756"/>
    <cellStyle name="Comma 15 7 6 2" xfId="38757"/>
    <cellStyle name="Comma 15 7 6 3" xfId="38758"/>
    <cellStyle name="Comma 15 7 7" xfId="38759"/>
    <cellStyle name="Comma 15 7 7 2" xfId="38760"/>
    <cellStyle name="Comma 15 7 8" xfId="38761"/>
    <cellStyle name="Comma 15 7 9" xfId="38762"/>
    <cellStyle name="Comma 15 8" xfId="38763"/>
    <cellStyle name="Comma 15 8 2" xfId="38764"/>
    <cellStyle name="Comma 15 8 2 2" xfId="38765"/>
    <cellStyle name="Comma 15 8 2 3" xfId="38766"/>
    <cellStyle name="Comma 15 8 3" xfId="38767"/>
    <cellStyle name="Comma 15 8 3 2" xfId="38768"/>
    <cellStyle name="Comma 15 8 3 3" xfId="38769"/>
    <cellStyle name="Comma 15 8 4" xfId="38770"/>
    <cellStyle name="Comma 15 8 4 2" xfId="38771"/>
    <cellStyle name="Comma 15 8 5" xfId="38772"/>
    <cellStyle name="Comma 15 8 6" xfId="38773"/>
    <cellStyle name="Comma 15 9" xfId="38774"/>
    <cellStyle name="Comma 15 9 2" xfId="38775"/>
    <cellStyle name="Comma 15 9 2 2" xfId="38776"/>
    <cellStyle name="Comma 15 9 2 3" xfId="38777"/>
    <cellStyle name="Comma 15 9 3" xfId="38778"/>
    <cellStyle name="Comma 15 9 3 2" xfId="38779"/>
    <cellStyle name="Comma 15 9 3 3" xfId="38780"/>
    <cellStyle name="Comma 15 9 4" xfId="38781"/>
    <cellStyle name="Comma 15 9 4 2" xfId="38782"/>
    <cellStyle name="Comma 15 9 5" xfId="38783"/>
    <cellStyle name="Comma 15 9 6" xfId="38784"/>
    <cellStyle name="Comma 150" xfId="57865"/>
    <cellStyle name="Comma 151" xfId="57866"/>
    <cellStyle name="Comma 152" xfId="57867"/>
    <cellStyle name="Comma 153" xfId="57868"/>
    <cellStyle name="Comma 154" xfId="57869"/>
    <cellStyle name="Comma 155" xfId="57870"/>
    <cellStyle name="Comma 156" xfId="57871"/>
    <cellStyle name="Comma 16" xfId="3243"/>
    <cellStyle name="Comma 16 10" xfId="38785"/>
    <cellStyle name="Comma 16 10 2" xfId="38786"/>
    <cellStyle name="Comma 16 10 2 2" xfId="38787"/>
    <cellStyle name="Comma 16 10 2 3" xfId="38788"/>
    <cellStyle name="Comma 16 10 3" xfId="38789"/>
    <cellStyle name="Comma 16 10 3 2" xfId="38790"/>
    <cellStyle name="Comma 16 10 4" xfId="38791"/>
    <cellStyle name="Comma 16 10 5" xfId="38792"/>
    <cellStyle name="Comma 16 11" xfId="38793"/>
    <cellStyle name="Comma 16 11 2" xfId="38794"/>
    <cellStyle name="Comma 16 11 3" xfId="38795"/>
    <cellStyle name="Comma 16 12" xfId="38796"/>
    <cellStyle name="Comma 16 12 2" xfId="38797"/>
    <cellStyle name="Comma 16 12 3" xfId="38798"/>
    <cellStyle name="Comma 16 13" xfId="38799"/>
    <cellStyle name="Comma 16 13 2" xfId="38800"/>
    <cellStyle name="Comma 16 14" xfId="38801"/>
    <cellStyle name="Comma 16 15" xfId="38802"/>
    <cellStyle name="Comma 16 16" xfId="38803"/>
    <cellStyle name="Comma 16 2" xfId="3244"/>
    <cellStyle name="Comma 16 2 10" xfId="38804"/>
    <cellStyle name="Comma 16 2 10 2" xfId="38805"/>
    <cellStyle name="Comma 16 2 10 3" xfId="38806"/>
    <cellStyle name="Comma 16 2 11" xfId="38807"/>
    <cellStyle name="Comma 16 2 11 2" xfId="38808"/>
    <cellStyle name="Comma 16 2 11 3" xfId="38809"/>
    <cellStyle name="Comma 16 2 12" xfId="38810"/>
    <cellStyle name="Comma 16 2 12 2" xfId="38811"/>
    <cellStyle name="Comma 16 2 13" xfId="38812"/>
    <cellStyle name="Comma 16 2 14" xfId="38813"/>
    <cellStyle name="Comma 16 2 2" xfId="38814"/>
    <cellStyle name="Comma 16 2 2 10" xfId="38815"/>
    <cellStyle name="Comma 16 2 2 10 2" xfId="38816"/>
    <cellStyle name="Comma 16 2 2 10 3" xfId="38817"/>
    <cellStyle name="Comma 16 2 2 11" xfId="38818"/>
    <cellStyle name="Comma 16 2 2 11 2" xfId="38819"/>
    <cellStyle name="Comma 16 2 2 12" xfId="38820"/>
    <cellStyle name="Comma 16 2 2 13" xfId="38821"/>
    <cellStyle name="Comma 16 2 2 2" xfId="38822"/>
    <cellStyle name="Comma 16 2 2 2 10" xfId="38823"/>
    <cellStyle name="Comma 16 2 2 2 10 2" xfId="38824"/>
    <cellStyle name="Comma 16 2 2 2 11" xfId="38825"/>
    <cellStyle name="Comma 16 2 2 2 12" xfId="38826"/>
    <cellStyle name="Comma 16 2 2 2 2" xfId="38827"/>
    <cellStyle name="Comma 16 2 2 2 2 10" xfId="38828"/>
    <cellStyle name="Comma 16 2 2 2 2 2" xfId="38829"/>
    <cellStyle name="Comma 16 2 2 2 2 2 2" xfId="38830"/>
    <cellStyle name="Comma 16 2 2 2 2 2 2 2" xfId="38831"/>
    <cellStyle name="Comma 16 2 2 2 2 2 2 2 2" xfId="38832"/>
    <cellStyle name="Comma 16 2 2 2 2 2 2 2 3" xfId="38833"/>
    <cellStyle name="Comma 16 2 2 2 2 2 2 3" xfId="38834"/>
    <cellStyle name="Comma 16 2 2 2 2 2 2 3 2" xfId="38835"/>
    <cellStyle name="Comma 16 2 2 2 2 2 2 3 3" xfId="38836"/>
    <cellStyle name="Comma 16 2 2 2 2 2 2 4" xfId="38837"/>
    <cellStyle name="Comma 16 2 2 2 2 2 2 4 2" xfId="38838"/>
    <cellStyle name="Comma 16 2 2 2 2 2 2 5" xfId="38839"/>
    <cellStyle name="Comma 16 2 2 2 2 2 2 6" xfId="38840"/>
    <cellStyle name="Comma 16 2 2 2 2 2 3" xfId="38841"/>
    <cellStyle name="Comma 16 2 2 2 2 2 3 2" xfId="38842"/>
    <cellStyle name="Comma 16 2 2 2 2 2 3 2 2" xfId="38843"/>
    <cellStyle name="Comma 16 2 2 2 2 2 3 2 3" xfId="38844"/>
    <cellStyle name="Comma 16 2 2 2 2 2 3 3" xfId="38845"/>
    <cellStyle name="Comma 16 2 2 2 2 2 3 3 2" xfId="38846"/>
    <cellStyle name="Comma 16 2 2 2 2 2 3 3 3" xfId="38847"/>
    <cellStyle name="Comma 16 2 2 2 2 2 3 4" xfId="38848"/>
    <cellStyle name="Comma 16 2 2 2 2 2 3 4 2" xfId="38849"/>
    <cellStyle name="Comma 16 2 2 2 2 2 3 5" xfId="38850"/>
    <cellStyle name="Comma 16 2 2 2 2 2 3 6" xfId="38851"/>
    <cellStyle name="Comma 16 2 2 2 2 2 4" xfId="38852"/>
    <cellStyle name="Comma 16 2 2 2 2 2 4 2" xfId="38853"/>
    <cellStyle name="Comma 16 2 2 2 2 2 4 2 2" xfId="38854"/>
    <cellStyle name="Comma 16 2 2 2 2 2 4 2 3" xfId="38855"/>
    <cellStyle name="Comma 16 2 2 2 2 2 4 3" xfId="38856"/>
    <cellStyle name="Comma 16 2 2 2 2 2 4 3 2" xfId="38857"/>
    <cellStyle name="Comma 16 2 2 2 2 2 4 4" xfId="38858"/>
    <cellStyle name="Comma 16 2 2 2 2 2 4 5" xfId="38859"/>
    <cellStyle name="Comma 16 2 2 2 2 2 5" xfId="38860"/>
    <cellStyle name="Comma 16 2 2 2 2 2 5 2" xfId="38861"/>
    <cellStyle name="Comma 16 2 2 2 2 2 5 3" xfId="38862"/>
    <cellStyle name="Comma 16 2 2 2 2 2 6" xfId="38863"/>
    <cellStyle name="Comma 16 2 2 2 2 2 6 2" xfId="38864"/>
    <cellStyle name="Comma 16 2 2 2 2 2 6 3" xfId="38865"/>
    <cellStyle name="Comma 16 2 2 2 2 2 7" xfId="38866"/>
    <cellStyle name="Comma 16 2 2 2 2 2 7 2" xfId="38867"/>
    <cellStyle name="Comma 16 2 2 2 2 2 8" xfId="38868"/>
    <cellStyle name="Comma 16 2 2 2 2 2 9" xfId="38869"/>
    <cellStyle name="Comma 16 2 2 2 2 3" xfId="38870"/>
    <cellStyle name="Comma 16 2 2 2 2 3 2" xfId="38871"/>
    <cellStyle name="Comma 16 2 2 2 2 3 2 2" xfId="38872"/>
    <cellStyle name="Comma 16 2 2 2 2 3 2 3" xfId="38873"/>
    <cellStyle name="Comma 16 2 2 2 2 3 3" xfId="38874"/>
    <cellStyle name="Comma 16 2 2 2 2 3 3 2" xfId="38875"/>
    <cellStyle name="Comma 16 2 2 2 2 3 3 3" xfId="38876"/>
    <cellStyle name="Comma 16 2 2 2 2 3 4" xfId="38877"/>
    <cellStyle name="Comma 16 2 2 2 2 3 4 2" xfId="38878"/>
    <cellStyle name="Comma 16 2 2 2 2 3 5" xfId="38879"/>
    <cellStyle name="Comma 16 2 2 2 2 3 6" xfId="38880"/>
    <cellStyle name="Comma 16 2 2 2 2 4" xfId="38881"/>
    <cellStyle name="Comma 16 2 2 2 2 4 2" xfId="38882"/>
    <cellStyle name="Comma 16 2 2 2 2 4 2 2" xfId="38883"/>
    <cellStyle name="Comma 16 2 2 2 2 4 2 3" xfId="38884"/>
    <cellStyle name="Comma 16 2 2 2 2 4 3" xfId="38885"/>
    <cellStyle name="Comma 16 2 2 2 2 4 3 2" xfId="38886"/>
    <cellStyle name="Comma 16 2 2 2 2 4 3 3" xfId="38887"/>
    <cellStyle name="Comma 16 2 2 2 2 4 4" xfId="38888"/>
    <cellStyle name="Comma 16 2 2 2 2 4 4 2" xfId="38889"/>
    <cellStyle name="Comma 16 2 2 2 2 4 5" xfId="38890"/>
    <cellStyle name="Comma 16 2 2 2 2 4 6" xfId="38891"/>
    <cellStyle name="Comma 16 2 2 2 2 5" xfId="38892"/>
    <cellStyle name="Comma 16 2 2 2 2 5 2" xfId="38893"/>
    <cellStyle name="Comma 16 2 2 2 2 5 2 2" xfId="38894"/>
    <cellStyle name="Comma 16 2 2 2 2 5 2 3" xfId="38895"/>
    <cellStyle name="Comma 16 2 2 2 2 5 3" xfId="38896"/>
    <cellStyle name="Comma 16 2 2 2 2 5 3 2" xfId="38897"/>
    <cellStyle name="Comma 16 2 2 2 2 5 4" xfId="38898"/>
    <cellStyle name="Comma 16 2 2 2 2 5 5" xfId="38899"/>
    <cellStyle name="Comma 16 2 2 2 2 6" xfId="38900"/>
    <cellStyle name="Comma 16 2 2 2 2 6 2" xfId="38901"/>
    <cellStyle name="Comma 16 2 2 2 2 6 3" xfId="38902"/>
    <cellStyle name="Comma 16 2 2 2 2 7" xfId="38903"/>
    <cellStyle name="Comma 16 2 2 2 2 7 2" xfId="38904"/>
    <cellStyle name="Comma 16 2 2 2 2 7 3" xfId="38905"/>
    <cellStyle name="Comma 16 2 2 2 2 8" xfId="38906"/>
    <cellStyle name="Comma 16 2 2 2 2 8 2" xfId="38907"/>
    <cellStyle name="Comma 16 2 2 2 2 9" xfId="38908"/>
    <cellStyle name="Comma 16 2 2 2 3" xfId="38909"/>
    <cellStyle name="Comma 16 2 2 2 3 2" xfId="38910"/>
    <cellStyle name="Comma 16 2 2 2 3 2 2" xfId="38911"/>
    <cellStyle name="Comma 16 2 2 2 3 2 2 2" xfId="38912"/>
    <cellStyle name="Comma 16 2 2 2 3 2 2 3" xfId="38913"/>
    <cellStyle name="Comma 16 2 2 2 3 2 3" xfId="38914"/>
    <cellStyle name="Comma 16 2 2 2 3 2 3 2" xfId="38915"/>
    <cellStyle name="Comma 16 2 2 2 3 2 3 3" xfId="38916"/>
    <cellStyle name="Comma 16 2 2 2 3 2 4" xfId="38917"/>
    <cellStyle name="Comma 16 2 2 2 3 2 4 2" xfId="38918"/>
    <cellStyle name="Comma 16 2 2 2 3 2 5" xfId="38919"/>
    <cellStyle name="Comma 16 2 2 2 3 2 6" xfId="38920"/>
    <cellStyle name="Comma 16 2 2 2 3 3" xfId="38921"/>
    <cellStyle name="Comma 16 2 2 2 3 3 2" xfId="38922"/>
    <cellStyle name="Comma 16 2 2 2 3 3 2 2" xfId="38923"/>
    <cellStyle name="Comma 16 2 2 2 3 3 2 3" xfId="38924"/>
    <cellStyle name="Comma 16 2 2 2 3 3 3" xfId="38925"/>
    <cellStyle name="Comma 16 2 2 2 3 3 3 2" xfId="38926"/>
    <cellStyle name="Comma 16 2 2 2 3 3 3 3" xfId="38927"/>
    <cellStyle name="Comma 16 2 2 2 3 3 4" xfId="38928"/>
    <cellStyle name="Comma 16 2 2 2 3 3 4 2" xfId="38929"/>
    <cellStyle name="Comma 16 2 2 2 3 3 5" xfId="38930"/>
    <cellStyle name="Comma 16 2 2 2 3 3 6" xfId="38931"/>
    <cellStyle name="Comma 16 2 2 2 3 4" xfId="38932"/>
    <cellStyle name="Comma 16 2 2 2 3 4 2" xfId="38933"/>
    <cellStyle name="Comma 16 2 2 2 3 4 2 2" xfId="38934"/>
    <cellStyle name="Comma 16 2 2 2 3 4 2 3" xfId="38935"/>
    <cellStyle name="Comma 16 2 2 2 3 4 3" xfId="38936"/>
    <cellStyle name="Comma 16 2 2 2 3 4 3 2" xfId="38937"/>
    <cellStyle name="Comma 16 2 2 2 3 4 4" xfId="38938"/>
    <cellStyle name="Comma 16 2 2 2 3 4 5" xfId="38939"/>
    <cellStyle name="Comma 16 2 2 2 3 5" xfId="38940"/>
    <cellStyle name="Comma 16 2 2 2 3 5 2" xfId="38941"/>
    <cellStyle name="Comma 16 2 2 2 3 5 3" xfId="38942"/>
    <cellStyle name="Comma 16 2 2 2 3 6" xfId="38943"/>
    <cellStyle name="Comma 16 2 2 2 3 6 2" xfId="38944"/>
    <cellStyle name="Comma 16 2 2 2 3 6 3" xfId="38945"/>
    <cellStyle name="Comma 16 2 2 2 3 7" xfId="38946"/>
    <cellStyle name="Comma 16 2 2 2 3 7 2" xfId="38947"/>
    <cellStyle name="Comma 16 2 2 2 3 8" xfId="38948"/>
    <cellStyle name="Comma 16 2 2 2 3 9" xfId="38949"/>
    <cellStyle name="Comma 16 2 2 2 4" xfId="38950"/>
    <cellStyle name="Comma 16 2 2 2 4 2" xfId="38951"/>
    <cellStyle name="Comma 16 2 2 2 4 2 2" xfId="38952"/>
    <cellStyle name="Comma 16 2 2 2 4 2 2 2" xfId="38953"/>
    <cellStyle name="Comma 16 2 2 2 4 2 2 3" xfId="38954"/>
    <cellStyle name="Comma 16 2 2 2 4 2 3" xfId="38955"/>
    <cellStyle name="Comma 16 2 2 2 4 2 3 2" xfId="38956"/>
    <cellStyle name="Comma 16 2 2 2 4 2 3 3" xfId="38957"/>
    <cellStyle name="Comma 16 2 2 2 4 2 4" xfId="38958"/>
    <cellStyle name="Comma 16 2 2 2 4 2 4 2" xfId="38959"/>
    <cellStyle name="Comma 16 2 2 2 4 2 5" xfId="38960"/>
    <cellStyle name="Comma 16 2 2 2 4 2 6" xfId="38961"/>
    <cellStyle name="Comma 16 2 2 2 4 3" xfId="38962"/>
    <cellStyle name="Comma 16 2 2 2 4 3 2" xfId="38963"/>
    <cellStyle name="Comma 16 2 2 2 4 3 2 2" xfId="38964"/>
    <cellStyle name="Comma 16 2 2 2 4 3 2 3" xfId="38965"/>
    <cellStyle name="Comma 16 2 2 2 4 3 3" xfId="38966"/>
    <cellStyle name="Comma 16 2 2 2 4 3 3 2" xfId="38967"/>
    <cellStyle name="Comma 16 2 2 2 4 3 3 3" xfId="38968"/>
    <cellStyle name="Comma 16 2 2 2 4 3 4" xfId="38969"/>
    <cellStyle name="Comma 16 2 2 2 4 3 4 2" xfId="38970"/>
    <cellStyle name="Comma 16 2 2 2 4 3 5" xfId="38971"/>
    <cellStyle name="Comma 16 2 2 2 4 3 6" xfId="38972"/>
    <cellStyle name="Comma 16 2 2 2 4 4" xfId="38973"/>
    <cellStyle name="Comma 16 2 2 2 4 4 2" xfId="38974"/>
    <cellStyle name="Comma 16 2 2 2 4 4 2 2" xfId="38975"/>
    <cellStyle name="Comma 16 2 2 2 4 4 2 3" xfId="38976"/>
    <cellStyle name="Comma 16 2 2 2 4 4 3" xfId="38977"/>
    <cellStyle name="Comma 16 2 2 2 4 4 3 2" xfId="38978"/>
    <cellStyle name="Comma 16 2 2 2 4 4 4" xfId="38979"/>
    <cellStyle name="Comma 16 2 2 2 4 4 5" xfId="38980"/>
    <cellStyle name="Comma 16 2 2 2 4 5" xfId="38981"/>
    <cellStyle name="Comma 16 2 2 2 4 5 2" xfId="38982"/>
    <cellStyle name="Comma 16 2 2 2 4 5 3" xfId="38983"/>
    <cellStyle name="Comma 16 2 2 2 4 6" xfId="38984"/>
    <cellStyle name="Comma 16 2 2 2 4 6 2" xfId="38985"/>
    <cellStyle name="Comma 16 2 2 2 4 6 3" xfId="38986"/>
    <cellStyle name="Comma 16 2 2 2 4 7" xfId="38987"/>
    <cellStyle name="Comma 16 2 2 2 4 7 2" xfId="38988"/>
    <cellStyle name="Comma 16 2 2 2 4 8" xfId="38989"/>
    <cellStyle name="Comma 16 2 2 2 4 9" xfId="38990"/>
    <cellStyle name="Comma 16 2 2 2 5" xfId="38991"/>
    <cellStyle name="Comma 16 2 2 2 5 2" xfId="38992"/>
    <cellStyle name="Comma 16 2 2 2 5 2 2" xfId="38993"/>
    <cellStyle name="Comma 16 2 2 2 5 2 3" xfId="38994"/>
    <cellStyle name="Comma 16 2 2 2 5 3" xfId="38995"/>
    <cellStyle name="Comma 16 2 2 2 5 3 2" xfId="38996"/>
    <cellStyle name="Comma 16 2 2 2 5 3 3" xfId="38997"/>
    <cellStyle name="Comma 16 2 2 2 5 4" xfId="38998"/>
    <cellStyle name="Comma 16 2 2 2 5 4 2" xfId="38999"/>
    <cellStyle name="Comma 16 2 2 2 5 5" xfId="39000"/>
    <cellStyle name="Comma 16 2 2 2 5 6" xfId="39001"/>
    <cellStyle name="Comma 16 2 2 2 6" xfId="39002"/>
    <cellStyle name="Comma 16 2 2 2 6 2" xfId="39003"/>
    <cellStyle name="Comma 16 2 2 2 6 2 2" xfId="39004"/>
    <cellStyle name="Comma 16 2 2 2 6 2 3" xfId="39005"/>
    <cellStyle name="Comma 16 2 2 2 6 3" xfId="39006"/>
    <cellStyle name="Comma 16 2 2 2 6 3 2" xfId="39007"/>
    <cellStyle name="Comma 16 2 2 2 6 3 3" xfId="39008"/>
    <cellStyle name="Comma 16 2 2 2 6 4" xfId="39009"/>
    <cellStyle name="Comma 16 2 2 2 6 4 2" xfId="39010"/>
    <cellStyle name="Comma 16 2 2 2 6 5" xfId="39011"/>
    <cellStyle name="Comma 16 2 2 2 6 6" xfId="39012"/>
    <cellStyle name="Comma 16 2 2 2 7" xfId="39013"/>
    <cellStyle name="Comma 16 2 2 2 7 2" xfId="39014"/>
    <cellStyle name="Comma 16 2 2 2 7 2 2" xfId="39015"/>
    <cellStyle name="Comma 16 2 2 2 7 2 3" xfId="39016"/>
    <cellStyle name="Comma 16 2 2 2 7 3" xfId="39017"/>
    <cellStyle name="Comma 16 2 2 2 7 3 2" xfId="39018"/>
    <cellStyle name="Comma 16 2 2 2 7 4" xfId="39019"/>
    <cellStyle name="Comma 16 2 2 2 7 5" xfId="39020"/>
    <cellStyle name="Comma 16 2 2 2 8" xfId="39021"/>
    <cellStyle name="Comma 16 2 2 2 8 2" xfId="39022"/>
    <cellStyle name="Comma 16 2 2 2 8 3" xfId="39023"/>
    <cellStyle name="Comma 16 2 2 2 9" xfId="39024"/>
    <cellStyle name="Comma 16 2 2 2 9 2" xfId="39025"/>
    <cellStyle name="Comma 16 2 2 2 9 3" xfId="39026"/>
    <cellStyle name="Comma 16 2 2 3" xfId="39027"/>
    <cellStyle name="Comma 16 2 2 3 10" xfId="39028"/>
    <cellStyle name="Comma 16 2 2 3 2" xfId="39029"/>
    <cellStyle name="Comma 16 2 2 3 2 2" xfId="39030"/>
    <cellStyle name="Comma 16 2 2 3 2 2 2" xfId="39031"/>
    <cellStyle name="Comma 16 2 2 3 2 2 2 2" xfId="39032"/>
    <cellStyle name="Comma 16 2 2 3 2 2 2 3" xfId="39033"/>
    <cellStyle name="Comma 16 2 2 3 2 2 3" xfId="39034"/>
    <cellStyle name="Comma 16 2 2 3 2 2 3 2" xfId="39035"/>
    <cellStyle name="Comma 16 2 2 3 2 2 3 3" xfId="39036"/>
    <cellStyle name="Comma 16 2 2 3 2 2 4" xfId="39037"/>
    <cellStyle name="Comma 16 2 2 3 2 2 4 2" xfId="39038"/>
    <cellStyle name="Comma 16 2 2 3 2 2 5" xfId="39039"/>
    <cellStyle name="Comma 16 2 2 3 2 2 6" xfId="39040"/>
    <cellStyle name="Comma 16 2 2 3 2 3" xfId="39041"/>
    <cellStyle name="Comma 16 2 2 3 2 3 2" xfId="39042"/>
    <cellStyle name="Comma 16 2 2 3 2 3 2 2" xfId="39043"/>
    <cellStyle name="Comma 16 2 2 3 2 3 2 3" xfId="39044"/>
    <cellStyle name="Comma 16 2 2 3 2 3 3" xfId="39045"/>
    <cellStyle name="Comma 16 2 2 3 2 3 3 2" xfId="39046"/>
    <cellStyle name="Comma 16 2 2 3 2 3 3 3" xfId="39047"/>
    <cellStyle name="Comma 16 2 2 3 2 3 4" xfId="39048"/>
    <cellStyle name="Comma 16 2 2 3 2 3 4 2" xfId="39049"/>
    <cellStyle name="Comma 16 2 2 3 2 3 5" xfId="39050"/>
    <cellStyle name="Comma 16 2 2 3 2 3 6" xfId="39051"/>
    <cellStyle name="Comma 16 2 2 3 2 4" xfId="39052"/>
    <cellStyle name="Comma 16 2 2 3 2 4 2" xfId="39053"/>
    <cellStyle name="Comma 16 2 2 3 2 4 2 2" xfId="39054"/>
    <cellStyle name="Comma 16 2 2 3 2 4 2 3" xfId="39055"/>
    <cellStyle name="Comma 16 2 2 3 2 4 3" xfId="39056"/>
    <cellStyle name="Comma 16 2 2 3 2 4 3 2" xfId="39057"/>
    <cellStyle name="Comma 16 2 2 3 2 4 4" xfId="39058"/>
    <cellStyle name="Comma 16 2 2 3 2 4 5" xfId="39059"/>
    <cellStyle name="Comma 16 2 2 3 2 5" xfId="39060"/>
    <cellStyle name="Comma 16 2 2 3 2 5 2" xfId="39061"/>
    <cellStyle name="Comma 16 2 2 3 2 5 3" xfId="39062"/>
    <cellStyle name="Comma 16 2 2 3 2 6" xfId="39063"/>
    <cellStyle name="Comma 16 2 2 3 2 6 2" xfId="39064"/>
    <cellStyle name="Comma 16 2 2 3 2 6 3" xfId="39065"/>
    <cellStyle name="Comma 16 2 2 3 2 7" xfId="39066"/>
    <cellStyle name="Comma 16 2 2 3 2 7 2" xfId="39067"/>
    <cellStyle name="Comma 16 2 2 3 2 8" xfId="39068"/>
    <cellStyle name="Comma 16 2 2 3 2 9" xfId="39069"/>
    <cellStyle name="Comma 16 2 2 3 3" xfId="39070"/>
    <cellStyle name="Comma 16 2 2 3 3 2" xfId="39071"/>
    <cellStyle name="Comma 16 2 2 3 3 2 2" xfId="39072"/>
    <cellStyle name="Comma 16 2 2 3 3 2 3" xfId="39073"/>
    <cellStyle name="Comma 16 2 2 3 3 3" xfId="39074"/>
    <cellStyle name="Comma 16 2 2 3 3 3 2" xfId="39075"/>
    <cellStyle name="Comma 16 2 2 3 3 3 3" xfId="39076"/>
    <cellStyle name="Comma 16 2 2 3 3 4" xfId="39077"/>
    <cellStyle name="Comma 16 2 2 3 3 4 2" xfId="39078"/>
    <cellStyle name="Comma 16 2 2 3 3 5" xfId="39079"/>
    <cellStyle name="Comma 16 2 2 3 3 6" xfId="39080"/>
    <cellStyle name="Comma 16 2 2 3 4" xfId="39081"/>
    <cellStyle name="Comma 16 2 2 3 4 2" xfId="39082"/>
    <cellStyle name="Comma 16 2 2 3 4 2 2" xfId="39083"/>
    <cellStyle name="Comma 16 2 2 3 4 2 3" xfId="39084"/>
    <cellStyle name="Comma 16 2 2 3 4 3" xfId="39085"/>
    <cellStyle name="Comma 16 2 2 3 4 3 2" xfId="39086"/>
    <cellStyle name="Comma 16 2 2 3 4 3 3" xfId="39087"/>
    <cellStyle name="Comma 16 2 2 3 4 4" xfId="39088"/>
    <cellStyle name="Comma 16 2 2 3 4 4 2" xfId="39089"/>
    <cellStyle name="Comma 16 2 2 3 4 5" xfId="39090"/>
    <cellStyle name="Comma 16 2 2 3 4 6" xfId="39091"/>
    <cellStyle name="Comma 16 2 2 3 5" xfId="39092"/>
    <cellStyle name="Comma 16 2 2 3 5 2" xfId="39093"/>
    <cellStyle name="Comma 16 2 2 3 5 2 2" xfId="39094"/>
    <cellStyle name="Comma 16 2 2 3 5 2 3" xfId="39095"/>
    <cellStyle name="Comma 16 2 2 3 5 3" xfId="39096"/>
    <cellStyle name="Comma 16 2 2 3 5 3 2" xfId="39097"/>
    <cellStyle name="Comma 16 2 2 3 5 4" xfId="39098"/>
    <cellStyle name="Comma 16 2 2 3 5 5" xfId="39099"/>
    <cellStyle name="Comma 16 2 2 3 6" xfId="39100"/>
    <cellStyle name="Comma 16 2 2 3 6 2" xfId="39101"/>
    <cellStyle name="Comma 16 2 2 3 6 3" xfId="39102"/>
    <cellStyle name="Comma 16 2 2 3 7" xfId="39103"/>
    <cellStyle name="Comma 16 2 2 3 7 2" xfId="39104"/>
    <cellStyle name="Comma 16 2 2 3 7 3" xfId="39105"/>
    <cellStyle name="Comma 16 2 2 3 8" xfId="39106"/>
    <cellStyle name="Comma 16 2 2 3 8 2" xfId="39107"/>
    <cellStyle name="Comma 16 2 2 3 9" xfId="39108"/>
    <cellStyle name="Comma 16 2 2 4" xfId="39109"/>
    <cellStyle name="Comma 16 2 2 4 2" xfId="39110"/>
    <cellStyle name="Comma 16 2 2 4 2 2" xfId="39111"/>
    <cellStyle name="Comma 16 2 2 4 2 2 2" xfId="39112"/>
    <cellStyle name="Comma 16 2 2 4 2 2 3" xfId="39113"/>
    <cellStyle name="Comma 16 2 2 4 2 3" xfId="39114"/>
    <cellStyle name="Comma 16 2 2 4 2 3 2" xfId="39115"/>
    <cellStyle name="Comma 16 2 2 4 2 3 3" xfId="39116"/>
    <cellStyle name="Comma 16 2 2 4 2 4" xfId="39117"/>
    <cellStyle name="Comma 16 2 2 4 2 4 2" xfId="39118"/>
    <cellStyle name="Comma 16 2 2 4 2 5" xfId="39119"/>
    <cellStyle name="Comma 16 2 2 4 2 6" xfId="39120"/>
    <cellStyle name="Comma 16 2 2 4 3" xfId="39121"/>
    <cellStyle name="Comma 16 2 2 4 3 2" xfId="39122"/>
    <cellStyle name="Comma 16 2 2 4 3 2 2" xfId="39123"/>
    <cellStyle name="Comma 16 2 2 4 3 2 3" xfId="39124"/>
    <cellStyle name="Comma 16 2 2 4 3 3" xfId="39125"/>
    <cellStyle name="Comma 16 2 2 4 3 3 2" xfId="39126"/>
    <cellStyle name="Comma 16 2 2 4 3 3 3" xfId="39127"/>
    <cellStyle name="Comma 16 2 2 4 3 4" xfId="39128"/>
    <cellStyle name="Comma 16 2 2 4 3 4 2" xfId="39129"/>
    <cellStyle name="Comma 16 2 2 4 3 5" xfId="39130"/>
    <cellStyle name="Comma 16 2 2 4 3 6" xfId="39131"/>
    <cellStyle name="Comma 16 2 2 4 4" xfId="39132"/>
    <cellStyle name="Comma 16 2 2 4 4 2" xfId="39133"/>
    <cellStyle name="Comma 16 2 2 4 4 2 2" xfId="39134"/>
    <cellStyle name="Comma 16 2 2 4 4 2 3" xfId="39135"/>
    <cellStyle name="Comma 16 2 2 4 4 3" xfId="39136"/>
    <cellStyle name="Comma 16 2 2 4 4 3 2" xfId="39137"/>
    <cellStyle name="Comma 16 2 2 4 4 4" xfId="39138"/>
    <cellStyle name="Comma 16 2 2 4 4 5" xfId="39139"/>
    <cellStyle name="Comma 16 2 2 4 5" xfId="39140"/>
    <cellStyle name="Comma 16 2 2 4 5 2" xfId="39141"/>
    <cellStyle name="Comma 16 2 2 4 5 3" xfId="39142"/>
    <cellStyle name="Comma 16 2 2 4 6" xfId="39143"/>
    <cellStyle name="Comma 16 2 2 4 6 2" xfId="39144"/>
    <cellStyle name="Comma 16 2 2 4 6 3" xfId="39145"/>
    <cellStyle name="Comma 16 2 2 4 7" xfId="39146"/>
    <cellStyle name="Comma 16 2 2 4 7 2" xfId="39147"/>
    <cellStyle name="Comma 16 2 2 4 8" xfId="39148"/>
    <cellStyle name="Comma 16 2 2 4 9" xfId="39149"/>
    <cellStyle name="Comma 16 2 2 5" xfId="39150"/>
    <cellStyle name="Comma 16 2 2 5 2" xfId="39151"/>
    <cellStyle name="Comma 16 2 2 5 2 2" xfId="39152"/>
    <cellStyle name="Comma 16 2 2 5 2 2 2" xfId="39153"/>
    <cellStyle name="Comma 16 2 2 5 2 2 3" xfId="39154"/>
    <cellStyle name="Comma 16 2 2 5 2 3" xfId="39155"/>
    <cellStyle name="Comma 16 2 2 5 2 3 2" xfId="39156"/>
    <cellStyle name="Comma 16 2 2 5 2 3 3" xfId="39157"/>
    <cellStyle name="Comma 16 2 2 5 2 4" xfId="39158"/>
    <cellStyle name="Comma 16 2 2 5 2 4 2" xfId="39159"/>
    <cellStyle name="Comma 16 2 2 5 2 5" xfId="39160"/>
    <cellStyle name="Comma 16 2 2 5 2 6" xfId="39161"/>
    <cellStyle name="Comma 16 2 2 5 3" xfId="39162"/>
    <cellStyle name="Comma 16 2 2 5 3 2" xfId="39163"/>
    <cellStyle name="Comma 16 2 2 5 3 2 2" xfId="39164"/>
    <cellStyle name="Comma 16 2 2 5 3 2 3" xfId="39165"/>
    <cellStyle name="Comma 16 2 2 5 3 3" xfId="39166"/>
    <cellStyle name="Comma 16 2 2 5 3 3 2" xfId="39167"/>
    <cellStyle name="Comma 16 2 2 5 3 3 3" xfId="39168"/>
    <cellStyle name="Comma 16 2 2 5 3 4" xfId="39169"/>
    <cellStyle name="Comma 16 2 2 5 3 4 2" xfId="39170"/>
    <cellStyle name="Comma 16 2 2 5 3 5" xfId="39171"/>
    <cellStyle name="Comma 16 2 2 5 3 6" xfId="39172"/>
    <cellStyle name="Comma 16 2 2 5 4" xfId="39173"/>
    <cellStyle name="Comma 16 2 2 5 4 2" xfId="39174"/>
    <cellStyle name="Comma 16 2 2 5 4 2 2" xfId="39175"/>
    <cellStyle name="Comma 16 2 2 5 4 2 3" xfId="39176"/>
    <cellStyle name="Comma 16 2 2 5 4 3" xfId="39177"/>
    <cellStyle name="Comma 16 2 2 5 4 3 2" xfId="39178"/>
    <cellStyle name="Comma 16 2 2 5 4 4" xfId="39179"/>
    <cellStyle name="Comma 16 2 2 5 4 5" xfId="39180"/>
    <cellStyle name="Comma 16 2 2 5 5" xfId="39181"/>
    <cellStyle name="Comma 16 2 2 5 5 2" xfId="39182"/>
    <cellStyle name="Comma 16 2 2 5 5 3" xfId="39183"/>
    <cellStyle name="Comma 16 2 2 5 6" xfId="39184"/>
    <cellStyle name="Comma 16 2 2 5 6 2" xfId="39185"/>
    <cellStyle name="Comma 16 2 2 5 6 3" xfId="39186"/>
    <cellStyle name="Comma 16 2 2 5 7" xfId="39187"/>
    <cellStyle name="Comma 16 2 2 5 7 2" xfId="39188"/>
    <cellStyle name="Comma 16 2 2 5 8" xfId="39189"/>
    <cellStyle name="Comma 16 2 2 5 9" xfId="39190"/>
    <cellStyle name="Comma 16 2 2 6" xfId="39191"/>
    <cellStyle name="Comma 16 2 2 6 2" xfId="39192"/>
    <cellStyle name="Comma 16 2 2 6 2 2" xfId="39193"/>
    <cellStyle name="Comma 16 2 2 6 2 3" xfId="39194"/>
    <cellStyle name="Comma 16 2 2 6 3" xfId="39195"/>
    <cellStyle name="Comma 16 2 2 6 3 2" xfId="39196"/>
    <cellStyle name="Comma 16 2 2 6 3 3" xfId="39197"/>
    <cellStyle name="Comma 16 2 2 6 4" xfId="39198"/>
    <cellStyle name="Comma 16 2 2 6 4 2" xfId="39199"/>
    <cellStyle name="Comma 16 2 2 6 5" xfId="39200"/>
    <cellStyle name="Comma 16 2 2 6 6" xfId="39201"/>
    <cellStyle name="Comma 16 2 2 7" xfId="39202"/>
    <cellStyle name="Comma 16 2 2 7 2" xfId="39203"/>
    <cellStyle name="Comma 16 2 2 7 2 2" xfId="39204"/>
    <cellStyle name="Comma 16 2 2 7 2 3" xfId="39205"/>
    <cellStyle name="Comma 16 2 2 7 3" xfId="39206"/>
    <cellStyle name="Comma 16 2 2 7 3 2" xfId="39207"/>
    <cellStyle name="Comma 16 2 2 7 3 3" xfId="39208"/>
    <cellStyle name="Comma 16 2 2 7 4" xfId="39209"/>
    <cellStyle name="Comma 16 2 2 7 4 2" xfId="39210"/>
    <cellStyle name="Comma 16 2 2 7 5" xfId="39211"/>
    <cellStyle name="Comma 16 2 2 7 6" xfId="39212"/>
    <cellStyle name="Comma 16 2 2 8" xfId="39213"/>
    <cellStyle name="Comma 16 2 2 8 2" xfId="39214"/>
    <cellStyle name="Comma 16 2 2 8 2 2" xfId="39215"/>
    <cellStyle name="Comma 16 2 2 8 2 3" xfId="39216"/>
    <cellStyle name="Comma 16 2 2 8 3" xfId="39217"/>
    <cellStyle name="Comma 16 2 2 8 3 2" xfId="39218"/>
    <cellStyle name="Comma 16 2 2 8 4" xfId="39219"/>
    <cellStyle name="Comma 16 2 2 8 5" xfId="39220"/>
    <cellStyle name="Comma 16 2 2 9" xfId="39221"/>
    <cellStyle name="Comma 16 2 2 9 2" xfId="39222"/>
    <cellStyle name="Comma 16 2 2 9 3" xfId="39223"/>
    <cellStyle name="Comma 16 2 3" xfId="39224"/>
    <cellStyle name="Comma 16 2 3 10" xfId="39225"/>
    <cellStyle name="Comma 16 2 3 10 2" xfId="39226"/>
    <cellStyle name="Comma 16 2 3 11" xfId="39227"/>
    <cellStyle name="Comma 16 2 3 12" xfId="39228"/>
    <cellStyle name="Comma 16 2 3 2" xfId="39229"/>
    <cellStyle name="Comma 16 2 3 2 10" xfId="39230"/>
    <cellStyle name="Comma 16 2 3 2 2" xfId="39231"/>
    <cellStyle name="Comma 16 2 3 2 2 2" xfId="39232"/>
    <cellStyle name="Comma 16 2 3 2 2 2 2" xfId="39233"/>
    <cellStyle name="Comma 16 2 3 2 2 2 2 2" xfId="39234"/>
    <cellStyle name="Comma 16 2 3 2 2 2 2 3" xfId="39235"/>
    <cellStyle name="Comma 16 2 3 2 2 2 3" xfId="39236"/>
    <cellStyle name="Comma 16 2 3 2 2 2 3 2" xfId="39237"/>
    <cellStyle name="Comma 16 2 3 2 2 2 3 3" xfId="39238"/>
    <cellStyle name="Comma 16 2 3 2 2 2 4" xfId="39239"/>
    <cellStyle name="Comma 16 2 3 2 2 2 4 2" xfId="39240"/>
    <cellStyle name="Comma 16 2 3 2 2 2 5" xfId="39241"/>
    <cellStyle name="Comma 16 2 3 2 2 2 6" xfId="39242"/>
    <cellStyle name="Comma 16 2 3 2 2 3" xfId="39243"/>
    <cellStyle name="Comma 16 2 3 2 2 3 2" xfId="39244"/>
    <cellStyle name="Comma 16 2 3 2 2 3 2 2" xfId="39245"/>
    <cellStyle name="Comma 16 2 3 2 2 3 2 3" xfId="39246"/>
    <cellStyle name="Comma 16 2 3 2 2 3 3" xfId="39247"/>
    <cellStyle name="Comma 16 2 3 2 2 3 3 2" xfId="39248"/>
    <cellStyle name="Comma 16 2 3 2 2 3 3 3" xfId="39249"/>
    <cellStyle name="Comma 16 2 3 2 2 3 4" xfId="39250"/>
    <cellStyle name="Comma 16 2 3 2 2 3 4 2" xfId="39251"/>
    <cellStyle name="Comma 16 2 3 2 2 3 5" xfId="39252"/>
    <cellStyle name="Comma 16 2 3 2 2 3 6" xfId="39253"/>
    <cellStyle name="Comma 16 2 3 2 2 4" xfId="39254"/>
    <cellStyle name="Comma 16 2 3 2 2 4 2" xfId="39255"/>
    <cellStyle name="Comma 16 2 3 2 2 4 2 2" xfId="39256"/>
    <cellStyle name="Comma 16 2 3 2 2 4 2 3" xfId="39257"/>
    <cellStyle name="Comma 16 2 3 2 2 4 3" xfId="39258"/>
    <cellStyle name="Comma 16 2 3 2 2 4 3 2" xfId="39259"/>
    <cellStyle name="Comma 16 2 3 2 2 4 4" xfId="39260"/>
    <cellStyle name="Comma 16 2 3 2 2 4 5" xfId="39261"/>
    <cellStyle name="Comma 16 2 3 2 2 5" xfId="39262"/>
    <cellStyle name="Comma 16 2 3 2 2 5 2" xfId="39263"/>
    <cellStyle name="Comma 16 2 3 2 2 5 3" xfId="39264"/>
    <cellStyle name="Comma 16 2 3 2 2 6" xfId="39265"/>
    <cellStyle name="Comma 16 2 3 2 2 6 2" xfId="39266"/>
    <cellStyle name="Comma 16 2 3 2 2 6 3" xfId="39267"/>
    <cellStyle name="Comma 16 2 3 2 2 7" xfId="39268"/>
    <cellStyle name="Comma 16 2 3 2 2 7 2" xfId="39269"/>
    <cellStyle name="Comma 16 2 3 2 2 8" xfId="39270"/>
    <cellStyle name="Comma 16 2 3 2 2 9" xfId="39271"/>
    <cellStyle name="Comma 16 2 3 2 3" xfId="39272"/>
    <cellStyle name="Comma 16 2 3 2 3 2" xfId="39273"/>
    <cellStyle name="Comma 16 2 3 2 3 2 2" xfId="39274"/>
    <cellStyle name="Comma 16 2 3 2 3 2 3" xfId="39275"/>
    <cellStyle name="Comma 16 2 3 2 3 3" xfId="39276"/>
    <cellStyle name="Comma 16 2 3 2 3 3 2" xfId="39277"/>
    <cellStyle name="Comma 16 2 3 2 3 3 3" xfId="39278"/>
    <cellStyle name="Comma 16 2 3 2 3 4" xfId="39279"/>
    <cellStyle name="Comma 16 2 3 2 3 4 2" xfId="39280"/>
    <cellStyle name="Comma 16 2 3 2 3 5" xfId="39281"/>
    <cellStyle name="Comma 16 2 3 2 3 6" xfId="39282"/>
    <cellStyle name="Comma 16 2 3 2 4" xfId="39283"/>
    <cellStyle name="Comma 16 2 3 2 4 2" xfId="39284"/>
    <cellStyle name="Comma 16 2 3 2 4 2 2" xfId="39285"/>
    <cellStyle name="Comma 16 2 3 2 4 2 3" xfId="39286"/>
    <cellStyle name="Comma 16 2 3 2 4 3" xfId="39287"/>
    <cellStyle name="Comma 16 2 3 2 4 3 2" xfId="39288"/>
    <cellStyle name="Comma 16 2 3 2 4 3 3" xfId="39289"/>
    <cellStyle name="Comma 16 2 3 2 4 4" xfId="39290"/>
    <cellStyle name="Comma 16 2 3 2 4 4 2" xfId="39291"/>
    <cellStyle name="Comma 16 2 3 2 4 5" xfId="39292"/>
    <cellStyle name="Comma 16 2 3 2 4 6" xfId="39293"/>
    <cellStyle name="Comma 16 2 3 2 5" xfId="39294"/>
    <cellStyle name="Comma 16 2 3 2 5 2" xfId="39295"/>
    <cellStyle name="Comma 16 2 3 2 5 2 2" xfId="39296"/>
    <cellStyle name="Comma 16 2 3 2 5 2 3" xfId="39297"/>
    <cellStyle name="Comma 16 2 3 2 5 3" xfId="39298"/>
    <cellStyle name="Comma 16 2 3 2 5 3 2" xfId="39299"/>
    <cellStyle name="Comma 16 2 3 2 5 4" xfId="39300"/>
    <cellStyle name="Comma 16 2 3 2 5 5" xfId="39301"/>
    <cellStyle name="Comma 16 2 3 2 6" xfId="39302"/>
    <cellStyle name="Comma 16 2 3 2 6 2" xfId="39303"/>
    <cellStyle name="Comma 16 2 3 2 6 3" xfId="39304"/>
    <cellStyle name="Comma 16 2 3 2 7" xfId="39305"/>
    <cellStyle name="Comma 16 2 3 2 7 2" xfId="39306"/>
    <cellStyle name="Comma 16 2 3 2 7 3" xfId="39307"/>
    <cellStyle name="Comma 16 2 3 2 8" xfId="39308"/>
    <cellStyle name="Comma 16 2 3 2 8 2" xfId="39309"/>
    <cellStyle name="Comma 16 2 3 2 9" xfId="39310"/>
    <cellStyle name="Comma 16 2 3 3" xfId="39311"/>
    <cellStyle name="Comma 16 2 3 3 2" xfId="39312"/>
    <cellStyle name="Comma 16 2 3 3 2 2" xfId="39313"/>
    <cellStyle name="Comma 16 2 3 3 2 2 2" xfId="39314"/>
    <cellStyle name="Comma 16 2 3 3 2 2 3" xfId="39315"/>
    <cellStyle name="Comma 16 2 3 3 2 3" xfId="39316"/>
    <cellStyle name="Comma 16 2 3 3 2 3 2" xfId="39317"/>
    <cellStyle name="Comma 16 2 3 3 2 3 3" xfId="39318"/>
    <cellStyle name="Comma 16 2 3 3 2 4" xfId="39319"/>
    <cellStyle name="Comma 16 2 3 3 2 4 2" xfId="39320"/>
    <cellStyle name="Comma 16 2 3 3 2 5" xfId="39321"/>
    <cellStyle name="Comma 16 2 3 3 2 6" xfId="39322"/>
    <cellStyle name="Comma 16 2 3 3 3" xfId="39323"/>
    <cellStyle name="Comma 16 2 3 3 3 2" xfId="39324"/>
    <cellStyle name="Comma 16 2 3 3 3 2 2" xfId="39325"/>
    <cellStyle name="Comma 16 2 3 3 3 2 3" xfId="39326"/>
    <cellStyle name="Comma 16 2 3 3 3 3" xfId="39327"/>
    <cellStyle name="Comma 16 2 3 3 3 3 2" xfId="39328"/>
    <cellStyle name="Comma 16 2 3 3 3 3 3" xfId="39329"/>
    <cellStyle name="Comma 16 2 3 3 3 4" xfId="39330"/>
    <cellStyle name="Comma 16 2 3 3 3 4 2" xfId="39331"/>
    <cellStyle name="Comma 16 2 3 3 3 5" xfId="39332"/>
    <cellStyle name="Comma 16 2 3 3 3 6" xfId="39333"/>
    <cellStyle name="Comma 16 2 3 3 4" xfId="39334"/>
    <cellStyle name="Comma 16 2 3 3 4 2" xfId="39335"/>
    <cellStyle name="Comma 16 2 3 3 4 2 2" xfId="39336"/>
    <cellStyle name="Comma 16 2 3 3 4 2 3" xfId="39337"/>
    <cellStyle name="Comma 16 2 3 3 4 3" xfId="39338"/>
    <cellStyle name="Comma 16 2 3 3 4 3 2" xfId="39339"/>
    <cellStyle name="Comma 16 2 3 3 4 4" xfId="39340"/>
    <cellStyle name="Comma 16 2 3 3 4 5" xfId="39341"/>
    <cellStyle name="Comma 16 2 3 3 5" xfId="39342"/>
    <cellStyle name="Comma 16 2 3 3 5 2" xfId="39343"/>
    <cellStyle name="Comma 16 2 3 3 5 3" xfId="39344"/>
    <cellStyle name="Comma 16 2 3 3 6" xfId="39345"/>
    <cellStyle name="Comma 16 2 3 3 6 2" xfId="39346"/>
    <cellStyle name="Comma 16 2 3 3 6 3" xfId="39347"/>
    <cellStyle name="Comma 16 2 3 3 7" xfId="39348"/>
    <cellStyle name="Comma 16 2 3 3 7 2" xfId="39349"/>
    <cellStyle name="Comma 16 2 3 3 8" xfId="39350"/>
    <cellStyle name="Comma 16 2 3 3 9" xfId="39351"/>
    <cellStyle name="Comma 16 2 3 4" xfId="39352"/>
    <cellStyle name="Comma 16 2 3 4 2" xfId="39353"/>
    <cellStyle name="Comma 16 2 3 4 2 2" xfId="39354"/>
    <cellStyle name="Comma 16 2 3 4 2 2 2" xfId="39355"/>
    <cellStyle name="Comma 16 2 3 4 2 2 3" xfId="39356"/>
    <cellStyle name="Comma 16 2 3 4 2 3" xfId="39357"/>
    <cellStyle name="Comma 16 2 3 4 2 3 2" xfId="39358"/>
    <cellStyle name="Comma 16 2 3 4 2 3 3" xfId="39359"/>
    <cellStyle name="Comma 16 2 3 4 2 4" xfId="39360"/>
    <cellStyle name="Comma 16 2 3 4 2 4 2" xfId="39361"/>
    <cellStyle name="Comma 16 2 3 4 2 5" xfId="39362"/>
    <cellStyle name="Comma 16 2 3 4 2 6" xfId="39363"/>
    <cellStyle name="Comma 16 2 3 4 3" xfId="39364"/>
    <cellStyle name="Comma 16 2 3 4 3 2" xfId="39365"/>
    <cellStyle name="Comma 16 2 3 4 3 2 2" xfId="39366"/>
    <cellStyle name="Comma 16 2 3 4 3 2 3" xfId="39367"/>
    <cellStyle name="Comma 16 2 3 4 3 3" xfId="39368"/>
    <cellStyle name="Comma 16 2 3 4 3 3 2" xfId="39369"/>
    <cellStyle name="Comma 16 2 3 4 3 3 3" xfId="39370"/>
    <cellStyle name="Comma 16 2 3 4 3 4" xfId="39371"/>
    <cellStyle name="Comma 16 2 3 4 3 4 2" xfId="39372"/>
    <cellStyle name="Comma 16 2 3 4 3 5" xfId="39373"/>
    <cellStyle name="Comma 16 2 3 4 3 6" xfId="39374"/>
    <cellStyle name="Comma 16 2 3 4 4" xfId="39375"/>
    <cellStyle name="Comma 16 2 3 4 4 2" xfId="39376"/>
    <cellStyle name="Comma 16 2 3 4 4 2 2" xfId="39377"/>
    <cellStyle name="Comma 16 2 3 4 4 2 3" xfId="39378"/>
    <cellStyle name="Comma 16 2 3 4 4 3" xfId="39379"/>
    <cellStyle name="Comma 16 2 3 4 4 3 2" xfId="39380"/>
    <cellStyle name="Comma 16 2 3 4 4 4" xfId="39381"/>
    <cellStyle name="Comma 16 2 3 4 4 5" xfId="39382"/>
    <cellStyle name="Comma 16 2 3 4 5" xfId="39383"/>
    <cellStyle name="Comma 16 2 3 4 5 2" xfId="39384"/>
    <cellStyle name="Comma 16 2 3 4 5 3" xfId="39385"/>
    <cellStyle name="Comma 16 2 3 4 6" xfId="39386"/>
    <cellStyle name="Comma 16 2 3 4 6 2" xfId="39387"/>
    <cellStyle name="Comma 16 2 3 4 6 3" xfId="39388"/>
    <cellStyle name="Comma 16 2 3 4 7" xfId="39389"/>
    <cellStyle name="Comma 16 2 3 4 7 2" xfId="39390"/>
    <cellStyle name="Comma 16 2 3 4 8" xfId="39391"/>
    <cellStyle name="Comma 16 2 3 4 9" xfId="39392"/>
    <cellStyle name="Comma 16 2 3 5" xfId="39393"/>
    <cellStyle name="Comma 16 2 3 5 2" xfId="39394"/>
    <cellStyle name="Comma 16 2 3 5 2 2" xfId="39395"/>
    <cellStyle name="Comma 16 2 3 5 2 3" xfId="39396"/>
    <cellStyle name="Comma 16 2 3 5 3" xfId="39397"/>
    <cellStyle name="Comma 16 2 3 5 3 2" xfId="39398"/>
    <cellStyle name="Comma 16 2 3 5 3 3" xfId="39399"/>
    <cellStyle name="Comma 16 2 3 5 4" xfId="39400"/>
    <cellStyle name="Comma 16 2 3 5 4 2" xfId="39401"/>
    <cellStyle name="Comma 16 2 3 5 5" xfId="39402"/>
    <cellStyle name="Comma 16 2 3 5 6" xfId="39403"/>
    <cellStyle name="Comma 16 2 3 6" xfId="39404"/>
    <cellStyle name="Comma 16 2 3 6 2" xfId="39405"/>
    <cellStyle name="Comma 16 2 3 6 2 2" xfId="39406"/>
    <cellStyle name="Comma 16 2 3 6 2 3" xfId="39407"/>
    <cellStyle name="Comma 16 2 3 6 3" xfId="39408"/>
    <cellStyle name="Comma 16 2 3 6 3 2" xfId="39409"/>
    <cellStyle name="Comma 16 2 3 6 3 3" xfId="39410"/>
    <cellStyle name="Comma 16 2 3 6 4" xfId="39411"/>
    <cellStyle name="Comma 16 2 3 6 4 2" xfId="39412"/>
    <cellStyle name="Comma 16 2 3 6 5" xfId="39413"/>
    <cellStyle name="Comma 16 2 3 6 6" xfId="39414"/>
    <cellStyle name="Comma 16 2 3 7" xfId="39415"/>
    <cellStyle name="Comma 16 2 3 7 2" xfId="39416"/>
    <cellStyle name="Comma 16 2 3 7 2 2" xfId="39417"/>
    <cellStyle name="Comma 16 2 3 7 2 3" xfId="39418"/>
    <cellStyle name="Comma 16 2 3 7 3" xfId="39419"/>
    <cellStyle name="Comma 16 2 3 7 3 2" xfId="39420"/>
    <cellStyle name="Comma 16 2 3 7 4" xfId="39421"/>
    <cellStyle name="Comma 16 2 3 7 5" xfId="39422"/>
    <cellStyle name="Comma 16 2 3 8" xfId="39423"/>
    <cellStyle name="Comma 16 2 3 8 2" xfId="39424"/>
    <cellStyle name="Comma 16 2 3 8 3" xfId="39425"/>
    <cellStyle name="Comma 16 2 3 9" xfId="39426"/>
    <cellStyle name="Comma 16 2 3 9 2" xfId="39427"/>
    <cellStyle name="Comma 16 2 3 9 3" xfId="39428"/>
    <cellStyle name="Comma 16 2 4" xfId="39429"/>
    <cellStyle name="Comma 16 2 4 10" xfId="39430"/>
    <cellStyle name="Comma 16 2 4 2" xfId="39431"/>
    <cellStyle name="Comma 16 2 4 2 2" xfId="39432"/>
    <cellStyle name="Comma 16 2 4 2 2 2" xfId="39433"/>
    <cellStyle name="Comma 16 2 4 2 2 2 2" xfId="39434"/>
    <cellStyle name="Comma 16 2 4 2 2 2 3" xfId="39435"/>
    <cellStyle name="Comma 16 2 4 2 2 3" xfId="39436"/>
    <cellStyle name="Comma 16 2 4 2 2 3 2" xfId="39437"/>
    <cellStyle name="Comma 16 2 4 2 2 3 3" xfId="39438"/>
    <cellStyle name="Comma 16 2 4 2 2 4" xfId="39439"/>
    <cellStyle name="Comma 16 2 4 2 2 4 2" xfId="39440"/>
    <cellStyle name="Comma 16 2 4 2 2 5" xfId="39441"/>
    <cellStyle name="Comma 16 2 4 2 2 6" xfId="39442"/>
    <cellStyle name="Comma 16 2 4 2 3" xfId="39443"/>
    <cellStyle name="Comma 16 2 4 2 3 2" xfId="39444"/>
    <cellStyle name="Comma 16 2 4 2 3 2 2" xfId="39445"/>
    <cellStyle name="Comma 16 2 4 2 3 2 3" xfId="39446"/>
    <cellStyle name="Comma 16 2 4 2 3 3" xfId="39447"/>
    <cellStyle name="Comma 16 2 4 2 3 3 2" xfId="39448"/>
    <cellStyle name="Comma 16 2 4 2 3 3 3" xfId="39449"/>
    <cellStyle name="Comma 16 2 4 2 3 4" xfId="39450"/>
    <cellStyle name="Comma 16 2 4 2 3 4 2" xfId="39451"/>
    <cellStyle name="Comma 16 2 4 2 3 5" xfId="39452"/>
    <cellStyle name="Comma 16 2 4 2 3 6" xfId="39453"/>
    <cellStyle name="Comma 16 2 4 2 4" xfId="39454"/>
    <cellStyle name="Comma 16 2 4 2 4 2" xfId="39455"/>
    <cellStyle name="Comma 16 2 4 2 4 2 2" xfId="39456"/>
    <cellStyle name="Comma 16 2 4 2 4 2 3" xfId="39457"/>
    <cellStyle name="Comma 16 2 4 2 4 3" xfId="39458"/>
    <cellStyle name="Comma 16 2 4 2 4 3 2" xfId="39459"/>
    <cellStyle name="Comma 16 2 4 2 4 4" xfId="39460"/>
    <cellStyle name="Comma 16 2 4 2 4 5" xfId="39461"/>
    <cellStyle name="Comma 16 2 4 2 5" xfId="39462"/>
    <cellStyle name="Comma 16 2 4 2 5 2" xfId="39463"/>
    <cellStyle name="Comma 16 2 4 2 5 3" xfId="39464"/>
    <cellStyle name="Comma 16 2 4 2 6" xfId="39465"/>
    <cellStyle name="Comma 16 2 4 2 6 2" xfId="39466"/>
    <cellStyle name="Comma 16 2 4 2 6 3" xfId="39467"/>
    <cellStyle name="Comma 16 2 4 2 7" xfId="39468"/>
    <cellStyle name="Comma 16 2 4 2 7 2" xfId="39469"/>
    <cellStyle name="Comma 16 2 4 2 8" xfId="39470"/>
    <cellStyle name="Comma 16 2 4 2 9" xfId="39471"/>
    <cellStyle name="Comma 16 2 4 3" xfId="39472"/>
    <cellStyle name="Comma 16 2 4 3 2" xfId="39473"/>
    <cellStyle name="Comma 16 2 4 3 2 2" xfId="39474"/>
    <cellStyle name="Comma 16 2 4 3 2 3" xfId="39475"/>
    <cellStyle name="Comma 16 2 4 3 3" xfId="39476"/>
    <cellStyle name="Comma 16 2 4 3 3 2" xfId="39477"/>
    <cellStyle name="Comma 16 2 4 3 3 3" xfId="39478"/>
    <cellStyle name="Comma 16 2 4 3 4" xfId="39479"/>
    <cellStyle name="Comma 16 2 4 3 4 2" xfId="39480"/>
    <cellStyle name="Comma 16 2 4 3 5" xfId="39481"/>
    <cellStyle name="Comma 16 2 4 3 6" xfId="39482"/>
    <cellStyle name="Comma 16 2 4 4" xfId="39483"/>
    <cellStyle name="Comma 16 2 4 4 2" xfId="39484"/>
    <cellStyle name="Comma 16 2 4 4 2 2" xfId="39485"/>
    <cellStyle name="Comma 16 2 4 4 2 3" xfId="39486"/>
    <cellStyle name="Comma 16 2 4 4 3" xfId="39487"/>
    <cellStyle name="Comma 16 2 4 4 3 2" xfId="39488"/>
    <cellStyle name="Comma 16 2 4 4 3 3" xfId="39489"/>
    <cellStyle name="Comma 16 2 4 4 4" xfId="39490"/>
    <cellStyle name="Comma 16 2 4 4 4 2" xfId="39491"/>
    <cellStyle name="Comma 16 2 4 4 5" xfId="39492"/>
    <cellStyle name="Comma 16 2 4 4 6" xfId="39493"/>
    <cellStyle name="Comma 16 2 4 5" xfId="39494"/>
    <cellStyle name="Comma 16 2 4 5 2" xfId="39495"/>
    <cellStyle name="Comma 16 2 4 5 2 2" xfId="39496"/>
    <cellStyle name="Comma 16 2 4 5 2 3" xfId="39497"/>
    <cellStyle name="Comma 16 2 4 5 3" xfId="39498"/>
    <cellStyle name="Comma 16 2 4 5 3 2" xfId="39499"/>
    <cellStyle name="Comma 16 2 4 5 4" xfId="39500"/>
    <cellStyle name="Comma 16 2 4 5 5" xfId="39501"/>
    <cellStyle name="Comma 16 2 4 6" xfId="39502"/>
    <cellStyle name="Comma 16 2 4 6 2" xfId="39503"/>
    <cellStyle name="Comma 16 2 4 6 3" xfId="39504"/>
    <cellStyle name="Comma 16 2 4 7" xfId="39505"/>
    <cellStyle name="Comma 16 2 4 7 2" xfId="39506"/>
    <cellStyle name="Comma 16 2 4 7 3" xfId="39507"/>
    <cellStyle name="Comma 16 2 4 8" xfId="39508"/>
    <cellStyle name="Comma 16 2 4 8 2" xfId="39509"/>
    <cellStyle name="Comma 16 2 4 9" xfId="39510"/>
    <cellStyle name="Comma 16 2 5" xfId="39511"/>
    <cellStyle name="Comma 16 2 5 2" xfId="39512"/>
    <cellStyle name="Comma 16 2 5 2 2" xfId="39513"/>
    <cellStyle name="Comma 16 2 5 2 2 2" xfId="39514"/>
    <cellStyle name="Comma 16 2 5 2 2 3" xfId="39515"/>
    <cellStyle name="Comma 16 2 5 2 3" xfId="39516"/>
    <cellStyle name="Comma 16 2 5 2 3 2" xfId="39517"/>
    <cellStyle name="Comma 16 2 5 2 3 3" xfId="39518"/>
    <cellStyle name="Comma 16 2 5 2 4" xfId="39519"/>
    <cellStyle name="Comma 16 2 5 2 4 2" xfId="39520"/>
    <cellStyle name="Comma 16 2 5 2 5" xfId="39521"/>
    <cellStyle name="Comma 16 2 5 2 6" xfId="39522"/>
    <cellStyle name="Comma 16 2 5 3" xfId="39523"/>
    <cellStyle name="Comma 16 2 5 3 2" xfId="39524"/>
    <cellStyle name="Comma 16 2 5 3 2 2" xfId="39525"/>
    <cellStyle name="Comma 16 2 5 3 2 3" xfId="39526"/>
    <cellStyle name="Comma 16 2 5 3 3" xfId="39527"/>
    <cellStyle name="Comma 16 2 5 3 3 2" xfId="39528"/>
    <cellStyle name="Comma 16 2 5 3 3 3" xfId="39529"/>
    <cellStyle name="Comma 16 2 5 3 4" xfId="39530"/>
    <cellStyle name="Comma 16 2 5 3 4 2" xfId="39531"/>
    <cellStyle name="Comma 16 2 5 3 5" xfId="39532"/>
    <cellStyle name="Comma 16 2 5 3 6" xfId="39533"/>
    <cellStyle name="Comma 16 2 5 4" xfId="39534"/>
    <cellStyle name="Comma 16 2 5 4 2" xfId="39535"/>
    <cellStyle name="Comma 16 2 5 4 2 2" xfId="39536"/>
    <cellStyle name="Comma 16 2 5 4 2 3" xfId="39537"/>
    <cellStyle name="Comma 16 2 5 4 3" xfId="39538"/>
    <cellStyle name="Comma 16 2 5 4 3 2" xfId="39539"/>
    <cellStyle name="Comma 16 2 5 4 4" xfId="39540"/>
    <cellStyle name="Comma 16 2 5 4 5" xfId="39541"/>
    <cellStyle name="Comma 16 2 5 5" xfId="39542"/>
    <cellStyle name="Comma 16 2 5 5 2" xfId="39543"/>
    <cellStyle name="Comma 16 2 5 5 3" xfId="39544"/>
    <cellStyle name="Comma 16 2 5 6" xfId="39545"/>
    <cellStyle name="Comma 16 2 5 6 2" xfId="39546"/>
    <cellStyle name="Comma 16 2 5 6 3" xfId="39547"/>
    <cellStyle name="Comma 16 2 5 7" xfId="39548"/>
    <cellStyle name="Comma 16 2 5 7 2" xfId="39549"/>
    <cellStyle name="Comma 16 2 5 8" xfId="39550"/>
    <cellStyle name="Comma 16 2 5 9" xfId="39551"/>
    <cellStyle name="Comma 16 2 6" xfId="39552"/>
    <cellStyle name="Comma 16 2 6 2" xfId="39553"/>
    <cellStyle name="Comma 16 2 6 2 2" xfId="39554"/>
    <cellStyle name="Comma 16 2 6 2 2 2" xfId="39555"/>
    <cellStyle name="Comma 16 2 6 2 2 3" xfId="39556"/>
    <cellStyle name="Comma 16 2 6 2 3" xfId="39557"/>
    <cellStyle name="Comma 16 2 6 2 3 2" xfId="39558"/>
    <cellStyle name="Comma 16 2 6 2 3 3" xfId="39559"/>
    <cellStyle name="Comma 16 2 6 2 4" xfId="39560"/>
    <cellStyle name="Comma 16 2 6 2 4 2" xfId="39561"/>
    <cellStyle name="Comma 16 2 6 2 5" xfId="39562"/>
    <cellStyle name="Comma 16 2 6 2 6" xfId="39563"/>
    <cellStyle name="Comma 16 2 6 3" xfId="39564"/>
    <cellStyle name="Comma 16 2 6 3 2" xfId="39565"/>
    <cellStyle name="Comma 16 2 6 3 2 2" xfId="39566"/>
    <cellStyle name="Comma 16 2 6 3 2 3" xfId="39567"/>
    <cellStyle name="Comma 16 2 6 3 3" xfId="39568"/>
    <cellStyle name="Comma 16 2 6 3 3 2" xfId="39569"/>
    <cellStyle name="Comma 16 2 6 3 3 3" xfId="39570"/>
    <cellStyle name="Comma 16 2 6 3 4" xfId="39571"/>
    <cellStyle name="Comma 16 2 6 3 4 2" xfId="39572"/>
    <cellStyle name="Comma 16 2 6 3 5" xfId="39573"/>
    <cellStyle name="Comma 16 2 6 3 6" xfId="39574"/>
    <cellStyle name="Comma 16 2 6 4" xfId="39575"/>
    <cellStyle name="Comma 16 2 6 4 2" xfId="39576"/>
    <cellStyle name="Comma 16 2 6 4 2 2" xfId="39577"/>
    <cellStyle name="Comma 16 2 6 4 2 3" xfId="39578"/>
    <cellStyle name="Comma 16 2 6 4 3" xfId="39579"/>
    <cellStyle name="Comma 16 2 6 4 3 2" xfId="39580"/>
    <cellStyle name="Comma 16 2 6 4 4" xfId="39581"/>
    <cellStyle name="Comma 16 2 6 4 5" xfId="39582"/>
    <cellStyle name="Comma 16 2 6 5" xfId="39583"/>
    <cellStyle name="Comma 16 2 6 5 2" xfId="39584"/>
    <cellStyle name="Comma 16 2 6 5 3" xfId="39585"/>
    <cellStyle name="Comma 16 2 6 6" xfId="39586"/>
    <cellStyle name="Comma 16 2 6 6 2" xfId="39587"/>
    <cellStyle name="Comma 16 2 6 6 3" xfId="39588"/>
    <cellStyle name="Comma 16 2 6 7" xfId="39589"/>
    <cellStyle name="Comma 16 2 6 7 2" xfId="39590"/>
    <cellStyle name="Comma 16 2 6 8" xfId="39591"/>
    <cellStyle name="Comma 16 2 6 9" xfId="39592"/>
    <cellStyle name="Comma 16 2 7" xfId="39593"/>
    <cellStyle name="Comma 16 2 7 2" xfId="39594"/>
    <cellStyle name="Comma 16 2 7 2 2" xfId="39595"/>
    <cellStyle name="Comma 16 2 7 2 3" xfId="39596"/>
    <cellStyle name="Comma 16 2 7 3" xfId="39597"/>
    <cellStyle name="Comma 16 2 7 3 2" xfId="39598"/>
    <cellStyle name="Comma 16 2 7 3 3" xfId="39599"/>
    <cellStyle name="Comma 16 2 7 4" xfId="39600"/>
    <cellStyle name="Comma 16 2 7 4 2" xfId="39601"/>
    <cellStyle name="Comma 16 2 7 5" xfId="39602"/>
    <cellStyle name="Comma 16 2 7 6" xfId="39603"/>
    <cellStyle name="Comma 16 2 8" xfId="39604"/>
    <cellStyle name="Comma 16 2 8 2" xfId="39605"/>
    <cellStyle name="Comma 16 2 8 2 2" xfId="39606"/>
    <cellStyle name="Comma 16 2 8 2 3" xfId="39607"/>
    <cellStyle name="Comma 16 2 8 3" xfId="39608"/>
    <cellStyle name="Comma 16 2 8 3 2" xfId="39609"/>
    <cellStyle name="Comma 16 2 8 3 3" xfId="39610"/>
    <cellStyle name="Comma 16 2 8 4" xfId="39611"/>
    <cellStyle name="Comma 16 2 8 4 2" xfId="39612"/>
    <cellStyle name="Comma 16 2 8 5" xfId="39613"/>
    <cellStyle name="Comma 16 2 8 6" xfId="39614"/>
    <cellStyle name="Comma 16 2 9" xfId="39615"/>
    <cellStyle name="Comma 16 2 9 2" xfId="39616"/>
    <cellStyle name="Comma 16 2 9 2 2" xfId="39617"/>
    <cellStyle name="Comma 16 2 9 2 3" xfId="39618"/>
    <cellStyle name="Comma 16 2 9 3" xfId="39619"/>
    <cellStyle name="Comma 16 2 9 3 2" xfId="39620"/>
    <cellStyle name="Comma 16 2 9 4" xfId="39621"/>
    <cellStyle name="Comma 16 2 9 5" xfId="39622"/>
    <cellStyle name="Comma 16 3" xfId="39623"/>
    <cellStyle name="Comma 16 3 10" xfId="39624"/>
    <cellStyle name="Comma 16 3 10 2" xfId="39625"/>
    <cellStyle name="Comma 16 3 10 3" xfId="39626"/>
    <cellStyle name="Comma 16 3 11" xfId="39627"/>
    <cellStyle name="Comma 16 3 11 2" xfId="39628"/>
    <cellStyle name="Comma 16 3 12" xfId="39629"/>
    <cellStyle name="Comma 16 3 13" xfId="39630"/>
    <cellStyle name="Comma 16 3 2" xfId="39631"/>
    <cellStyle name="Comma 16 3 2 10" xfId="39632"/>
    <cellStyle name="Comma 16 3 2 10 2" xfId="39633"/>
    <cellStyle name="Comma 16 3 2 11" xfId="39634"/>
    <cellStyle name="Comma 16 3 2 12" xfId="39635"/>
    <cellStyle name="Comma 16 3 2 2" xfId="39636"/>
    <cellStyle name="Comma 16 3 2 2 10" xfId="39637"/>
    <cellStyle name="Comma 16 3 2 2 2" xfId="39638"/>
    <cellStyle name="Comma 16 3 2 2 2 2" xfId="39639"/>
    <cellStyle name="Comma 16 3 2 2 2 2 2" xfId="39640"/>
    <cellStyle name="Comma 16 3 2 2 2 2 2 2" xfId="39641"/>
    <cellStyle name="Comma 16 3 2 2 2 2 2 3" xfId="39642"/>
    <cellStyle name="Comma 16 3 2 2 2 2 3" xfId="39643"/>
    <cellStyle name="Comma 16 3 2 2 2 2 3 2" xfId="39644"/>
    <cellStyle name="Comma 16 3 2 2 2 2 3 3" xfId="39645"/>
    <cellStyle name="Comma 16 3 2 2 2 2 4" xfId="39646"/>
    <cellStyle name="Comma 16 3 2 2 2 2 4 2" xfId="39647"/>
    <cellStyle name="Comma 16 3 2 2 2 2 5" xfId="39648"/>
    <cellStyle name="Comma 16 3 2 2 2 2 6" xfId="39649"/>
    <cellStyle name="Comma 16 3 2 2 2 3" xfId="39650"/>
    <cellStyle name="Comma 16 3 2 2 2 3 2" xfId="39651"/>
    <cellStyle name="Comma 16 3 2 2 2 3 2 2" xfId="39652"/>
    <cellStyle name="Comma 16 3 2 2 2 3 2 3" xfId="39653"/>
    <cellStyle name="Comma 16 3 2 2 2 3 3" xfId="39654"/>
    <cellStyle name="Comma 16 3 2 2 2 3 3 2" xfId="39655"/>
    <cellStyle name="Comma 16 3 2 2 2 3 3 3" xfId="39656"/>
    <cellStyle name="Comma 16 3 2 2 2 3 4" xfId="39657"/>
    <cellStyle name="Comma 16 3 2 2 2 3 4 2" xfId="39658"/>
    <cellStyle name="Comma 16 3 2 2 2 3 5" xfId="39659"/>
    <cellStyle name="Comma 16 3 2 2 2 3 6" xfId="39660"/>
    <cellStyle name="Comma 16 3 2 2 2 4" xfId="39661"/>
    <cellStyle name="Comma 16 3 2 2 2 4 2" xfId="39662"/>
    <cellStyle name="Comma 16 3 2 2 2 4 2 2" xfId="39663"/>
    <cellStyle name="Comma 16 3 2 2 2 4 2 3" xfId="39664"/>
    <cellStyle name="Comma 16 3 2 2 2 4 3" xfId="39665"/>
    <cellStyle name="Comma 16 3 2 2 2 4 3 2" xfId="39666"/>
    <cellStyle name="Comma 16 3 2 2 2 4 4" xfId="39667"/>
    <cellStyle name="Comma 16 3 2 2 2 4 5" xfId="39668"/>
    <cellStyle name="Comma 16 3 2 2 2 5" xfId="39669"/>
    <cellStyle name="Comma 16 3 2 2 2 5 2" xfId="39670"/>
    <cellStyle name="Comma 16 3 2 2 2 5 3" xfId="39671"/>
    <cellStyle name="Comma 16 3 2 2 2 6" xfId="39672"/>
    <cellStyle name="Comma 16 3 2 2 2 6 2" xfId="39673"/>
    <cellStyle name="Comma 16 3 2 2 2 6 3" xfId="39674"/>
    <cellStyle name="Comma 16 3 2 2 2 7" xfId="39675"/>
    <cellStyle name="Comma 16 3 2 2 2 7 2" xfId="39676"/>
    <cellStyle name="Comma 16 3 2 2 2 8" xfId="39677"/>
    <cellStyle name="Comma 16 3 2 2 2 9" xfId="39678"/>
    <cellStyle name="Comma 16 3 2 2 3" xfId="39679"/>
    <cellStyle name="Comma 16 3 2 2 3 2" xfId="39680"/>
    <cellStyle name="Comma 16 3 2 2 3 2 2" xfId="39681"/>
    <cellStyle name="Comma 16 3 2 2 3 2 3" xfId="39682"/>
    <cellStyle name="Comma 16 3 2 2 3 3" xfId="39683"/>
    <cellStyle name="Comma 16 3 2 2 3 3 2" xfId="39684"/>
    <cellStyle name="Comma 16 3 2 2 3 3 3" xfId="39685"/>
    <cellStyle name="Comma 16 3 2 2 3 4" xfId="39686"/>
    <cellStyle name="Comma 16 3 2 2 3 4 2" xfId="39687"/>
    <cellStyle name="Comma 16 3 2 2 3 5" xfId="39688"/>
    <cellStyle name="Comma 16 3 2 2 3 6" xfId="39689"/>
    <cellStyle name="Comma 16 3 2 2 4" xfId="39690"/>
    <cellStyle name="Comma 16 3 2 2 4 2" xfId="39691"/>
    <cellStyle name="Comma 16 3 2 2 4 2 2" xfId="39692"/>
    <cellStyle name="Comma 16 3 2 2 4 2 3" xfId="39693"/>
    <cellStyle name="Comma 16 3 2 2 4 3" xfId="39694"/>
    <cellStyle name="Comma 16 3 2 2 4 3 2" xfId="39695"/>
    <cellStyle name="Comma 16 3 2 2 4 3 3" xfId="39696"/>
    <cellStyle name="Comma 16 3 2 2 4 4" xfId="39697"/>
    <cellStyle name="Comma 16 3 2 2 4 4 2" xfId="39698"/>
    <cellStyle name="Comma 16 3 2 2 4 5" xfId="39699"/>
    <cellStyle name="Comma 16 3 2 2 4 6" xfId="39700"/>
    <cellStyle name="Comma 16 3 2 2 5" xfId="39701"/>
    <cellStyle name="Comma 16 3 2 2 5 2" xfId="39702"/>
    <cellStyle name="Comma 16 3 2 2 5 2 2" xfId="39703"/>
    <cellStyle name="Comma 16 3 2 2 5 2 3" xfId="39704"/>
    <cellStyle name="Comma 16 3 2 2 5 3" xfId="39705"/>
    <cellStyle name="Comma 16 3 2 2 5 3 2" xfId="39706"/>
    <cellStyle name="Comma 16 3 2 2 5 4" xfId="39707"/>
    <cellStyle name="Comma 16 3 2 2 5 5" xfId="39708"/>
    <cellStyle name="Comma 16 3 2 2 6" xfId="39709"/>
    <cellStyle name="Comma 16 3 2 2 6 2" xfId="39710"/>
    <cellStyle name="Comma 16 3 2 2 6 3" xfId="39711"/>
    <cellStyle name="Comma 16 3 2 2 7" xfId="39712"/>
    <cellStyle name="Comma 16 3 2 2 7 2" xfId="39713"/>
    <cellStyle name="Comma 16 3 2 2 7 3" xfId="39714"/>
    <cellStyle name="Comma 16 3 2 2 8" xfId="39715"/>
    <cellStyle name="Comma 16 3 2 2 8 2" xfId="39716"/>
    <cellStyle name="Comma 16 3 2 2 9" xfId="39717"/>
    <cellStyle name="Comma 16 3 2 3" xfId="39718"/>
    <cellStyle name="Comma 16 3 2 3 2" xfId="39719"/>
    <cellStyle name="Comma 16 3 2 3 2 2" xfId="39720"/>
    <cellStyle name="Comma 16 3 2 3 2 2 2" xfId="39721"/>
    <cellStyle name="Comma 16 3 2 3 2 2 3" xfId="39722"/>
    <cellStyle name="Comma 16 3 2 3 2 3" xfId="39723"/>
    <cellStyle name="Comma 16 3 2 3 2 3 2" xfId="39724"/>
    <cellStyle name="Comma 16 3 2 3 2 3 3" xfId="39725"/>
    <cellStyle name="Comma 16 3 2 3 2 4" xfId="39726"/>
    <cellStyle name="Comma 16 3 2 3 2 4 2" xfId="39727"/>
    <cellStyle name="Comma 16 3 2 3 2 5" xfId="39728"/>
    <cellStyle name="Comma 16 3 2 3 2 6" xfId="39729"/>
    <cellStyle name="Comma 16 3 2 3 3" xfId="39730"/>
    <cellStyle name="Comma 16 3 2 3 3 2" xfId="39731"/>
    <cellStyle name="Comma 16 3 2 3 3 2 2" xfId="39732"/>
    <cellStyle name="Comma 16 3 2 3 3 2 3" xfId="39733"/>
    <cellStyle name="Comma 16 3 2 3 3 3" xfId="39734"/>
    <cellStyle name="Comma 16 3 2 3 3 3 2" xfId="39735"/>
    <cellStyle name="Comma 16 3 2 3 3 3 3" xfId="39736"/>
    <cellStyle name="Comma 16 3 2 3 3 4" xfId="39737"/>
    <cellStyle name="Comma 16 3 2 3 3 4 2" xfId="39738"/>
    <cellStyle name="Comma 16 3 2 3 3 5" xfId="39739"/>
    <cellStyle name="Comma 16 3 2 3 3 6" xfId="39740"/>
    <cellStyle name="Comma 16 3 2 3 4" xfId="39741"/>
    <cellStyle name="Comma 16 3 2 3 4 2" xfId="39742"/>
    <cellStyle name="Comma 16 3 2 3 4 2 2" xfId="39743"/>
    <cellStyle name="Comma 16 3 2 3 4 2 3" xfId="39744"/>
    <cellStyle name="Comma 16 3 2 3 4 3" xfId="39745"/>
    <cellStyle name="Comma 16 3 2 3 4 3 2" xfId="39746"/>
    <cellStyle name="Comma 16 3 2 3 4 4" xfId="39747"/>
    <cellStyle name="Comma 16 3 2 3 4 5" xfId="39748"/>
    <cellStyle name="Comma 16 3 2 3 5" xfId="39749"/>
    <cellStyle name="Comma 16 3 2 3 5 2" xfId="39750"/>
    <cellStyle name="Comma 16 3 2 3 5 3" xfId="39751"/>
    <cellStyle name="Comma 16 3 2 3 6" xfId="39752"/>
    <cellStyle name="Comma 16 3 2 3 6 2" xfId="39753"/>
    <cellStyle name="Comma 16 3 2 3 6 3" xfId="39754"/>
    <cellStyle name="Comma 16 3 2 3 7" xfId="39755"/>
    <cellStyle name="Comma 16 3 2 3 7 2" xfId="39756"/>
    <cellStyle name="Comma 16 3 2 3 8" xfId="39757"/>
    <cellStyle name="Comma 16 3 2 3 9" xfId="39758"/>
    <cellStyle name="Comma 16 3 2 4" xfId="39759"/>
    <cellStyle name="Comma 16 3 2 4 2" xfId="39760"/>
    <cellStyle name="Comma 16 3 2 4 2 2" xfId="39761"/>
    <cellStyle name="Comma 16 3 2 4 2 2 2" xfId="39762"/>
    <cellStyle name="Comma 16 3 2 4 2 2 3" xfId="39763"/>
    <cellStyle name="Comma 16 3 2 4 2 3" xfId="39764"/>
    <cellStyle name="Comma 16 3 2 4 2 3 2" xfId="39765"/>
    <cellStyle name="Comma 16 3 2 4 2 3 3" xfId="39766"/>
    <cellStyle name="Comma 16 3 2 4 2 4" xfId="39767"/>
    <cellStyle name="Comma 16 3 2 4 2 4 2" xfId="39768"/>
    <cellStyle name="Comma 16 3 2 4 2 5" xfId="39769"/>
    <cellStyle name="Comma 16 3 2 4 2 6" xfId="39770"/>
    <cellStyle name="Comma 16 3 2 4 3" xfId="39771"/>
    <cellStyle name="Comma 16 3 2 4 3 2" xfId="39772"/>
    <cellStyle name="Comma 16 3 2 4 3 2 2" xfId="39773"/>
    <cellStyle name="Comma 16 3 2 4 3 2 3" xfId="39774"/>
    <cellStyle name="Comma 16 3 2 4 3 3" xfId="39775"/>
    <cellStyle name="Comma 16 3 2 4 3 3 2" xfId="39776"/>
    <cellStyle name="Comma 16 3 2 4 3 3 3" xfId="39777"/>
    <cellStyle name="Comma 16 3 2 4 3 4" xfId="39778"/>
    <cellStyle name="Comma 16 3 2 4 3 4 2" xfId="39779"/>
    <cellStyle name="Comma 16 3 2 4 3 5" xfId="39780"/>
    <cellStyle name="Comma 16 3 2 4 3 6" xfId="39781"/>
    <cellStyle name="Comma 16 3 2 4 4" xfId="39782"/>
    <cellStyle name="Comma 16 3 2 4 4 2" xfId="39783"/>
    <cellStyle name="Comma 16 3 2 4 4 2 2" xfId="39784"/>
    <cellStyle name="Comma 16 3 2 4 4 2 3" xfId="39785"/>
    <cellStyle name="Comma 16 3 2 4 4 3" xfId="39786"/>
    <cellStyle name="Comma 16 3 2 4 4 3 2" xfId="39787"/>
    <cellStyle name="Comma 16 3 2 4 4 4" xfId="39788"/>
    <cellStyle name="Comma 16 3 2 4 4 5" xfId="39789"/>
    <cellStyle name="Comma 16 3 2 4 5" xfId="39790"/>
    <cellStyle name="Comma 16 3 2 4 5 2" xfId="39791"/>
    <cellStyle name="Comma 16 3 2 4 5 3" xfId="39792"/>
    <cellStyle name="Comma 16 3 2 4 6" xfId="39793"/>
    <cellStyle name="Comma 16 3 2 4 6 2" xfId="39794"/>
    <cellStyle name="Comma 16 3 2 4 6 3" xfId="39795"/>
    <cellStyle name="Comma 16 3 2 4 7" xfId="39796"/>
    <cellStyle name="Comma 16 3 2 4 7 2" xfId="39797"/>
    <cellStyle name="Comma 16 3 2 4 8" xfId="39798"/>
    <cellStyle name="Comma 16 3 2 4 9" xfId="39799"/>
    <cellStyle name="Comma 16 3 2 5" xfId="39800"/>
    <cellStyle name="Comma 16 3 2 5 2" xfId="39801"/>
    <cellStyle name="Comma 16 3 2 5 2 2" xfId="39802"/>
    <cellStyle name="Comma 16 3 2 5 2 3" xfId="39803"/>
    <cellStyle name="Comma 16 3 2 5 3" xfId="39804"/>
    <cellStyle name="Comma 16 3 2 5 3 2" xfId="39805"/>
    <cellStyle name="Comma 16 3 2 5 3 3" xfId="39806"/>
    <cellStyle name="Comma 16 3 2 5 4" xfId="39807"/>
    <cellStyle name="Comma 16 3 2 5 4 2" xfId="39808"/>
    <cellStyle name="Comma 16 3 2 5 5" xfId="39809"/>
    <cellStyle name="Comma 16 3 2 5 6" xfId="39810"/>
    <cellStyle name="Comma 16 3 2 6" xfId="39811"/>
    <cellStyle name="Comma 16 3 2 6 2" xfId="39812"/>
    <cellStyle name="Comma 16 3 2 6 2 2" xfId="39813"/>
    <cellStyle name="Comma 16 3 2 6 2 3" xfId="39814"/>
    <cellStyle name="Comma 16 3 2 6 3" xfId="39815"/>
    <cellStyle name="Comma 16 3 2 6 3 2" xfId="39816"/>
    <cellStyle name="Comma 16 3 2 6 3 3" xfId="39817"/>
    <cellStyle name="Comma 16 3 2 6 4" xfId="39818"/>
    <cellStyle name="Comma 16 3 2 6 4 2" xfId="39819"/>
    <cellStyle name="Comma 16 3 2 6 5" xfId="39820"/>
    <cellStyle name="Comma 16 3 2 6 6" xfId="39821"/>
    <cellStyle name="Comma 16 3 2 7" xfId="39822"/>
    <cellStyle name="Comma 16 3 2 7 2" xfId="39823"/>
    <cellStyle name="Comma 16 3 2 7 2 2" xfId="39824"/>
    <cellStyle name="Comma 16 3 2 7 2 3" xfId="39825"/>
    <cellStyle name="Comma 16 3 2 7 3" xfId="39826"/>
    <cellStyle name="Comma 16 3 2 7 3 2" xfId="39827"/>
    <cellStyle name="Comma 16 3 2 7 4" xfId="39828"/>
    <cellStyle name="Comma 16 3 2 7 5" xfId="39829"/>
    <cellStyle name="Comma 16 3 2 8" xfId="39830"/>
    <cellStyle name="Comma 16 3 2 8 2" xfId="39831"/>
    <cellStyle name="Comma 16 3 2 8 3" xfId="39832"/>
    <cellStyle name="Comma 16 3 2 9" xfId="39833"/>
    <cellStyle name="Comma 16 3 2 9 2" xfId="39834"/>
    <cellStyle name="Comma 16 3 2 9 3" xfId="39835"/>
    <cellStyle name="Comma 16 3 3" xfId="39836"/>
    <cellStyle name="Comma 16 3 3 10" xfId="39837"/>
    <cellStyle name="Comma 16 3 3 2" xfId="39838"/>
    <cellStyle name="Comma 16 3 3 2 2" xfId="39839"/>
    <cellStyle name="Comma 16 3 3 2 2 2" xfId="39840"/>
    <cellStyle name="Comma 16 3 3 2 2 2 2" xfId="39841"/>
    <cellStyle name="Comma 16 3 3 2 2 2 3" xfId="39842"/>
    <cellStyle name="Comma 16 3 3 2 2 3" xfId="39843"/>
    <cellStyle name="Comma 16 3 3 2 2 3 2" xfId="39844"/>
    <cellStyle name="Comma 16 3 3 2 2 3 3" xfId="39845"/>
    <cellStyle name="Comma 16 3 3 2 2 4" xfId="39846"/>
    <cellStyle name="Comma 16 3 3 2 2 4 2" xfId="39847"/>
    <cellStyle name="Comma 16 3 3 2 2 5" xfId="39848"/>
    <cellStyle name="Comma 16 3 3 2 2 6" xfId="39849"/>
    <cellStyle name="Comma 16 3 3 2 3" xfId="39850"/>
    <cellStyle name="Comma 16 3 3 2 3 2" xfId="39851"/>
    <cellStyle name="Comma 16 3 3 2 3 2 2" xfId="39852"/>
    <cellStyle name="Comma 16 3 3 2 3 2 3" xfId="39853"/>
    <cellStyle name="Comma 16 3 3 2 3 3" xfId="39854"/>
    <cellStyle name="Comma 16 3 3 2 3 3 2" xfId="39855"/>
    <cellStyle name="Comma 16 3 3 2 3 3 3" xfId="39856"/>
    <cellStyle name="Comma 16 3 3 2 3 4" xfId="39857"/>
    <cellStyle name="Comma 16 3 3 2 3 4 2" xfId="39858"/>
    <cellStyle name="Comma 16 3 3 2 3 5" xfId="39859"/>
    <cellStyle name="Comma 16 3 3 2 3 6" xfId="39860"/>
    <cellStyle name="Comma 16 3 3 2 4" xfId="39861"/>
    <cellStyle name="Comma 16 3 3 2 4 2" xfId="39862"/>
    <cellStyle name="Comma 16 3 3 2 4 2 2" xfId="39863"/>
    <cellStyle name="Comma 16 3 3 2 4 2 3" xfId="39864"/>
    <cellStyle name="Comma 16 3 3 2 4 3" xfId="39865"/>
    <cellStyle name="Comma 16 3 3 2 4 3 2" xfId="39866"/>
    <cellStyle name="Comma 16 3 3 2 4 4" xfId="39867"/>
    <cellStyle name="Comma 16 3 3 2 4 5" xfId="39868"/>
    <cellStyle name="Comma 16 3 3 2 5" xfId="39869"/>
    <cellStyle name="Comma 16 3 3 2 5 2" xfId="39870"/>
    <cellStyle name="Comma 16 3 3 2 5 3" xfId="39871"/>
    <cellStyle name="Comma 16 3 3 2 6" xfId="39872"/>
    <cellStyle name="Comma 16 3 3 2 6 2" xfId="39873"/>
    <cellStyle name="Comma 16 3 3 2 6 3" xfId="39874"/>
    <cellStyle name="Comma 16 3 3 2 7" xfId="39875"/>
    <cellStyle name="Comma 16 3 3 2 7 2" xfId="39876"/>
    <cellStyle name="Comma 16 3 3 2 8" xfId="39877"/>
    <cellStyle name="Comma 16 3 3 2 9" xfId="39878"/>
    <cellStyle name="Comma 16 3 3 3" xfId="39879"/>
    <cellStyle name="Comma 16 3 3 3 2" xfId="39880"/>
    <cellStyle name="Comma 16 3 3 3 2 2" xfId="39881"/>
    <cellStyle name="Comma 16 3 3 3 2 3" xfId="39882"/>
    <cellStyle name="Comma 16 3 3 3 3" xfId="39883"/>
    <cellStyle name="Comma 16 3 3 3 3 2" xfId="39884"/>
    <cellStyle name="Comma 16 3 3 3 3 3" xfId="39885"/>
    <cellStyle name="Comma 16 3 3 3 4" xfId="39886"/>
    <cellStyle name="Comma 16 3 3 3 4 2" xfId="39887"/>
    <cellStyle name="Comma 16 3 3 3 5" xfId="39888"/>
    <cellStyle name="Comma 16 3 3 3 6" xfId="39889"/>
    <cellStyle name="Comma 16 3 3 4" xfId="39890"/>
    <cellStyle name="Comma 16 3 3 4 2" xfId="39891"/>
    <cellStyle name="Comma 16 3 3 4 2 2" xfId="39892"/>
    <cellStyle name="Comma 16 3 3 4 2 3" xfId="39893"/>
    <cellStyle name="Comma 16 3 3 4 3" xfId="39894"/>
    <cellStyle name="Comma 16 3 3 4 3 2" xfId="39895"/>
    <cellStyle name="Comma 16 3 3 4 3 3" xfId="39896"/>
    <cellStyle name="Comma 16 3 3 4 4" xfId="39897"/>
    <cellStyle name="Comma 16 3 3 4 4 2" xfId="39898"/>
    <cellStyle name="Comma 16 3 3 4 5" xfId="39899"/>
    <cellStyle name="Comma 16 3 3 4 6" xfId="39900"/>
    <cellStyle name="Comma 16 3 3 5" xfId="39901"/>
    <cellStyle name="Comma 16 3 3 5 2" xfId="39902"/>
    <cellStyle name="Comma 16 3 3 5 2 2" xfId="39903"/>
    <cellStyle name="Comma 16 3 3 5 2 3" xfId="39904"/>
    <cellStyle name="Comma 16 3 3 5 3" xfId="39905"/>
    <cellStyle name="Comma 16 3 3 5 3 2" xfId="39906"/>
    <cellStyle name="Comma 16 3 3 5 4" xfId="39907"/>
    <cellStyle name="Comma 16 3 3 5 5" xfId="39908"/>
    <cellStyle name="Comma 16 3 3 6" xfId="39909"/>
    <cellStyle name="Comma 16 3 3 6 2" xfId="39910"/>
    <cellStyle name="Comma 16 3 3 6 3" xfId="39911"/>
    <cellStyle name="Comma 16 3 3 7" xfId="39912"/>
    <cellStyle name="Comma 16 3 3 7 2" xfId="39913"/>
    <cellStyle name="Comma 16 3 3 7 3" xfId="39914"/>
    <cellStyle name="Comma 16 3 3 8" xfId="39915"/>
    <cellStyle name="Comma 16 3 3 8 2" xfId="39916"/>
    <cellStyle name="Comma 16 3 3 9" xfId="39917"/>
    <cellStyle name="Comma 16 3 4" xfId="39918"/>
    <cellStyle name="Comma 16 3 4 2" xfId="39919"/>
    <cellStyle name="Comma 16 3 4 2 2" xfId="39920"/>
    <cellStyle name="Comma 16 3 4 2 2 2" xfId="39921"/>
    <cellStyle name="Comma 16 3 4 2 2 3" xfId="39922"/>
    <cellStyle name="Comma 16 3 4 2 3" xfId="39923"/>
    <cellStyle name="Comma 16 3 4 2 3 2" xfId="39924"/>
    <cellStyle name="Comma 16 3 4 2 3 3" xfId="39925"/>
    <cellStyle name="Comma 16 3 4 2 4" xfId="39926"/>
    <cellStyle name="Comma 16 3 4 2 4 2" xfId="39927"/>
    <cellStyle name="Comma 16 3 4 2 5" xfId="39928"/>
    <cellStyle name="Comma 16 3 4 2 6" xfId="39929"/>
    <cellStyle name="Comma 16 3 4 3" xfId="39930"/>
    <cellStyle name="Comma 16 3 4 3 2" xfId="39931"/>
    <cellStyle name="Comma 16 3 4 3 2 2" xfId="39932"/>
    <cellStyle name="Comma 16 3 4 3 2 3" xfId="39933"/>
    <cellStyle name="Comma 16 3 4 3 3" xfId="39934"/>
    <cellStyle name="Comma 16 3 4 3 3 2" xfId="39935"/>
    <cellStyle name="Comma 16 3 4 3 3 3" xfId="39936"/>
    <cellStyle name="Comma 16 3 4 3 4" xfId="39937"/>
    <cellStyle name="Comma 16 3 4 3 4 2" xfId="39938"/>
    <cellStyle name="Comma 16 3 4 3 5" xfId="39939"/>
    <cellStyle name="Comma 16 3 4 3 6" xfId="39940"/>
    <cellStyle name="Comma 16 3 4 4" xfId="39941"/>
    <cellStyle name="Comma 16 3 4 4 2" xfId="39942"/>
    <cellStyle name="Comma 16 3 4 4 2 2" xfId="39943"/>
    <cellStyle name="Comma 16 3 4 4 2 3" xfId="39944"/>
    <cellStyle name="Comma 16 3 4 4 3" xfId="39945"/>
    <cellStyle name="Comma 16 3 4 4 3 2" xfId="39946"/>
    <cellStyle name="Comma 16 3 4 4 4" xfId="39947"/>
    <cellStyle name="Comma 16 3 4 4 5" xfId="39948"/>
    <cellStyle name="Comma 16 3 4 5" xfId="39949"/>
    <cellStyle name="Comma 16 3 4 5 2" xfId="39950"/>
    <cellStyle name="Comma 16 3 4 5 3" xfId="39951"/>
    <cellStyle name="Comma 16 3 4 6" xfId="39952"/>
    <cellStyle name="Comma 16 3 4 6 2" xfId="39953"/>
    <cellStyle name="Comma 16 3 4 6 3" xfId="39954"/>
    <cellStyle name="Comma 16 3 4 7" xfId="39955"/>
    <cellStyle name="Comma 16 3 4 7 2" xfId="39956"/>
    <cellStyle name="Comma 16 3 4 8" xfId="39957"/>
    <cellStyle name="Comma 16 3 4 9" xfId="39958"/>
    <cellStyle name="Comma 16 3 5" xfId="39959"/>
    <cellStyle name="Comma 16 3 5 2" xfId="39960"/>
    <cellStyle name="Comma 16 3 5 2 2" xfId="39961"/>
    <cellStyle name="Comma 16 3 5 2 2 2" xfId="39962"/>
    <cellStyle name="Comma 16 3 5 2 2 3" xfId="39963"/>
    <cellStyle name="Comma 16 3 5 2 3" xfId="39964"/>
    <cellStyle name="Comma 16 3 5 2 3 2" xfId="39965"/>
    <cellStyle name="Comma 16 3 5 2 3 3" xfId="39966"/>
    <cellStyle name="Comma 16 3 5 2 4" xfId="39967"/>
    <cellStyle name="Comma 16 3 5 2 4 2" xfId="39968"/>
    <cellStyle name="Comma 16 3 5 2 5" xfId="39969"/>
    <cellStyle name="Comma 16 3 5 2 6" xfId="39970"/>
    <cellStyle name="Comma 16 3 5 3" xfId="39971"/>
    <cellStyle name="Comma 16 3 5 3 2" xfId="39972"/>
    <cellStyle name="Comma 16 3 5 3 2 2" xfId="39973"/>
    <cellStyle name="Comma 16 3 5 3 2 3" xfId="39974"/>
    <cellStyle name="Comma 16 3 5 3 3" xfId="39975"/>
    <cellStyle name="Comma 16 3 5 3 3 2" xfId="39976"/>
    <cellStyle name="Comma 16 3 5 3 3 3" xfId="39977"/>
    <cellStyle name="Comma 16 3 5 3 4" xfId="39978"/>
    <cellStyle name="Comma 16 3 5 3 4 2" xfId="39979"/>
    <cellStyle name="Comma 16 3 5 3 5" xfId="39980"/>
    <cellStyle name="Comma 16 3 5 3 6" xfId="39981"/>
    <cellStyle name="Comma 16 3 5 4" xfId="39982"/>
    <cellStyle name="Comma 16 3 5 4 2" xfId="39983"/>
    <cellStyle name="Comma 16 3 5 4 2 2" xfId="39984"/>
    <cellStyle name="Comma 16 3 5 4 2 3" xfId="39985"/>
    <cellStyle name="Comma 16 3 5 4 3" xfId="39986"/>
    <cellStyle name="Comma 16 3 5 4 3 2" xfId="39987"/>
    <cellStyle name="Comma 16 3 5 4 4" xfId="39988"/>
    <cellStyle name="Comma 16 3 5 4 5" xfId="39989"/>
    <cellStyle name="Comma 16 3 5 5" xfId="39990"/>
    <cellStyle name="Comma 16 3 5 5 2" xfId="39991"/>
    <cellStyle name="Comma 16 3 5 5 3" xfId="39992"/>
    <cellStyle name="Comma 16 3 5 6" xfId="39993"/>
    <cellStyle name="Comma 16 3 5 6 2" xfId="39994"/>
    <cellStyle name="Comma 16 3 5 6 3" xfId="39995"/>
    <cellStyle name="Comma 16 3 5 7" xfId="39996"/>
    <cellStyle name="Comma 16 3 5 7 2" xfId="39997"/>
    <cellStyle name="Comma 16 3 5 8" xfId="39998"/>
    <cellStyle name="Comma 16 3 5 9" xfId="39999"/>
    <cellStyle name="Comma 16 3 6" xfId="40000"/>
    <cellStyle name="Comma 16 3 6 2" xfId="40001"/>
    <cellStyle name="Comma 16 3 6 2 2" xfId="40002"/>
    <cellStyle name="Comma 16 3 6 2 3" xfId="40003"/>
    <cellStyle name="Comma 16 3 6 3" xfId="40004"/>
    <cellStyle name="Comma 16 3 6 3 2" xfId="40005"/>
    <cellStyle name="Comma 16 3 6 3 3" xfId="40006"/>
    <cellStyle name="Comma 16 3 6 4" xfId="40007"/>
    <cellStyle name="Comma 16 3 6 4 2" xfId="40008"/>
    <cellStyle name="Comma 16 3 6 5" xfId="40009"/>
    <cellStyle name="Comma 16 3 6 6" xfId="40010"/>
    <cellStyle name="Comma 16 3 7" xfId="40011"/>
    <cellStyle name="Comma 16 3 7 2" xfId="40012"/>
    <cellStyle name="Comma 16 3 7 2 2" xfId="40013"/>
    <cellStyle name="Comma 16 3 7 2 3" xfId="40014"/>
    <cellStyle name="Comma 16 3 7 3" xfId="40015"/>
    <cellStyle name="Comma 16 3 7 3 2" xfId="40016"/>
    <cellStyle name="Comma 16 3 7 3 3" xfId="40017"/>
    <cellStyle name="Comma 16 3 7 4" xfId="40018"/>
    <cellStyle name="Comma 16 3 7 4 2" xfId="40019"/>
    <cellStyle name="Comma 16 3 7 5" xfId="40020"/>
    <cellStyle name="Comma 16 3 7 6" xfId="40021"/>
    <cellStyle name="Comma 16 3 8" xfId="40022"/>
    <cellStyle name="Comma 16 3 8 2" xfId="40023"/>
    <cellStyle name="Comma 16 3 8 2 2" xfId="40024"/>
    <cellStyle name="Comma 16 3 8 2 3" xfId="40025"/>
    <cellStyle name="Comma 16 3 8 3" xfId="40026"/>
    <cellStyle name="Comma 16 3 8 3 2" xfId="40027"/>
    <cellStyle name="Comma 16 3 8 4" xfId="40028"/>
    <cellStyle name="Comma 16 3 8 5" xfId="40029"/>
    <cellStyle name="Comma 16 3 9" xfId="40030"/>
    <cellStyle name="Comma 16 3 9 2" xfId="40031"/>
    <cellStyle name="Comma 16 3 9 3" xfId="40032"/>
    <cellStyle name="Comma 16 4" xfId="40033"/>
    <cellStyle name="Comma 16 4 10" xfId="40034"/>
    <cellStyle name="Comma 16 4 10 2" xfId="40035"/>
    <cellStyle name="Comma 16 4 11" xfId="40036"/>
    <cellStyle name="Comma 16 4 12" xfId="40037"/>
    <cellStyle name="Comma 16 4 2" xfId="40038"/>
    <cellStyle name="Comma 16 4 2 10" xfId="40039"/>
    <cellStyle name="Comma 16 4 2 2" xfId="40040"/>
    <cellStyle name="Comma 16 4 2 2 2" xfId="40041"/>
    <cellStyle name="Comma 16 4 2 2 2 2" xfId="40042"/>
    <cellStyle name="Comma 16 4 2 2 2 2 2" xfId="40043"/>
    <cellStyle name="Comma 16 4 2 2 2 2 3" xfId="40044"/>
    <cellStyle name="Comma 16 4 2 2 2 3" xfId="40045"/>
    <cellStyle name="Comma 16 4 2 2 2 3 2" xfId="40046"/>
    <cellStyle name="Comma 16 4 2 2 2 3 3" xfId="40047"/>
    <cellStyle name="Comma 16 4 2 2 2 4" xfId="40048"/>
    <cellStyle name="Comma 16 4 2 2 2 4 2" xfId="40049"/>
    <cellStyle name="Comma 16 4 2 2 2 5" xfId="40050"/>
    <cellStyle name="Comma 16 4 2 2 2 6" xfId="40051"/>
    <cellStyle name="Comma 16 4 2 2 3" xfId="40052"/>
    <cellStyle name="Comma 16 4 2 2 3 2" xfId="40053"/>
    <cellStyle name="Comma 16 4 2 2 3 2 2" xfId="40054"/>
    <cellStyle name="Comma 16 4 2 2 3 2 3" xfId="40055"/>
    <cellStyle name="Comma 16 4 2 2 3 3" xfId="40056"/>
    <cellStyle name="Comma 16 4 2 2 3 3 2" xfId="40057"/>
    <cellStyle name="Comma 16 4 2 2 3 3 3" xfId="40058"/>
    <cellStyle name="Comma 16 4 2 2 3 4" xfId="40059"/>
    <cellStyle name="Comma 16 4 2 2 3 4 2" xfId="40060"/>
    <cellStyle name="Comma 16 4 2 2 3 5" xfId="40061"/>
    <cellStyle name="Comma 16 4 2 2 3 6" xfId="40062"/>
    <cellStyle name="Comma 16 4 2 2 4" xfId="40063"/>
    <cellStyle name="Comma 16 4 2 2 4 2" xfId="40064"/>
    <cellStyle name="Comma 16 4 2 2 4 2 2" xfId="40065"/>
    <cellStyle name="Comma 16 4 2 2 4 2 3" xfId="40066"/>
    <cellStyle name="Comma 16 4 2 2 4 3" xfId="40067"/>
    <cellStyle name="Comma 16 4 2 2 4 3 2" xfId="40068"/>
    <cellStyle name="Comma 16 4 2 2 4 4" xfId="40069"/>
    <cellStyle name="Comma 16 4 2 2 4 5" xfId="40070"/>
    <cellStyle name="Comma 16 4 2 2 5" xfId="40071"/>
    <cellStyle name="Comma 16 4 2 2 5 2" xfId="40072"/>
    <cellStyle name="Comma 16 4 2 2 5 3" xfId="40073"/>
    <cellStyle name="Comma 16 4 2 2 6" xfId="40074"/>
    <cellStyle name="Comma 16 4 2 2 6 2" xfId="40075"/>
    <cellStyle name="Comma 16 4 2 2 6 3" xfId="40076"/>
    <cellStyle name="Comma 16 4 2 2 7" xfId="40077"/>
    <cellStyle name="Comma 16 4 2 2 7 2" xfId="40078"/>
    <cellStyle name="Comma 16 4 2 2 8" xfId="40079"/>
    <cellStyle name="Comma 16 4 2 2 9" xfId="40080"/>
    <cellStyle name="Comma 16 4 2 3" xfId="40081"/>
    <cellStyle name="Comma 16 4 2 3 2" xfId="40082"/>
    <cellStyle name="Comma 16 4 2 3 2 2" xfId="40083"/>
    <cellStyle name="Comma 16 4 2 3 2 3" xfId="40084"/>
    <cellStyle name="Comma 16 4 2 3 3" xfId="40085"/>
    <cellStyle name="Comma 16 4 2 3 3 2" xfId="40086"/>
    <cellStyle name="Comma 16 4 2 3 3 3" xfId="40087"/>
    <cellStyle name="Comma 16 4 2 3 4" xfId="40088"/>
    <cellStyle name="Comma 16 4 2 3 4 2" xfId="40089"/>
    <cellStyle name="Comma 16 4 2 3 5" xfId="40090"/>
    <cellStyle name="Comma 16 4 2 3 6" xfId="40091"/>
    <cellStyle name="Comma 16 4 2 4" xfId="40092"/>
    <cellStyle name="Comma 16 4 2 4 2" xfId="40093"/>
    <cellStyle name="Comma 16 4 2 4 2 2" xfId="40094"/>
    <cellStyle name="Comma 16 4 2 4 2 3" xfId="40095"/>
    <cellStyle name="Comma 16 4 2 4 3" xfId="40096"/>
    <cellStyle name="Comma 16 4 2 4 3 2" xfId="40097"/>
    <cellStyle name="Comma 16 4 2 4 3 3" xfId="40098"/>
    <cellStyle name="Comma 16 4 2 4 4" xfId="40099"/>
    <cellStyle name="Comma 16 4 2 4 4 2" xfId="40100"/>
    <cellStyle name="Comma 16 4 2 4 5" xfId="40101"/>
    <cellStyle name="Comma 16 4 2 4 6" xfId="40102"/>
    <cellStyle name="Comma 16 4 2 5" xfId="40103"/>
    <cellStyle name="Comma 16 4 2 5 2" xfId="40104"/>
    <cellStyle name="Comma 16 4 2 5 2 2" xfId="40105"/>
    <cellStyle name="Comma 16 4 2 5 2 3" xfId="40106"/>
    <cellStyle name="Comma 16 4 2 5 3" xfId="40107"/>
    <cellStyle name="Comma 16 4 2 5 3 2" xfId="40108"/>
    <cellStyle name="Comma 16 4 2 5 4" xfId="40109"/>
    <cellStyle name="Comma 16 4 2 5 5" xfId="40110"/>
    <cellStyle name="Comma 16 4 2 6" xfId="40111"/>
    <cellStyle name="Comma 16 4 2 6 2" xfId="40112"/>
    <cellStyle name="Comma 16 4 2 6 3" xfId="40113"/>
    <cellStyle name="Comma 16 4 2 7" xfId="40114"/>
    <cellStyle name="Comma 16 4 2 7 2" xfId="40115"/>
    <cellStyle name="Comma 16 4 2 7 3" xfId="40116"/>
    <cellStyle name="Comma 16 4 2 8" xfId="40117"/>
    <cellStyle name="Comma 16 4 2 8 2" xfId="40118"/>
    <cellStyle name="Comma 16 4 2 9" xfId="40119"/>
    <cellStyle name="Comma 16 4 3" xfId="40120"/>
    <cellStyle name="Comma 16 4 3 2" xfId="40121"/>
    <cellStyle name="Comma 16 4 3 2 2" xfId="40122"/>
    <cellStyle name="Comma 16 4 3 2 2 2" xfId="40123"/>
    <cellStyle name="Comma 16 4 3 2 2 3" xfId="40124"/>
    <cellStyle name="Comma 16 4 3 2 3" xfId="40125"/>
    <cellStyle name="Comma 16 4 3 2 3 2" xfId="40126"/>
    <cellStyle name="Comma 16 4 3 2 3 3" xfId="40127"/>
    <cellStyle name="Comma 16 4 3 2 4" xfId="40128"/>
    <cellStyle name="Comma 16 4 3 2 4 2" xfId="40129"/>
    <cellStyle name="Comma 16 4 3 2 5" xfId="40130"/>
    <cellStyle name="Comma 16 4 3 2 6" xfId="40131"/>
    <cellStyle name="Comma 16 4 3 3" xfId="40132"/>
    <cellStyle name="Comma 16 4 3 3 2" xfId="40133"/>
    <cellStyle name="Comma 16 4 3 3 2 2" xfId="40134"/>
    <cellStyle name="Comma 16 4 3 3 2 3" xfId="40135"/>
    <cellStyle name="Comma 16 4 3 3 3" xfId="40136"/>
    <cellStyle name="Comma 16 4 3 3 3 2" xfId="40137"/>
    <cellStyle name="Comma 16 4 3 3 3 3" xfId="40138"/>
    <cellStyle name="Comma 16 4 3 3 4" xfId="40139"/>
    <cellStyle name="Comma 16 4 3 3 4 2" xfId="40140"/>
    <cellStyle name="Comma 16 4 3 3 5" xfId="40141"/>
    <cellStyle name="Comma 16 4 3 3 6" xfId="40142"/>
    <cellStyle name="Comma 16 4 3 4" xfId="40143"/>
    <cellStyle name="Comma 16 4 3 4 2" xfId="40144"/>
    <cellStyle name="Comma 16 4 3 4 2 2" xfId="40145"/>
    <cellStyle name="Comma 16 4 3 4 2 3" xfId="40146"/>
    <cellStyle name="Comma 16 4 3 4 3" xfId="40147"/>
    <cellStyle name="Comma 16 4 3 4 3 2" xfId="40148"/>
    <cellStyle name="Comma 16 4 3 4 4" xfId="40149"/>
    <cellStyle name="Comma 16 4 3 4 5" xfId="40150"/>
    <cellStyle name="Comma 16 4 3 5" xfId="40151"/>
    <cellStyle name="Comma 16 4 3 5 2" xfId="40152"/>
    <cellStyle name="Comma 16 4 3 5 3" xfId="40153"/>
    <cellStyle name="Comma 16 4 3 6" xfId="40154"/>
    <cellStyle name="Comma 16 4 3 6 2" xfId="40155"/>
    <cellStyle name="Comma 16 4 3 6 3" xfId="40156"/>
    <cellStyle name="Comma 16 4 3 7" xfId="40157"/>
    <cellStyle name="Comma 16 4 3 7 2" xfId="40158"/>
    <cellStyle name="Comma 16 4 3 8" xfId="40159"/>
    <cellStyle name="Comma 16 4 3 9" xfId="40160"/>
    <cellStyle name="Comma 16 4 4" xfId="40161"/>
    <cellStyle name="Comma 16 4 4 2" xfId="40162"/>
    <cellStyle name="Comma 16 4 4 2 2" xfId="40163"/>
    <cellStyle name="Comma 16 4 4 2 2 2" xfId="40164"/>
    <cellStyle name="Comma 16 4 4 2 2 3" xfId="40165"/>
    <cellStyle name="Comma 16 4 4 2 3" xfId="40166"/>
    <cellStyle name="Comma 16 4 4 2 3 2" xfId="40167"/>
    <cellStyle name="Comma 16 4 4 2 3 3" xfId="40168"/>
    <cellStyle name="Comma 16 4 4 2 4" xfId="40169"/>
    <cellStyle name="Comma 16 4 4 2 4 2" xfId="40170"/>
    <cellStyle name="Comma 16 4 4 2 5" xfId="40171"/>
    <cellStyle name="Comma 16 4 4 2 6" xfId="40172"/>
    <cellStyle name="Comma 16 4 4 3" xfId="40173"/>
    <cellStyle name="Comma 16 4 4 3 2" xfId="40174"/>
    <cellStyle name="Comma 16 4 4 3 2 2" xfId="40175"/>
    <cellStyle name="Comma 16 4 4 3 2 3" xfId="40176"/>
    <cellStyle name="Comma 16 4 4 3 3" xfId="40177"/>
    <cellStyle name="Comma 16 4 4 3 3 2" xfId="40178"/>
    <cellStyle name="Comma 16 4 4 3 3 3" xfId="40179"/>
    <cellStyle name="Comma 16 4 4 3 4" xfId="40180"/>
    <cellStyle name="Comma 16 4 4 3 4 2" xfId="40181"/>
    <cellStyle name="Comma 16 4 4 3 5" xfId="40182"/>
    <cellStyle name="Comma 16 4 4 3 6" xfId="40183"/>
    <cellStyle name="Comma 16 4 4 4" xfId="40184"/>
    <cellStyle name="Comma 16 4 4 4 2" xfId="40185"/>
    <cellStyle name="Comma 16 4 4 4 2 2" xfId="40186"/>
    <cellStyle name="Comma 16 4 4 4 2 3" xfId="40187"/>
    <cellStyle name="Comma 16 4 4 4 3" xfId="40188"/>
    <cellStyle name="Comma 16 4 4 4 3 2" xfId="40189"/>
    <cellStyle name="Comma 16 4 4 4 4" xfId="40190"/>
    <cellStyle name="Comma 16 4 4 4 5" xfId="40191"/>
    <cellStyle name="Comma 16 4 4 5" xfId="40192"/>
    <cellStyle name="Comma 16 4 4 5 2" xfId="40193"/>
    <cellStyle name="Comma 16 4 4 5 3" xfId="40194"/>
    <cellStyle name="Comma 16 4 4 6" xfId="40195"/>
    <cellStyle name="Comma 16 4 4 6 2" xfId="40196"/>
    <cellStyle name="Comma 16 4 4 6 3" xfId="40197"/>
    <cellStyle name="Comma 16 4 4 7" xfId="40198"/>
    <cellStyle name="Comma 16 4 4 7 2" xfId="40199"/>
    <cellStyle name="Comma 16 4 4 8" xfId="40200"/>
    <cellStyle name="Comma 16 4 4 9" xfId="40201"/>
    <cellStyle name="Comma 16 4 5" xfId="40202"/>
    <cellStyle name="Comma 16 4 5 2" xfId="40203"/>
    <cellStyle name="Comma 16 4 5 2 2" xfId="40204"/>
    <cellStyle name="Comma 16 4 5 2 3" xfId="40205"/>
    <cellStyle name="Comma 16 4 5 3" xfId="40206"/>
    <cellStyle name="Comma 16 4 5 3 2" xfId="40207"/>
    <cellStyle name="Comma 16 4 5 3 3" xfId="40208"/>
    <cellStyle name="Comma 16 4 5 4" xfId="40209"/>
    <cellStyle name="Comma 16 4 5 4 2" xfId="40210"/>
    <cellStyle name="Comma 16 4 5 5" xfId="40211"/>
    <cellStyle name="Comma 16 4 5 6" xfId="40212"/>
    <cellStyle name="Comma 16 4 6" xfId="40213"/>
    <cellStyle name="Comma 16 4 6 2" xfId="40214"/>
    <cellStyle name="Comma 16 4 6 2 2" xfId="40215"/>
    <cellStyle name="Comma 16 4 6 2 3" xfId="40216"/>
    <cellStyle name="Comma 16 4 6 3" xfId="40217"/>
    <cellStyle name="Comma 16 4 6 3 2" xfId="40218"/>
    <cellStyle name="Comma 16 4 6 3 3" xfId="40219"/>
    <cellStyle name="Comma 16 4 6 4" xfId="40220"/>
    <cellStyle name="Comma 16 4 6 4 2" xfId="40221"/>
    <cellStyle name="Comma 16 4 6 5" xfId="40222"/>
    <cellStyle name="Comma 16 4 6 6" xfId="40223"/>
    <cellStyle name="Comma 16 4 7" xfId="40224"/>
    <cellStyle name="Comma 16 4 7 2" xfId="40225"/>
    <cellStyle name="Comma 16 4 7 2 2" xfId="40226"/>
    <cellStyle name="Comma 16 4 7 2 3" xfId="40227"/>
    <cellStyle name="Comma 16 4 7 3" xfId="40228"/>
    <cellStyle name="Comma 16 4 7 3 2" xfId="40229"/>
    <cellStyle name="Comma 16 4 7 4" xfId="40230"/>
    <cellStyle name="Comma 16 4 7 5" xfId="40231"/>
    <cellStyle name="Comma 16 4 8" xfId="40232"/>
    <cellStyle name="Comma 16 4 8 2" xfId="40233"/>
    <cellStyle name="Comma 16 4 8 3" xfId="40234"/>
    <cellStyle name="Comma 16 4 9" xfId="40235"/>
    <cellStyle name="Comma 16 4 9 2" xfId="40236"/>
    <cellStyle name="Comma 16 4 9 3" xfId="40237"/>
    <cellStyle name="Comma 16 5" xfId="40238"/>
    <cellStyle name="Comma 16 5 10" xfId="40239"/>
    <cellStyle name="Comma 16 5 2" xfId="40240"/>
    <cellStyle name="Comma 16 5 2 2" xfId="40241"/>
    <cellStyle name="Comma 16 5 2 2 2" xfId="40242"/>
    <cellStyle name="Comma 16 5 2 2 2 2" xfId="40243"/>
    <cellStyle name="Comma 16 5 2 2 2 3" xfId="40244"/>
    <cellStyle name="Comma 16 5 2 2 3" xfId="40245"/>
    <cellStyle name="Comma 16 5 2 2 3 2" xfId="40246"/>
    <cellStyle name="Comma 16 5 2 2 3 3" xfId="40247"/>
    <cellStyle name="Comma 16 5 2 2 4" xfId="40248"/>
    <cellStyle name="Comma 16 5 2 2 4 2" xfId="40249"/>
    <cellStyle name="Comma 16 5 2 2 5" xfId="40250"/>
    <cellStyle name="Comma 16 5 2 2 6" xfId="40251"/>
    <cellStyle name="Comma 16 5 2 3" xfId="40252"/>
    <cellStyle name="Comma 16 5 2 3 2" xfId="40253"/>
    <cellStyle name="Comma 16 5 2 3 2 2" xfId="40254"/>
    <cellStyle name="Comma 16 5 2 3 2 3" xfId="40255"/>
    <cellStyle name="Comma 16 5 2 3 3" xfId="40256"/>
    <cellStyle name="Comma 16 5 2 3 3 2" xfId="40257"/>
    <cellStyle name="Comma 16 5 2 3 3 3" xfId="40258"/>
    <cellStyle name="Comma 16 5 2 3 4" xfId="40259"/>
    <cellStyle name="Comma 16 5 2 3 4 2" xfId="40260"/>
    <cellStyle name="Comma 16 5 2 3 5" xfId="40261"/>
    <cellStyle name="Comma 16 5 2 3 6" xfId="40262"/>
    <cellStyle name="Comma 16 5 2 4" xfId="40263"/>
    <cellStyle name="Comma 16 5 2 4 2" xfId="40264"/>
    <cellStyle name="Comma 16 5 2 4 2 2" xfId="40265"/>
    <cellStyle name="Comma 16 5 2 4 2 3" xfId="40266"/>
    <cellStyle name="Comma 16 5 2 4 3" xfId="40267"/>
    <cellStyle name="Comma 16 5 2 4 3 2" xfId="40268"/>
    <cellStyle name="Comma 16 5 2 4 4" xfId="40269"/>
    <cellStyle name="Comma 16 5 2 4 5" xfId="40270"/>
    <cellStyle name="Comma 16 5 2 5" xfId="40271"/>
    <cellStyle name="Comma 16 5 2 5 2" xfId="40272"/>
    <cellStyle name="Comma 16 5 2 5 3" xfId="40273"/>
    <cellStyle name="Comma 16 5 2 6" xfId="40274"/>
    <cellStyle name="Comma 16 5 2 6 2" xfId="40275"/>
    <cellStyle name="Comma 16 5 2 6 3" xfId="40276"/>
    <cellStyle name="Comma 16 5 2 7" xfId="40277"/>
    <cellStyle name="Comma 16 5 2 7 2" xfId="40278"/>
    <cellStyle name="Comma 16 5 2 8" xfId="40279"/>
    <cellStyle name="Comma 16 5 2 9" xfId="40280"/>
    <cellStyle name="Comma 16 5 3" xfId="40281"/>
    <cellStyle name="Comma 16 5 3 2" xfId="40282"/>
    <cellStyle name="Comma 16 5 3 2 2" xfId="40283"/>
    <cellStyle name="Comma 16 5 3 2 3" xfId="40284"/>
    <cellStyle name="Comma 16 5 3 3" xfId="40285"/>
    <cellStyle name="Comma 16 5 3 3 2" xfId="40286"/>
    <cellStyle name="Comma 16 5 3 3 3" xfId="40287"/>
    <cellStyle name="Comma 16 5 3 4" xfId="40288"/>
    <cellStyle name="Comma 16 5 3 4 2" xfId="40289"/>
    <cellStyle name="Comma 16 5 3 5" xfId="40290"/>
    <cellStyle name="Comma 16 5 3 6" xfId="40291"/>
    <cellStyle name="Comma 16 5 4" xfId="40292"/>
    <cellStyle name="Comma 16 5 4 2" xfId="40293"/>
    <cellStyle name="Comma 16 5 4 2 2" xfId="40294"/>
    <cellStyle name="Comma 16 5 4 2 3" xfId="40295"/>
    <cellStyle name="Comma 16 5 4 3" xfId="40296"/>
    <cellStyle name="Comma 16 5 4 3 2" xfId="40297"/>
    <cellStyle name="Comma 16 5 4 3 3" xfId="40298"/>
    <cellStyle name="Comma 16 5 4 4" xfId="40299"/>
    <cellStyle name="Comma 16 5 4 4 2" xfId="40300"/>
    <cellStyle name="Comma 16 5 4 5" xfId="40301"/>
    <cellStyle name="Comma 16 5 4 6" xfId="40302"/>
    <cellStyle name="Comma 16 5 5" xfId="40303"/>
    <cellStyle name="Comma 16 5 5 2" xfId="40304"/>
    <cellStyle name="Comma 16 5 5 2 2" xfId="40305"/>
    <cellStyle name="Comma 16 5 5 2 3" xfId="40306"/>
    <cellStyle name="Comma 16 5 5 3" xfId="40307"/>
    <cellStyle name="Comma 16 5 5 3 2" xfId="40308"/>
    <cellStyle name="Comma 16 5 5 4" xfId="40309"/>
    <cellStyle name="Comma 16 5 5 5" xfId="40310"/>
    <cellStyle name="Comma 16 5 6" xfId="40311"/>
    <cellStyle name="Comma 16 5 6 2" xfId="40312"/>
    <cellStyle name="Comma 16 5 6 3" xfId="40313"/>
    <cellStyle name="Comma 16 5 7" xfId="40314"/>
    <cellStyle name="Comma 16 5 7 2" xfId="40315"/>
    <cellStyle name="Comma 16 5 7 3" xfId="40316"/>
    <cellStyle name="Comma 16 5 8" xfId="40317"/>
    <cellStyle name="Comma 16 5 8 2" xfId="40318"/>
    <cellStyle name="Comma 16 5 9" xfId="40319"/>
    <cellStyle name="Comma 16 6" xfId="40320"/>
    <cellStyle name="Comma 16 6 2" xfId="40321"/>
    <cellStyle name="Comma 16 6 2 2" xfId="40322"/>
    <cellStyle name="Comma 16 6 2 2 2" xfId="40323"/>
    <cellStyle name="Comma 16 6 2 2 3" xfId="40324"/>
    <cellStyle name="Comma 16 6 2 3" xfId="40325"/>
    <cellStyle name="Comma 16 6 2 3 2" xfId="40326"/>
    <cellStyle name="Comma 16 6 2 3 3" xfId="40327"/>
    <cellStyle name="Comma 16 6 2 4" xfId="40328"/>
    <cellStyle name="Comma 16 6 2 4 2" xfId="40329"/>
    <cellStyle name="Comma 16 6 2 5" xfId="40330"/>
    <cellStyle name="Comma 16 6 2 6" xfId="40331"/>
    <cellStyle name="Comma 16 6 3" xfId="40332"/>
    <cellStyle name="Comma 16 6 3 2" xfId="40333"/>
    <cellStyle name="Comma 16 6 3 2 2" xfId="40334"/>
    <cellStyle name="Comma 16 6 3 2 3" xfId="40335"/>
    <cellStyle name="Comma 16 6 3 3" xfId="40336"/>
    <cellStyle name="Comma 16 6 3 3 2" xfId="40337"/>
    <cellStyle name="Comma 16 6 3 3 3" xfId="40338"/>
    <cellStyle name="Comma 16 6 3 4" xfId="40339"/>
    <cellStyle name="Comma 16 6 3 4 2" xfId="40340"/>
    <cellStyle name="Comma 16 6 3 5" xfId="40341"/>
    <cellStyle name="Comma 16 6 3 6" xfId="40342"/>
    <cellStyle name="Comma 16 6 4" xfId="40343"/>
    <cellStyle name="Comma 16 6 4 2" xfId="40344"/>
    <cellStyle name="Comma 16 6 4 2 2" xfId="40345"/>
    <cellStyle name="Comma 16 6 4 2 3" xfId="40346"/>
    <cellStyle name="Comma 16 6 4 3" xfId="40347"/>
    <cellStyle name="Comma 16 6 4 3 2" xfId="40348"/>
    <cellStyle name="Comma 16 6 4 4" xfId="40349"/>
    <cellStyle name="Comma 16 6 4 5" xfId="40350"/>
    <cellStyle name="Comma 16 6 5" xfId="40351"/>
    <cellStyle name="Comma 16 6 5 2" xfId="40352"/>
    <cellStyle name="Comma 16 6 5 3" xfId="40353"/>
    <cellStyle name="Comma 16 6 6" xfId="40354"/>
    <cellStyle name="Comma 16 6 6 2" xfId="40355"/>
    <cellStyle name="Comma 16 6 6 3" xfId="40356"/>
    <cellStyle name="Comma 16 6 7" xfId="40357"/>
    <cellStyle name="Comma 16 6 7 2" xfId="40358"/>
    <cellStyle name="Comma 16 6 8" xfId="40359"/>
    <cellStyle name="Comma 16 6 9" xfId="40360"/>
    <cellStyle name="Comma 16 7" xfId="40361"/>
    <cellStyle name="Comma 16 7 2" xfId="40362"/>
    <cellStyle name="Comma 16 7 2 2" xfId="40363"/>
    <cellStyle name="Comma 16 7 2 2 2" xfId="40364"/>
    <cellStyle name="Comma 16 7 2 2 3" xfId="40365"/>
    <cellStyle name="Comma 16 7 2 3" xfId="40366"/>
    <cellStyle name="Comma 16 7 2 3 2" xfId="40367"/>
    <cellStyle name="Comma 16 7 2 3 3" xfId="40368"/>
    <cellStyle name="Comma 16 7 2 4" xfId="40369"/>
    <cellStyle name="Comma 16 7 2 4 2" xfId="40370"/>
    <cellStyle name="Comma 16 7 2 5" xfId="40371"/>
    <cellStyle name="Comma 16 7 2 6" xfId="40372"/>
    <cellStyle name="Comma 16 7 3" xfId="40373"/>
    <cellStyle name="Comma 16 7 3 2" xfId="40374"/>
    <cellStyle name="Comma 16 7 3 2 2" xfId="40375"/>
    <cellStyle name="Comma 16 7 3 2 3" xfId="40376"/>
    <cellStyle name="Comma 16 7 3 3" xfId="40377"/>
    <cellStyle name="Comma 16 7 3 3 2" xfId="40378"/>
    <cellStyle name="Comma 16 7 3 3 3" xfId="40379"/>
    <cellStyle name="Comma 16 7 3 4" xfId="40380"/>
    <cellStyle name="Comma 16 7 3 4 2" xfId="40381"/>
    <cellStyle name="Comma 16 7 3 5" xfId="40382"/>
    <cellStyle name="Comma 16 7 3 6" xfId="40383"/>
    <cellStyle name="Comma 16 7 4" xfId="40384"/>
    <cellStyle name="Comma 16 7 4 2" xfId="40385"/>
    <cellStyle name="Comma 16 7 4 2 2" xfId="40386"/>
    <cellStyle name="Comma 16 7 4 2 3" xfId="40387"/>
    <cellStyle name="Comma 16 7 4 3" xfId="40388"/>
    <cellStyle name="Comma 16 7 4 3 2" xfId="40389"/>
    <cellStyle name="Comma 16 7 4 4" xfId="40390"/>
    <cellStyle name="Comma 16 7 4 5" xfId="40391"/>
    <cellStyle name="Comma 16 7 5" xfId="40392"/>
    <cellStyle name="Comma 16 7 5 2" xfId="40393"/>
    <cellStyle name="Comma 16 7 5 3" xfId="40394"/>
    <cellStyle name="Comma 16 7 6" xfId="40395"/>
    <cellStyle name="Comma 16 7 6 2" xfId="40396"/>
    <cellStyle name="Comma 16 7 6 3" xfId="40397"/>
    <cellStyle name="Comma 16 7 7" xfId="40398"/>
    <cellStyle name="Comma 16 7 7 2" xfId="40399"/>
    <cellStyle name="Comma 16 7 8" xfId="40400"/>
    <cellStyle name="Comma 16 7 9" xfId="40401"/>
    <cellStyle name="Comma 16 8" xfId="40402"/>
    <cellStyle name="Comma 16 8 2" xfId="40403"/>
    <cellStyle name="Comma 16 8 2 2" xfId="40404"/>
    <cellStyle name="Comma 16 8 2 3" xfId="40405"/>
    <cellStyle name="Comma 16 8 3" xfId="40406"/>
    <cellStyle name="Comma 16 8 3 2" xfId="40407"/>
    <cellStyle name="Comma 16 8 3 3" xfId="40408"/>
    <cellStyle name="Comma 16 8 4" xfId="40409"/>
    <cellStyle name="Comma 16 8 4 2" xfId="40410"/>
    <cellStyle name="Comma 16 8 5" xfId="40411"/>
    <cellStyle name="Comma 16 8 6" xfId="40412"/>
    <cellStyle name="Comma 16 9" xfId="40413"/>
    <cellStyle name="Comma 16 9 2" xfId="40414"/>
    <cellStyle name="Comma 16 9 2 2" xfId="40415"/>
    <cellStyle name="Comma 16 9 2 3" xfId="40416"/>
    <cellStyle name="Comma 16 9 3" xfId="40417"/>
    <cellStyle name="Comma 16 9 3 2" xfId="40418"/>
    <cellStyle name="Comma 16 9 3 3" xfId="40419"/>
    <cellStyle name="Comma 16 9 4" xfId="40420"/>
    <cellStyle name="Comma 16 9 4 2" xfId="40421"/>
    <cellStyle name="Comma 16 9 5" xfId="40422"/>
    <cellStyle name="Comma 16 9 6" xfId="40423"/>
    <cellStyle name="Comma 17" xfId="3245"/>
    <cellStyle name="Comma 17 10" xfId="40424"/>
    <cellStyle name="Comma 17 10 2" xfId="40425"/>
    <cellStyle name="Comma 17 10 2 2" xfId="40426"/>
    <cellStyle name="Comma 17 10 2 3" xfId="40427"/>
    <cellStyle name="Comma 17 10 3" xfId="40428"/>
    <cellStyle name="Comma 17 10 3 2" xfId="40429"/>
    <cellStyle name="Comma 17 10 4" xfId="40430"/>
    <cellStyle name="Comma 17 10 5" xfId="40431"/>
    <cellStyle name="Comma 17 11" xfId="40432"/>
    <cellStyle name="Comma 17 11 2" xfId="40433"/>
    <cellStyle name="Comma 17 11 3" xfId="40434"/>
    <cellStyle name="Comma 17 12" xfId="40435"/>
    <cellStyle name="Comma 17 12 2" xfId="40436"/>
    <cellStyle name="Comma 17 12 3" xfId="40437"/>
    <cellStyle name="Comma 17 13" xfId="40438"/>
    <cellStyle name="Comma 17 13 2" xfId="40439"/>
    <cellStyle name="Comma 17 14" xfId="40440"/>
    <cellStyle name="Comma 17 15" xfId="40441"/>
    <cellStyle name="Comma 17 16" xfId="40442"/>
    <cellStyle name="Comma 17 2" xfId="3246"/>
    <cellStyle name="Comma 17 2 10" xfId="40443"/>
    <cellStyle name="Comma 17 2 10 2" xfId="40444"/>
    <cellStyle name="Comma 17 2 10 3" xfId="40445"/>
    <cellStyle name="Comma 17 2 11" xfId="40446"/>
    <cellStyle name="Comma 17 2 11 2" xfId="40447"/>
    <cellStyle name="Comma 17 2 11 3" xfId="40448"/>
    <cellStyle name="Comma 17 2 12" xfId="40449"/>
    <cellStyle name="Comma 17 2 12 2" xfId="40450"/>
    <cellStyle name="Comma 17 2 13" xfId="40451"/>
    <cellStyle name="Comma 17 2 14" xfId="40452"/>
    <cellStyle name="Comma 17 2 2" xfId="40453"/>
    <cellStyle name="Comma 17 2 2 10" xfId="40454"/>
    <cellStyle name="Comma 17 2 2 10 2" xfId="40455"/>
    <cellStyle name="Comma 17 2 2 10 3" xfId="40456"/>
    <cellStyle name="Comma 17 2 2 11" xfId="40457"/>
    <cellStyle name="Comma 17 2 2 11 2" xfId="40458"/>
    <cellStyle name="Comma 17 2 2 12" xfId="40459"/>
    <cellStyle name="Comma 17 2 2 13" xfId="40460"/>
    <cellStyle name="Comma 17 2 2 2" xfId="40461"/>
    <cellStyle name="Comma 17 2 2 2 10" xfId="40462"/>
    <cellStyle name="Comma 17 2 2 2 10 2" xfId="40463"/>
    <cellStyle name="Comma 17 2 2 2 11" xfId="40464"/>
    <cellStyle name="Comma 17 2 2 2 12" xfId="40465"/>
    <cellStyle name="Comma 17 2 2 2 2" xfId="40466"/>
    <cellStyle name="Comma 17 2 2 2 2 10" xfId="40467"/>
    <cellStyle name="Comma 17 2 2 2 2 2" xfId="40468"/>
    <cellStyle name="Comma 17 2 2 2 2 2 2" xfId="40469"/>
    <cellStyle name="Comma 17 2 2 2 2 2 2 2" xfId="40470"/>
    <cellStyle name="Comma 17 2 2 2 2 2 2 2 2" xfId="40471"/>
    <cellStyle name="Comma 17 2 2 2 2 2 2 2 3" xfId="40472"/>
    <cellStyle name="Comma 17 2 2 2 2 2 2 3" xfId="40473"/>
    <cellStyle name="Comma 17 2 2 2 2 2 2 3 2" xfId="40474"/>
    <cellStyle name="Comma 17 2 2 2 2 2 2 3 3" xfId="40475"/>
    <cellStyle name="Comma 17 2 2 2 2 2 2 4" xfId="40476"/>
    <cellStyle name="Comma 17 2 2 2 2 2 2 4 2" xfId="40477"/>
    <cellStyle name="Comma 17 2 2 2 2 2 2 5" xfId="40478"/>
    <cellStyle name="Comma 17 2 2 2 2 2 2 6" xfId="40479"/>
    <cellStyle name="Comma 17 2 2 2 2 2 3" xfId="40480"/>
    <cellStyle name="Comma 17 2 2 2 2 2 3 2" xfId="40481"/>
    <cellStyle name="Comma 17 2 2 2 2 2 3 2 2" xfId="40482"/>
    <cellStyle name="Comma 17 2 2 2 2 2 3 2 3" xfId="40483"/>
    <cellStyle name="Comma 17 2 2 2 2 2 3 3" xfId="40484"/>
    <cellStyle name="Comma 17 2 2 2 2 2 3 3 2" xfId="40485"/>
    <cellStyle name="Comma 17 2 2 2 2 2 3 3 3" xfId="40486"/>
    <cellStyle name="Comma 17 2 2 2 2 2 3 4" xfId="40487"/>
    <cellStyle name="Comma 17 2 2 2 2 2 3 4 2" xfId="40488"/>
    <cellStyle name="Comma 17 2 2 2 2 2 3 5" xfId="40489"/>
    <cellStyle name="Comma 17 2 2 2 2 2 3 6" xfId="40490"/>
    <cellStyle name="Comma 17 2 2 2 2 2 4" xfId="40491"/>
    <cellStyle name="Comma 17 2 2 2 2 2 4 2" xfId="40492"/>
    <cellStyle name="Comma 17 2 2 2 2 2 4 2 2" xfId="40493"/>
    <cellStyle name="Comma 17 2 2 2 2 2 4 2 3" xfId="40494"/>
    <cellStyle name="Comma 17 2 2 2 2 2 4 3" xfId="40495"/>
    <cellStyle name="Comma 17 2 2 2 2 2 4 3 2" xfId="40496"/>
    <cellStyle name="Comma 17 2 2 2 2 2 4 4" xfId="40497"/>
    <cellStyle name="Comma 17 2 2 2 2 2 4 5" xfId="40498"/>
    <cellStyle name="Comma 17 2 2 2 2 2 5" xfId="40499"/>
    <cellStyle name="Comma 17 2 2 2 2 2 5 2" xfId="40500"/>
    <cellStyle name="Comma 17 2 2 2 2 2 5 3" xfId="40501"/>
    <cellStyle name="Comma 17 2 2 2 2 2 6" xfId="40502"/>
    <cellStyle name="Comma 17 2 2 2 2 2 6 2" xfId="40503"/>
    <cellStyle name="Comma 17 2 2 2 2 2 6 3" xfId="40504"/>
    <cellStyle name="Comma 17 2 2 2 2 2 7" xfId="40505"/>
    <cellStyle name="Comma 17 2 2 2 2 2 7 2" xfId="40506"/>
    <cellStyle name="Comma 17 2 2 2 2 2 8" xfId="40507"/>
    <cellStyle name="Comma 17 2 2 2 2 2 9" xfId="40508"/>
    <cellStyle name="Comma 17 2 2 2 2 3" xfId="40509"/>
    <cellStyle name="Comma 17 2 2 2 2 3 2" xfId="40510"/>
    <cellStyle name="Comma 17 2 2 2 2 3 2 2" xfId="40511"/>
    <cellStyle name="Comma 17 2 2 2 2 3 2 3" xfId="40512"/>
    <cellStyle name="Comma 17 2 2 2 2 3 3" xfId="40513"/>
    <cellStyle name="Comma 17 2 2 2 2 3 3 2" xfId="40514"/>
    <cellStyle name="Comma 17 2 2 2 2 3 3 3" xfId="40515"/>
    <cellStyle name="Comma 17 2 2 2 2 3 4" xfId="40516"/>
    <cellStyle name="Comma 17 2 2 2 2 3 4 2" xfId="40517"/>
    <cellStyle name="Comma 17 2 2 2 2 3 5" xfId="40518"/>
    <cellStyle name="Comma 17 2 2 2 2 3 6" xfId="40519"/>
    <cellStyle name="Comma 17 2 2 2 2 4" xfId="40520"/>
    <cellStyle name="Comma 17 2 2 2 2 4 2" xfId="40521"/>
    <cellStyle name="Comma 17 2 2 2 2 4 2 2" xfId="40522"/>
    <cellStyle name="Comma 17 2 2 2 2 4 2 3" xfId="40523"/>
    <cellStyle name="Comma 17 2 2 2 2 4 3" xfId="40524"/>
    <cellStyle name="Comma 17 2 2 2 2 4 3 2" xfId="40525"/>
    <cellStyle name="Comma 17 2 2 2 2 4 3 3" xfId="40526"/>
    <cellStyle name="Comma 17 2 2 2 2 4 4" xfId="40527"/>
    <cellStyle name="Comma 17 2 2 2 2 4 4 2" xfId="40528"/>
    <cellStyle name="Comma 17 2 2 2 2 4 5" xfId="40529"/>
    <cellStyle name="Comma 17 2 2 2 2 4 6" xfId="40530"/>
    <cellStyle name="Comma 17 2 2 2 2 5" xfId="40531"/>
    <cellStyle name="Comma 17 2 2 2 2 5 2" xfId="40532"/>
    <cellStyle name="Comma 17 2 2 2 2 5 2 2" xfId="40533"/>
    <cellStyle name="Comma 17 2 2 2 2 5 2 3" xfId="40534"/>
    <cellStyle name="Comma 17 2 2 2 2 5 3" xfId="40535"/>
    <cellStyle name="Comma 17 2 2 2 2 5 3 2" xfId="40536"/>
    <cellStyle name="Comma 17 2 2 2 2 5 4" xfId="40537"/>
    <cellStyle name="Comma 17 2 2 2 2 5 5" xfId="40538"/>
    <cellStyle name="Comma 17 2 2 2 2 6" xfId="40539"/>
    <cellStyle name="Comma 17 2 2 2 2 6 2" xfId="40540"/>
    <cellStyle name="Comma 17 2 2 2 2 6 3" xfId="40541"/>
    <cellStyle name="Comma 17 2 2 2 2 7" xfId="40542"/>
    <cellStyle name="Comma 17 2 2 2 2 7 2" xfId="40543"/>
    <cellStyle name="Comma 17 2 2 2 2 7 3" xfId="40544"/>
    <cellStyle name="Comma 17 2 2 2 2 8" xfId="40545"/>
    <cellStyle name="Comma 17 2 2 2 2 8 2" xfId="40546"/>
    <cellStyle name="Comma 17 2 2 2 2 9" xfId="40547"/>
    <cellStyle name="Comma 17 2 2 2 3" xfId="40548"/>
    <cellStyle name="Comma 17 2 2 2 3 2" xfId="40549"/>
    <cellStyle name="Comma 17 2 2 2 3 2 2" xfId="40550"/>
    <cellStyle name="Comma 17 2 2 2 3 2 2 2" xfId="40551"/>
    <cellStyle name="Comma 17 2 2 2 3 2 2 3" xfId="40552"/>
    <cellStyle name="Comma 17 2 2 2 3 2 3" xfId="40553"/>
    <cellStyle name="Comma 17 2 2 2 3 2 3 2" xfId="40554"/>
    <cellStyle name="Comma 17 2 2 2 3 2 3 3" xfId="40555"/>
    <cellStyle name="Comma 17 2 2 2 3 2 4" xfId="40556"/>
    <cellStyle name="Comma 17 2 2 2 3 2 4 2" xfId="40557"/>
    <cellStyle name="Comma 17 2 2 2 3 2 5" xfId="40558"/>
    <cellStyle name="Comma 17 2 2 2 3 2 6" xfId="40559"/>
    <cellStyle name="Comma 17 2 2 2 3 3" xfId="40560"/>
    <cellStyle name="Comma 17 2 2 2 3 3 2" xfId="40561"/>
    <cellStyle name="Comma 17 2 2 2 3 3 2 2" xfId="40562"/>
    <cellStyle name="Comma 17 2 2 2 3 3 2 3" xfId="40563"/>
    <cellStyle name="Comma 17 2 2 2 3 3 3" xfId="40564"/>
    <cellStyle name="Comma 17 2 2 2 3 3 3 2" xfId="40565"/>
    <cellStyle name="Comma 17 2 2 2 3 3 3 3" xfId="40566"/>
    <cellStyle name="Comma 17 2 2 2 3 3 4" xfId="40567"/>
    <cellStyle name="Comma 17 2 2 2 3 3 4 2" xfId="40568"/>
    <cellStyle name="Comma 17 2 2 2 3 3 5" xfId="40569"/>
    <cellStyle name="Comma 17 2 2 2 3 3 6" xfId="40570"/>
    <cellStyle name="Comma 17 2 2 2 3 4" xfId="40571"/>
    <cellStyle name="Comma 17 2 2 2 3 4 2" xfId="40572"/>
    <cellStyle name="Comma 17 2 2 2 3 4 2 2" xfId="40573"/>
    <cellStyle name="Comma 17 2 2 2 3 4 2 3" xfId="40574"/>
    <cellStyle name="Comma 17 2 2 2 3 4 3" xfId="40575"/>
    <cellStyle name="Comma 17 2 2 2 3 4 3 2" xfId="40576"/>
    <cellStyle name="Comma 17 2 2 2 3 4 4" xfId="40577"/>
    <cellStyle name="Comma 17 2 2 2 3 4 5" xfId="40578"/>
    <cellStyle name="Comma 17 2 2 2 3 5" xfId="40579"/>
    <cellStyle name="Comma 17 2 2 2 3 5 2" xfId="40580"/>
    <cellStyle name="Comma 17 2 2 2 3 5 3" xfId="40581"/>
    <cellStyle name="Comma 17 2 2 2 3 6" xfId="40582"/>
    <cellStyle name="Comma 17 2 2 2 3 6 2" xfId="40583"/>
    <cellStyle name="Comma 17 2 2 2 3 6 3" xfId="40584"/>
    <cellStyle name="Comma 17 2 2 2 3 7" xfId="40585"/>
    <cellStyle name="Comma 17 2 2 2 3 7 2" xfId="40586"/>
    <cellStyle name="Comma 17 2 2 2 3 8" xfId="40587"/>
    <cellStyle name="Comma 17 2 2 2 3 9" xfId="40588"/>
    <cellStyle name="Comma 17 2 2 2 4" xfId="40589"/>
    <cellStyle name="Comma 17 2 2 2 4 2" xfId="40590"/>
    <cellStyle name="Comma 17 2 2 2 4 2 2" xfId="40591"/>
    <cellStyle name="Comma 17 2 2 2 4 2 2 2" xfId="40592"/>
    <cellStyle name="Comma 17 2 2 2 4 2 2 3" xfId="40593"/>
    <cellStyle name="Comma 17 2 2 2 4 2 3" xfId="40594"/>
    <cellStyle name="Comma 17 2 2 2 4 2 3 2" xfId="40595"/>
    <cellStyle name="Comma 17 2 2 2 4 2 3 3" xfId="40596"/>
    <cellStyle name="Comma 17 2 2 2 4 2 4" xfId="40597"/>
    <cellStyle name="Comma 17 2 2 2 4 2 4 2" xfId="40598"/>
    <cellStyle name="Comma 17 2 2 2 4 2 5" xfId="40599"/>
    <cellStyle name="Comma 17 2 2 2 4 2 6" xfId="40600"/>
    <cellStyle name="Comma 17 2 2 2 4 3" xfId="40601"/>
    <cellStyle name="Comma 17 2 2 2 4 3 2" xfId="40602"/>
    <cellStyle name="Comma 17 2 2 2 4 3 2 2" xfId="40603"/>
    <cellStyle name="Comma 17 2 2 2 4 3 2 3" xfId="40604"/>
    <cellStyle name="Comma 17 2 2 2 4 3 3" xfId="40605"/>
    <cellStyle name="Comma 17 2 2 2 4 3 3 2" xfId="40606"/>
    <cellStyle name="Comma 17 2 2 2 4 3 3 3" xfId="40607"/>
    <cellStyle name="Comma 17 2 2 2 4 3 4" xfId="40608"/>
    <cellStyle name="Comma 17 2 2 2 4 3 4 2" xfId="40609"/>
    <cellStyle name="Comma 17 2 2 2 4 3 5" xfId="40610"/>
    <cellStyle name="Comma 17 2 2 2 4 3 6" xfId="40611"/>
    <cellStyle name="Comma 17 2 2 2 4 4" xfId="40612"/>
    <cellStyle name="Comma 17 2 2 2 4 4 2" xfId="40613"/>
    <cellStyle name="Comma 17 2 2 2 4 4 2 2" xfId="40614"/>
    <cellStyle name="Comma 17 2 2 2 4 4 2 3" xfId="40615"/>
    <cellStyle name="Comma 17 2 2 2 4 4 3" xfId="40616"/>
    <cellStyle name="Comma 17 2 2 2 4 4 3 2" xfId="40617"/>
    <cellStyle name="Comma 17 2 2 2 4 4 4" xfId="40618"/>
    <cellStyle name="Comma 17 2 2 2 4 4 5" xfId="40619"/>
    <cellStyle name="Comma 17 2 2 2 4 5" xfId="40620"/>
    <cellStyle name="Comma 17 2 2 2 4 5 2" xfId="40621"/>
    <cellStyle name="Comma 17 2 2 2 4 5 3" xfId="40622"/>
    <cellStyle name="Comma 17 2 2 2 4 6" xfId="40623"/>
    <cellStyle name="Comma 17 2 2 2 4 6 2" xfId="40624"/>
    <cellStyle name="Comma 17 2 2 2 4 6 3" xfId="40625"/>
    <cellStyle name="Comma 17 2 2 2 4 7" xfId="40626"/>
    <cellStyle name="Comma 17 2 2 2 4 7 2" xfId="40627"/>
    <cellStyle name="Comma 17 2 2 2 4 8" xfId="40628"/>
    <cellStyle name="Comma 17 2 2 2 4 9" xfId="40629"/>
    <cellStyle name="Comma 17 2 2 2 5" xfId="40630"/>
    <cellStyle name="Comma 17 2 2 2 5 2" xfId="40631"/>
    <cellStyle name="Comma 17 2 2 2 5 2 2" xfId="40632"/>
    <cellStyle name="Comma 17 2 2 2 5 2 3" xfId="40633"/>
    <cellStyle name="Comma 17 2 2 2 5 3" xfId="40634"/>
    <cellStyle name="Comma 17 2 2 2 5 3 2" xfId="40635"/>
    <cellStyle name="Comma 17 2 2 2 5 3 3" xfId="40636"/>
    <cellStyle name="Comma 17 2 2 2 5 4" xfId="40637"/>
    <cellStyle name="Comma 17 2 2 2 5 4 2" xfId="40638"/>
    <cellStyle name="Comma 17 2 2 2 5 5" xfId="40639"/>
    <cellStyle name="Comma 17 2 2 2 5 6" xfId="40640"/>
    <cellStyle name="Comma 17 2 2 2 6" xfId="40641"/>
    <cellStyle name="Comma 17 2 2 2 6 2" xfId="40642"/>
    <cellStyle name="Comma 17 2 2 2 6 2 2" xfId="40643"/>
    <cellStyle name="Comma 17 2 2 2 6 2 3" xfId="40644"/>
    <cellStyle name="Comma 17 2 2 2 6 3" xfId="40645"/>
    <cellStyle name="Comma 17 2 2 2 6 3 2" xfId="40646"/>
    <cellStyle name="Comma 17 2 2 2 6 3 3" xfId="40647"/>
    <cellStyle name="Comma 17 2 2 2 6 4" xfId="40648"/>
    <cellStyle name="Comma 17 2 2 2 6 4 2" xfId="40649"/>
    <cellStyle name="Comma 17 2 2 2 6 5" xfId="40650"/>
    <cellStyle name="Comma 17 2 2 2 6 6" xfId="40651"/>
    <cellStyle name="Comma 17 2 2 2 7" xfId="40652"/>
    <cellStyle name="Comma 17 2 2 2 7 2" xfId="40653"/>
    <cellStyle name="Comma 17 2 2 2 7 2 2" xfId="40654"/>
    <cellStyle name="Comma 17 2 2 2 7 2 3" xfId="40655"/>
    <cellStyle name="Comma 17 2 2 2 7 3" xfId="40656"/>
    <cellStyle name="Comma 17 2 2 2 7 3 2" xfId="40657"/>
    <cellStyle name="Comma 17 2 2 2 7 4" xfId="40658"/>
    <cellStyle name="Comma 17 2 2 2 7 5" xfId="40659"/>
    <cellStyle name="Comma 17 2 2 2 8" xfId="40660"/>
    <cellStyle name="Comma 17 2 2 2 8 2" xfId="40661"/>
    <cellStyle name="Comma 17 2 2 2 8 3" xfId="40662"/>
    <cellStyle name="Comma 17 2 2 2 9" xfId="40663"/>
    <cellStyle name="Comma 17 2 2 2 9 2" xfId="40664"/>
    <cellStyle name="Comma 17 2 2 2 9 3" xfId="40665"/>
    <cellStyle name="Comma 17 2 2 3" xfId="40666"/>
    <cellStyle name="Comma 17 2 2 3 10" xfId="40667"/>
    <cellStyle name="Comma 17 2 2 3 2" xfId="40668"/>
    <cellStyle name="Comma 17 2 2 3 2 2" xfId="40669"/>
    <cellStyle name="Comma 17 2 2 3 2 2 2" xfId="40670"/>
    <cellStyle name="Comma 17 2 2 3 2 2 2 2" xfId="40671"/>
    <cellStyle name="Comma 17 2 2 3 2 2 2 3" xfId="40672"/>
    <cellStyle name="Comma 17 2 2 3 2 2 3" xfId="40673"/>
    <cellStyle name="Comma 17 2 2 3 2 2 3 2" xfId="40674"/>
    <cellStyle name="Comma 17 2 2 3 2 2 3 3" xfId="40675"/>
    <cellStyle name="Comma 17 2 2 3 2 2 4" xfId="40676"/>
    <cellStyle name="Comma 17 2 2 3 2 2 4 2" xfId="40677"/>
    <cellStyle name="Comma 17 2 2 3 2 2 5" xfId="40678"/>
    <cellStyle name="Comma 17 2 2 3 2 2 6" xfId="40679"/>
    <cellStyle name="Comma 17 2 2 3 2 3" xfId="40680"/>
    <cellStyle name="Comma 17 2 2 3 2 3 2" xfId="40681"/>
    <cellStyle name="Comma 17 2 2 3 2 3 2 2" xfId="40682"/>
    <cellStyle name="Comma 17 2 2 3 2 3 2 3" xfId="40683"/>
    <cellStyle name="Comma 17 2 2 3 2 3 3" xfId="40684"/>
    <cellStyle name="Comma 17 2 2 3 2 3 3 2" xfId="40685"/>
    <cellStyle name="Comma 17 2 2 3 2 3 3 3" xfId="40686"/>
    <cellStyle name="Comma 17 2 2 3 2 3 4" xfId="40687"/>
    <cellStyle name="Comma 17 2 2 3 2 3 4 2" xfId="40688"/>
    <cellStyle name="Comma 17 2 2 3 2 3 5" xfId="40689"/>
    <cellStyle name="Comma 17 2 2 3 2 3 6" xfId="40690"/>
    <cellStyle name="Comma 17 2 2 3 2 4" xfId="40691"/>
    <cellStyle name="Comma 17 2 2 3 2 4 2" xfId="40692"/>
    <cellStyle name="Comma 17 2 2 3 2 4 2 2" xfId="40693"/>
    <cellStyle name="Comma 17 2 2 3 2 4 2 3" xfId="40694"/>
    <cellStyle name="Comma 17 2 2 3 2 4 3" xfId="40695"/>
    <cellStyle name="Comma 17 2 2 3 2 4 3 2" xfId="40696"/>
    <cellStyle name="Comma 17 2 2 3 2 4 4" xfId="40697"/>
    <cellStyle name="Comma 17 2 2 3 2 4 5" xfId="40698"/>
    <cellStyle name="Comma 17 2 2 3 2 5" xfId="40699"/>
    <cellStyle name="Comma 17 2 2 3 2 5 2" xfId="40700"/>
    <cellStyle name="Comma 17 2 2 3 2 5 3" xfId="40701"/>
    <cellStyle name="Comma 17 2 2 3 2 6" xfId="40702"/>
    <cellStyle name="Comma 17 2 2 3 2 6 2" xfId="40703"/>
    <cellStyle name="Comma 17 2 2 3 2 6 3" xfId="40704"/>
    <cellStyle name="Comma 17 2 2 3 2 7" xfId="40705"/>
    <cellStyle name="Comma 17 2 2 3 2 7 2" xfId="40706"/>
    <cellStyle name="Comma 17 2 2 3 2 8" xfId="40707"/>
    <cellStyle name="Comma 17 2 2 3 2 9" xfId="40708"/>
    <cellStyle name="Comma 17 2 2 3 3" xfId="40709"/>
    <cellStyle name="Comma 17 2 2 3 3 2" xfId="40710"/>
    <cellStyle name="Comma 17 2 2 3 3 2 2" xfId="40711"/>
    <cellStyle name="Comma 17 2 2 3 3 2 3" xfId="40712"/>
    <cellStyle name="Comma 17 2 2 3 3 3" xfId="40713"/>
    <cellStyle name="Comma 17 2 2 3 3 3 2" xfId="40714"/>
    <cellStyle name="Comma 17 2 2 3 3 3 3" xfId="40715"/>
    <cellStyle name="Comma 17 2 2 3 3 4" xfId="40716"/>
    <cellStyle name="Comma 17 2 2 3 3 4 2" xfId="40717"/>
    <cellStyle name="Comma 17 2 2 3 3 5" xfId="40718"/>
    <cellStyle name="Comma 17 2 2 3 3 6" xfId="40719"/>
    <cellStyle name="Comma 17 2 2 3 4" xfId="40720"/>
    <cellStyle name="Comma 17 2 2 3 4 2" xfId="40721"/>
    <cellStyle name="Comma 17 2 2 3 4 2 2" xfId="40722"/>
    <cellStyle name="Comma 17 2 2 3 4 2 3" xfId="40723"/>
    <cellStyle name="Comma 17 2 2 3 4 3" xfId="40724"/>
    <cellStyle name="Comma 17 2 2 3 4 3 2" xfId="40725"/>
    <cellStyle name="Comma 17 2 2 3 4 3 3" xfId="40726"/>
    <cellStyle name="Comma 17 2 2 3 4 4" xfId="40727"/>
    <cellStyle name="Comma 17 2 2 3 4 4 2" xfId="40728"/>
    <cellStyle name="Comma 17 2 2 3 4 5" xfId="40729"/>
    <cellStyle name="Comma 17 2 2 3 4 6" xfId="40730"/>
    <cellStyle name="Comma 17 2 2 3 5" xfId="40731"/>
    <cellStyle name="Comma 17 2 2 3 5 2" xfId="40732"/>
    <cellStyle name="Comma 17 2 2 3 5 2 2" xfId="40733"/>
    <cellStyle name="Comma 17 2 2 3 5 2 3" xfId="40734"/>
    <cellStyle name="Comma 17 2 2 3 5 3" xfId="40735"/>
    <cellStyle name="Comma 17 2 2 3 5 3 2" xfId="40736"/>
    <cellStyle name="Comma 17 2 2 3 5 4" xfId="40737"/>
    <cellStyle name="Comma 17 2 2 3 5 5" xfId="40738"/>
    <cellStyle name="Comma 17 2 2 3 6" xfId="40739"/>
    <cellStyle name="Comma 17 2 2 3 6 2" xfId="40740"/>
    <cellStyle name="Comma 17 2 2 3 6 3" xfId="40741"/>
    <cellStyle name="Comma 17 2 2 3 7" xfId="40742"/>
    <cellStyle name="Comma 17 2 2 3 7 2" xfId="40743"/>
    <cellStyle name="Comma 17 2 2 3 7 3" xfId="40744"/>
    <cellStyle name="Comma 17 2 2 3 8" xfId="40745"/>
    <cellStyle name="Comma 17 2 2 3 8 2" xfId="40746"/>
    <cellStyle name="Comma 17 2 2 3 9" xfId="40747"/>
    <cellStyle name="Comma 17 2 2 4" xfId="40748"/>
    <cellStyle name="Comma 17 2 2 4 2" xfId="40749"/>
    <cellStyle name="Comma 17 2 2 4 2 2" xfId="40750"/>
    <cellStyle name="Comma 17 2 2 4 2 2 2" xfId="40751"/>
    <cellStyle name="Comma 17 2 2 4 2 2 3" xfId="40752"/>
    <cellStyle name="Comma 17 2 2 4 2 3" xfId="40753"/>
    <cellStyle name="Comma 17 2 2 4 2 3 2" xfId="40754"/>
    <cellStyle name="Comma 17 2 2 4 2 3 3" xfId="40755"/>
    <cellStyle name="Comma 17 2 2 4 2 4" xfId="40756"/>
    <cellStyle name="Comma 17 2 2 4 2 4 2" xfId="40757"/>
    <cellStyle name="Comma 17 2 2 4 2 5" xfId="40758"/>
    <cellStyle name="Comma 17 2 2 4 2 6" xfId="40759"/>
    <cellStyle name="Comma 17 2 2 4 3" xfId="40760"/>
    <cellStyle name="Comma 17 2 2 4 3 2" xfId="40761"/>
    <cellStyle name="Comma 17 2 2 4 3 2 2" xfId="40762"/>
    <cellStyle name="Comma 17 2 2 4 3 2 3" xfId="40763"/>
    <cellStyle name="Comma 17 2 2 4 3 3" xfId="40764"/>
    <cellStyle name="Comma 17 2 2 4 3 3 2" xfId="40765"/>
    <cellStyle name="Comma 17 2 2 4 3 3 3" xfId="40766"/>
    <cellStyle name="Comma 17 2 2 4 3 4" xfId="40767"/>
    <cellStyle name="Comma 17 2 2 4 3 4 2" xfId="40768"/>
    <cellStyle name="Comma 17 2 2 4 3 5" xfId="40769"/>
    <cellStyle name="Comma 17 2 2 4 3 6" xfId="40770"/>
    <cellStyle name="Comma 17 2 2 4 4" xfId="40771"/>
    <cellStyle name="Comma 17 2 2 4 4 2" xfId="40772"/>
    <cellStyle name="Comma 17 2 2 4 4 2 2" xfId="40773"/>
    <cellStyle name="Comma 17 2 2 4 4 2 3" xfId="40774"/>
    <cellStyle name="Comma 17 2 2 4 4 3" xfId="40775"/>
    <cellStyle name="Comma 17 2 2 4 4 3 2" xfId="40776"/>
    <cellStyle name="Comma 17 2 2 4 4 4" xfId="40777"/>
    <cellStyle name="Comma 17 2 2 4 4 5" xfId="40778"/>
    <cellStyle name="Comma 17 2 2 4 5" xfId="40779"/>
    <cellStyle name="Comma 17 2 2 4 5 2" xfId="40780"/>
    <cellStyle name="Comma 17 2 2 4 5 3" xfId="40781"/>
    <cellStyle name="Comma 17 2 2 4 6" xfId="40782"/>
    <cellStyle name="Comma 17 2 2 4 6 2" xfId="40783"/>
    <cellStyle name="Comma 17 2 2 4 6 3" xfId="40784"/>
    <cellStyle name="Comma 17 2 2 4 7" xfId="40785"/>
    <cellStyle name="Comma 17 2 2 4 7 2" xfId="40786"/>
    <cellStyle name="Comma 17 2 2 4 8" xfId="40787"/>
    <cellStyle name="Comma 17 2 2 4 9" xfId="40788"/>
    <cellStyle name="Comma 17 2 2 5" xfId="40789"/>
    <cellStyle name="Comma 17 2 2 5 2" xfId="40790"/>
    <cellStyle name="Comma 17 2 2 5 2 2" xfId="40791"/>
    <cellStyle name="Comma 17 2 2 5 2 2 2" xfId="40792"/>
    <cellStyle name="Comma 17 2 2 5 2 2 3" xfId="40793"/>
    <cellStyle name="Comma 17 2 2 5 2 3" xfId="40794"/>
    <cellStyle name="Comma 17 2 2 5 2 3 2" xfId="40795"/>
    <cellStyle name="Comma 17 2 2 5 2 3 3" xfId="40796"/>
    <cellStyle name="Comma 17 2 2 5 2 4" xfId="40797"/>
    <cellStyle name="Comma 17 2 2 5 2 4 2" xfId="40798"/>
    <cellStyle name="Comma 17 2 2 5 2 5" xfId="40799"/>
    <cellStyle name="Comma 17 2 2 5 2 6" xfId="40800"/>
    <cellStyle name="Comma 17 2 2 5 3" xfId="40801"/>
    <cellStyle name="Comma 17 2 2 5 3 2" xfId="40802"/>
    <cellStyle name="Comma 17 2 2 5 3 2 2" xfId="40803"/>
    <cellStyle name="Comma 17 2 2 5 3 2 3" xfId="40804"/>
    <cellStyle name="Comma 17 2 2 5 3 3" xfId="40805"/>
    <cellStyle name="Comma 17 2 2 5 3 3 2" xfId="40806"/>
    <cellStyle name="Comma 17 2 2 5 3 3 3" xfId="40807"/>
    <cellStyle name="Comma 17 2 2 5 3 4" xfId="40808"/>
    <cellStyle name="Comma 17 2 2 5 3 4 2" xfId="40809"/>
    <cellStyle name="Comma 17 2 2 5 3 5" xfId="40810"/>
    <cellStyle name="Comma 17 2 2 5 3 6" xfId="40811"/>
    <cellStyle name="Comma 17 2 2 5 4" xfId="40812"/>
    <cellStyle name="Comma 17 2 2 5 4 2" xfId="40813"/>
    <cellStyle name="Comma 17 2 2 5 4 2 2" xfId="40814"/>
    <cellStyle name="Comma 17 2 2 5 4 2 3" xfId="40815"/>
    <cellStyle name="Comma 17 2 2 5 4 3" xfId="40816"/>
    <cellStyle name="Comma 17 2 2 5 4 3 2" xfId="40817"/>
    <cellStyle name="Comma 17 2 2 5 4 4" xfId="40818"/>
    <cellStyle name="Comma 17 2 2 5 4 5" xfId="40819"/>
    <cellStyle name="Comma 17 2 2 5 5" xfId="40820"/>
    <cellStyle name="Comma 17 2 2 5 5 2" xfId="40821"/>
    <cellStyle name="Comma 17 2 2 5 5 3" xfId="40822"/>
    <cellStyle name="Comma 17 2 2 5 6" xfId="40823"/>
    <cellStyle name="Comma 17 2 2 5 6 2" xfId="40824"/>
    <cellStyle name="Comma 17 2 2 5 6 3" xfId="40825"/>
    <cellStyle name="Comma 17 2 2 5 7" xfId="40826"/>
    <cellStyle name="Comma 17 2 2 5 7 2" xfId="40827"/>
    <cellStyle name="Comma 17 2 2 5 8" xfId="40828"/>
    <cellStyle name="Comma 17 2 2 5 9" xfId="40829"/>
    <cellStyle name="Comma 17 2 2 6" xfId="40830"/>
    <cellStyle name="Comma 17 2 2 6 2" xfId="40831"/>
    <cellStyle name="Comma 17 2 2 6 2 2" xfId="40832"/>
    <cellStyle name="Comma 17 2 2 6 2 3" xfId="40833"/>
    <cellStyle name="Comma 17 2 2 6 3" xfId="40834"/>
    <cellStyle name="Comma 17 2 2 6 3 2" xfId="40835"/>
    <cellStyle name="Comma 17 2 2 6 3 3" xfId="40836"/>
    <cellStyle name="Comma 17 2 2 6 4" xfId="40837"/>
    <cellStyle name="Comma 17 2 2 6 4 2" xfId="40838"/>
    <cellStyle name="Comma 17 2 2 6 5" xfId="40839"/>
    <cellStyle name="Comma 17 2 2 6 6" xfId="40840"/>
    <cellStyle name="Comma 17 2 2 7" xfId="40841"/>
    <cellStyle name="Comma 17 2 2 7 2" xfId="40842"/>
    <cellStyle name="Comma 17 2 2 7 2 2" xfId="40843"/>
    <cellStyle name="Comma 17 2 2 7 2 3" xfId="40844"/>
    <cellStyle name="Comma 17 2 2 7 3" xfId="40845"/>
    <cellStyle name="Comma 17 2 2 7 3 2" xfId="40846"/>
    <cellStyle name="Comma 17 2 2 7 3 3" xfId="40847"/>
    <cellStyle name="Comma 17 2 2 7 4" xfId="40848"/>
    <cellStyle name="Comma 17 2 2 7 4 2" xfId="40849"/>
    <cellStyle name="Comma 17 2 2 7 5" xfId="40850"/>
    <cellStyle name="Comma 17 2 2 7 6" xfId="40851"/>
    <cellStyle name="Comma 17 2 2 8" xfId="40852"/>
    <cellStyle name="Comma 17 2 2 8 2" xfId="40853"/>
    <cellStyle name="Comma 17 2 2 8 2 2" xfId="40854"/>
    <cellStyle name="Comma 17 2 2 8 2 3" xfId="40855"/>
    <cellStyle name="Comma 17 2 2 8 3" xfId="40856"/>
    <cellStyle name="Comma 17 2 2 8 3 2" xfId="40857"/>
    <cellStyle name="Comma 17 2 2 8 4" xfId="40858"/>
    <cellStyle name="Comma 17 2 2 8 5" xfId="40859"/>
    <cellStyle name="Comma 17 2 2 9" xfId="40860"/>
    <cellStyle name="Comma 17 2 2 9 2" xfId="40861"/>
    <cellStyle name="Comma 17 2 2 9 3" xfId="40862"/>
    <cellStyle name="Comma 17 2 3" xfId="40863"/>
    <cellStyle name="Comma 17 2 3 10" xfId="40864"/>
    <cellStyle name="Comma 17 2 3 10 2" xfId="40865"/>
    <cellStyle name="Comma 17 2 3 11" xfId="40866"/>
    <cellStyle name="Comma 17 2 3 12" xfId="40867"/>
    <cellStyle name="Comma 17 2 3 2" xfId="40868"/>
    <cellStyle name="Comma 17 2 3 2 10" xfId="40869"/>
    <cellStyle name="Comma 17 2 3 2 2" xfId="40870"/>
    <cellStyle name="Comma 17 2 3 2 2 2" xfId="40871"/>
    <cellStyle name="Comma 17 2 3 2 2 2 2" xfId="40872"/>
    <cellStyle name="Comma 17 2 3 2 2 2 2 2" xfId="40873"/>
    <cellStyle name="Comma 17 2 3 2 2 2 2 3" xfId="40874"/>
    <cellStyle name="Comma 17 2 3 2 2 2 3" xfId="40875"/>
    <cellStyle name="Comma 17 2 3 2 2 2 3 2" xfId="40876"/>
    <cellStyle name="Comma 17 2 3 2 2 2 3 3" xfId="40877"/>
    <cellStyle name="Comma 17 2 3 2 2 2 4" xfId="40878"/>
    <cellStyle name="Comma 17 2 3 2 2 2 4 2" xfId="40879"/>
    <cellStyle name="Comma 17 2 3 2 2 2 5" xfId="40880"/>
    <cellStyle name="Comma 17 2 3 2 2 2 6" xfId="40881"/>
    <cellStyle name="Comma 17 2 3 2 2 3" xfId="40882"/>
    <cellStyle name="Comma 17 2 3 2 2 3 2" xfId="40883"/>
    <cellStyle name="Comma 17 2 3 2 2 3 2 2" xfId="40884"/>
    <cellStyle name="Comma 17 2 3 2 2 3 2 3" xfId="40885"/>
    <cellStyle name="Comma 17 2 3 2 2 3 3" xfId="40886"/>
    <cellStyle name="Comma 17 2 3 2 2 3 3 2" xfId="40887"/>
    <cellStyle name="Comma 17 2 3 2 2 3 3 3" xfId="40888"/>
    <cellStyle name="Comma 17 2 3 2 2 3 4" xfId="40889"/>
    <cellStyle name="Comma 17 2 3 2 2 3 4 2" xfId="40890"/>
    <cellStyle name="Comma 17 2 3 2 2 3 5" xfId="40891"/>
    <cellStyle name="Comma 17 2 3 2 2 3 6" xfId="40892"/>
    <cellStyle name="Comma 17 2 3 2 2 4" xfId="40893"/>
    <cellStyle name="Comma 17 2 3 2 2 4 2" xfId="40894"/>
    <cellStyle name="Comma 17 2 3 2 2 4 2 2" xfId="40895"/>
    <cellStyle name="Comma 17 2 3 2 2 4 2 3" xfId="40896"/>
    <cellStyle name="Comma 17 2 3 2 2 4 3" xfId="40897"/>
    <cellStyle name="Comma 17 2 3 2 2 4 3 2" xfId="40898"/>
    <cellStyle name="Comma 17 2 3 2 2 4 4" xfId="40899"/>
    <cellStyle name="Comma 17 2 3 2 2 4 5" xfId="40900"/>
    <cellStyle name="Comma 17 2 3 2 2 5" xfId="40901"/>
    <cellStyle name="Comma 17 2 3 2 2 5 2" xfId="40902"/>
    <cellStyle name="Comma 17 2 3 2 2 5 3" xfId="40903"/>
    <cellStyle name="Comma 17 2 3 2 2 6" xfId="40904"/>
    <cellStyle name="Comma 17 2 3 2 2 6 2" xfId="40905"/>
    <cellStyle name="Comma 17 2 3 2 2 6 3" xfId="40906"/>
    <cellStyle name="Comma 17 2 3 2 2 7" xfId="40907"/>
    <cellStyle name="Comma 17 2 3 2 2 7 2" xfId="40908"/>
    <cellStyle name="Comma 17 2 3 2 2 8" xfId="40909"/>
    <cellStyle name="Comma 17 2 3 2 2 9" xfId="40910"/>
    <cellStyle name="Comma 17 2 3 2 3" xfId="40911"/>
    <cellStyle name="Comma 17 2 3 2 3 2" xfId="40912"/>
    <cellStyle name="Comma 17 2 3 2 3 2 2" xfId="40913"/>
    <cellStyle name="Comma 17 2 3 2 3 2 3" xfId="40914"/>
    <cellStyle name="Comma 17 2 3 2 3 3" xfId="40915"/>
    <cellStyle name="Comma 17 2 3 2 3 3 2" xfId="40916"/>
    <cellStyle name="Comma 17 2 3 2 3 3 3" xfId="40917"/>
    <cellStyle name="Comma 17 2 3 2 3 4" xfId="40918"/>
    <cellStyle name="Comma 17 2 3 2 3 4 2" xfId="40919"/>
    <cellStyle name="Comma 17 2 3 2 3 5" xfId="40920"/>
    <cellStyle name="Comma 17 2 3 2 3 6" xfId="40921"/>
    <cellStyle name="Comma 17 2 3 2 4" xfId="40922"/>
    <cellStyle name="Comma 17 2 3 2 4 2" xfId="40923"/>
    <cellStyle name="Comma 17 2 3 2 4 2 2" xfId="40924"/>
    <cellStyle name="Comma 17 2 3 2 4 2 3" xfId="40925"/>
    <cellStyle name="Comma 17 2 3 2 4 3" xfId="40926"/>
    <cellStyle name="Comma 17 2 3 2 4 3 2" xfId="40927"/>
    <cellStyle name="Comma 17 2 3 2 4 3 3" xfId="40928"/>
    <cellStyle name="Comma 17 2 3 2 4 4" xfId="40929"/>
    <cellStyle name="Comma 17 2 3 2 4 4 2" xfId="40930"/>
    <cellStyle name="Comma 17 2 3 2 4 5" xfId="40931"/>
    <cellStyle name="Comma 17 2 3 2 4 6" xfId="40932"/>
    <cellStyle name="Comma 17 2 3 2 5" xfId="40933"/>
    <cellStyle name="Comma 17 2 3 2 5 2" xfId="40934"/>
    <cellStyle name="Comma 17 2 3 2 5 2 2" xfId="40935"/>
    <cellStyle name="Comma 17 2 3 2 5 2 3" xfId="40936"/>
    <cellStyle name="Comma 17 2 3 2 5 3" xfId="40937"/>
    <cellStyle name="Comma 17 2 3 2 5 3 2" xfId="40938"/>
    <cellStyle name="Comma 17 2 3 2 5 4" xfId="40939"/>
    <cellStyle name="Comma 17 2 3 2 5 5" xfId="40940"/>
    <cellStyle name="Comma 17 2 3 2 6" xfId="40941"/>
    <cellStyle name="Comma 17 2 3 2 6 2" xfId="40942"/>
    <cellStyle name="Comma 17 2 3 2 6 3" xfId="40943"/>
    <cellStyle name="Comma 17 2 3 2 7" xfId="40944"/>
    <cellStyle name="Comma 17 2 3 2 7 2" xfId="40945"/>
    <cellStyle name="Comma 17 2 3 2 7 3" xfId="40946"/>
    <cellStyle name="Comma 17 2 3 2 8" xfId="40947"/>
    <cellStyle name="Comma 17 2 3 2 8 2" xfId="40948"/>
    <cellStyle name="Comma 17 2 3 2 9" xfId="40949"/>
    <cellStyle name="Comma 17 2 3 3" xfId="40950"/>
    <cellStyle name="Comma 17 2 3 3 2" xfId="40951"/>
    <cellStyle name="Comma 17 2 3 3 2 2" xfId="40952"/>
    <cellStyle name="Comma 17 2 3 3 2 2 2" xfId="40953"/>
    <cellStyle name="Comma 17 2 3 3 2 2 3" xfId="40954"/>
    <cellStyle name="Comma 17 2 3 3 2 3" xfId="40955"/>
    <cellStyle name="Comma 17 2 3 3 2 3 2" xfId="40956"/>
    <cellStyle name="Comma 17 2 3 3 2 3 3" xfId="40957"/>
    <cellStyle name="Comma 17 2 3 3 2 4" xfId="40958"/>
    <cellStyle name="Comma 17 2 3 3 2 4 2" xfId="40959"/>
    <cellStyle name="Comma 17 2 3 3 2 5" xfId="40960"/>
    <cellStyle name="Comma 17 2 3 3 2 6" xfId="40961"/>
    <cellStyle name="Comma 17 2 3 3 3" xfId="40962"/>
    <cellStyle name="Comma 17 2 3 3 3 2" xfId="40963"/>
    <cellStyle name="Comma 17 2 3 3 3 2 2" xfId="40964"/>
    <cellStyle name="Comma 17 2 3 3 3 2 3" xfId="40965"/>
    <cellStyle name="Comma 17 2 3 3 3 3" xfId="40966"/>
    <cellStyle name="Comma 17 2 3 3 3 3 2" xfId="40967"/>
    <cellStyle name="Comma 17 2 3 3 3 3 3" xfId="40968"/>
    <cellStyle name="Comma 17 2 3 3 3 4" xfId="40969"/>
    <cellStyle name="Comma 17 2 3 3 3 4 2" xfId="40970"/>
    <cellStyle name="Comma 17 2 3 3 3 5" xfId="40971"/>
    <cellStyle name="Comma 17 2 3 3 3 6" xfId="40972"/>
    <cellStyle name="Comma 17 2 3 3 4" xfId="40973"/>
    <cellStyle name="Comma 17 2 3 3 4 2" xfId="40974"/>
    <cellStyle name="Comma 17 2 3 3 4 2 2" xfId="40975"/>
    <cellStyle name="Comma 17 2 3 3 4 2 3" xfId="40976"/>
    <cellStyle name="Comma 17 2 3 3 4 3" xfId="40977"/>
    <cellStyle name="Comma 17 2 3 3 4 3 2" xfId="40978"/>
    <cellStyle name="Comma 17 2 3 3 4 4" xfId="40979"/>
    <cellStyle name="Comma 17 2 3 3 4 5" xfId="40980"/>
    <cellStyle name="Comma 17 2 3 3 5" xfId="40981"/>
    <cellStyle name="Comma 17 2 3 3 5 2" xfId="40982"/>
    <cellStyle name="Comma 17 2 3 3 5 3" xfId="40983"/>
    <cellStyle name="Comma 17 2 3 3 6" xfId="40984"/>
    <cellStyle name="Comma 17 2 3 3 6 2" xfId="40985"/>
    <cellStyle name="Comma 17 2 3 3 6 3" xfId="40986"/>
    <cellStyle name="Comma 17 2 3 3 7" xfId="40987"/>
    <cellStyle name="Comma 17 2 3 3 7 2" xfId="40988"/>
    <cellStyle name="Comma 17 2 3 3 8" xfId="40989"/>
    <cellStyle name="Comma 17 2 3 3 9" xfId="40990"/>
    <cellStyle name="Comma 17 2 3 4" xfId="40991"/>
    <cellStyle name="Comma 17 2 3 4 2" xfId="40992"/>
    <cellStyle name="Comma 17 2 3 4 2 2" xfId="40993"/>
    <cellStyle name="Comma 17 2 3 4 2 2 2" xfId="40994"/>
    <cellStyle name="Comma 17 2 3 4 2 2 3" xfId="40995"/>
    <cellStyle name="Comma 17 2 3 4 2 3" xfId="40996"/>
    <cellStyle name="Comma 17 2 3 4 2 3 2" xfId="40997"/>
    <cellStyle name="Comma 17 2 3 4 2 3 3" xfId="40998"/>
    <cellStyle name="Comma 17 2 3 4 2 4" xfId="40999"/>
    <cellStyle name="Comma 17 2 3 4 2 4 2" xfId="41000"/>
    <cellStyle name="Comma 17 2 3 4 2 5" xfId="41001"/>
    <cellStyle name="Comma 17 2 3 4 2 6" xfId="41002"/>
    <cellStyle name="Comma 17 2 3 4 3" xfId="41003"/>
    <cellStyle name="Comma 17 2 3 4 3 2" xfId="41004"/>
    <cellStyle name="Comma 17 2 3 4 3 2 2" xfId="41005"/>
    <cellStyle name="Comma 17 2 3 4 3 2 3" xfId="41006"/>
    <cellStyle name="Comma 17 2 3 4 3 3" xfId="41007"/>
    <cellStyle name="Comma 17 2 3 4 3 3 2" xfId="41008"/>
    <cellStyle name="Comma 17 2 3 4 3 3 3" xfId="41009"/>
    <cellStyle name="Comma 17 2 3 4 3 4" xfId="41010"/>
    <cellStyle name="Comma 17 2 3 4 3 4 2" xfId="41011"/>
    <cellStyle name="Comma 17 2 3 4 3 5" xfId="41012"/>
    <cellStyle name="Comma 17 2 3 4 3 6" xfId="41013"/>
    <cellStyle name="Comma 17 2 3 4 4" xfId="41014"/>
    <cellStyle name="Comma 17 2 3 4 4 2" xfId="41015"/>
    <cellStyle name="Comma 17 2 3 4 4 2 2" xfId="41016"/>
    <cellStyle name="Comma 17 2 3 4 4 2 3" xfId="41017"/>
    <cellStyle name="Comma 17 2 3 4 4 3" xfId="41018"/>
    <cellStyle name="Comma 17 2 3 4 4 3 2" xfId="41019"/>
    <cellStyle name="Comma 17 2 3 4 4 4" xfId="41020"/>
    <cellStyle name="Comma 17 2 3 4 4 5" xfId="41021"/>
    <cellStyle name="Comma 17 2 3 4 5" xfId="41022"/>
    <cellStyle name="Comma 17 2 3 4 5 2" xfId="41023"/>
    <cellStyle name="Comma 17 2 3 4 5 3" xfId="41024"/>
    <cellStyle name="Comma 17 2 3 4 6" xfId="41025"/>
    <cellStyle name="Comma 17 2 3 4 6 2" xfId="41026"/>
    <cellStyle name="Comma 17 2 3 4 6 3" xfId="41027"/>
    <cellStyle name="Comma 17 2 3 4 7" xfId="41028"/>
    <cellStyle name="Comma 17 2 3 4 7 2" xfId="41029"/>
    <cellStyle name="Comma 17 2 3 4 8" xfId="41030"/>
    <cellStyle name="Comma 17 2 3 4 9" xfId="41031"/>
    <cellStyle name="Comma 17 2 3 5" xfId="41032"/>
    <cellStyle name="Comma 17 2 3 5 2" xfId="41033"/>
    <cellStyle name="Comma 17 2 3 5 2 2" xfId="41034"/>
    <cellStyle name="Comma 17 2 3 5 2 3" xfId="41035"/>
    <cellStyle name="Comma 17 2 3 5 3" xfId="41036"/>
    <cellStyle name="Comma 17 2 3 5 3 2" xfId="41037"/>
    <cellStyle name="Comma 17 2 3 5 3 3" xfId="41038"/>
    <cellStyle name="Comma 17 2 3 5 4" xfId="41039"/>
    <cellStyle name="Comma 17 2 3 5 4 2" xfId="41040"/>
    <cellStyle name="Comma 17 2 3 5 5" xfId="41041"/>
    <cellStyle name="Comma 17 2 3 5 6" xfId="41042"/>
    <cellStyle name="Comma 17 2 3 6" xfId="41043"/>
    <cellStyle name="Comma 17 2 3 6 2" xfId="41044"/>
    <cellStyle name="Comma 17 2 3 6 2 2" xfId="41045"/>
    <cellStyle name="Comma 17 2 3 6 2 3" xfId="41046"/>
    <cellStyle name="Comma 17 2 3 6 3" xfId="41047"/>
    <cellStyle name="Comma 17 2 3 6 3 2" xfId="41048"/>
    <cellStyle name="Comma 17 2 3 6 3 3" xfId="41049"/>
    <cellStyle name="Comma 17 2 3 6 4" xfId="41050"/>
    <cellStyle name="Comma 17 2 3 6 4 2" xfId="41051"/>
    <cellStyle name="Comma 17 2 3 6 5" xfId="41052"/>
    <cellStyle name="Comma 17 2 3 6 6" xfId="41053"/>
    <cellStyle name="Comma 17 2 3 7" xfId="41054"/>
    <cellStyle name="Comma 17 2 3 7 2" xfId="41055"/>
    <cellStyle name="Comma 17 2 3 7 2 2" xfId="41056"/>
    <cellStyle name="Comma 17 2 3 7 2 3" xfId="41057"/>
    <cellStyle name="Comma 17 2 3 7 3" xfId="41058"/>
    <cellStyle name="Comma 17 2 3 7 3 2" xfId="41059"/>
    <cellStyle name="Comma 17 2 3 7 4" xfId="41060"/>
    <cellStyle name="Comma 17 2 3 7 5" xfId="41061"/>
    <cellStyle name="Comma 17 2 3 8" xfId="41062"/>
    <cellStyle name="Comma 17 2 3 8 2" xfId="41063"/>
    <cellStyle name="Comma 17 2 3 8 3" xfId="41064"/>
    <cellStyle name="Comma 17 2 3 9" xfId="41065"/>
    <cellStyle name="Comma 17 2 3 9 2" xfId="41066"/>
    <cellStyle name="Comma 17 2 3 9 3" xfId="41067"/>
    <cellStyle name="Comma 17 2 4" xfId="41068"/>
    <cellStyle name="Comma 17 2 4 10" xfId="41069"/>
    <cellStyle name="Comma 17 2 4 2" xfId="41070"/>
    <cellStyle name="Comma 17 2 4 2 2" xfId="41071"/>
    <cellStyle name="Comma 17 2 4 2 2 2" xfId="41072"/>
    <cellStyle name="Comma 17 2 4 2 2 2 2" xfId="41073"/>
    <cellStyle name="Comma 17 2 4 2 2 2 3" xfId="41074"/>
    <cellStyle name="Comma 17 2 4 2 2 3" xfId="41075"/>
    <cellStyle name="Comma 17 2 4 2 2 3 2" xfId="41076"/>
    <cellStyle name="Comma 17 2 4 2 2 3 3" xfId="41077"/>
    <cellStyle name="Comma 17 2 4 2 2 4" xfId="41078"/>
    <cellStyle name="Comma 17 2 4 2 2 4 2" xfId="41079"/>
    <cellStyle name="Comma 17 2 4 2 2 5" xfId="41080"/>
    <cellStyle name="Comma 17 2 4 2 2 6" xfId="41081"/>
    <cellStyle name="Comma 17 2 4 2 3" xfId="41082"/>
    <cellStyle name="Comma 17 2 4 2 3 2" xfId="41083"/>
    <cellStyle name="Comma 17 2 4 2 3 2 2" xfId="41084"/>
    <cellStyle name="Comma 17 2 4 2 3 2 3" xfId="41085"/>
    <cellStyle name="Comma 17 2 4 2 3 3" xfId="41086"/>
    <cellStyle name="Comma 17 2 4 2 3 3 2" xfId="41087"/>
    <cellStyle name="Comma 17 2 4 2 3 3 3" xfId="41088"/>
    <cellStyle name="Comma 17 2 4 2 3 4" xfId="41089"/>
    <cellStyle name="Comma 17 2 4 2 3 4 2" xfId="41090"/>
    <cellStyle name="Comma 17 2 4 2 3 5" xfId="41091"/>
    <cellStyle name="Comma 17 2 4 2 3 6" xfId="41092"/>
    <cellStyle name="Comma 17 2 4 2 4" xfId="41093"/>
    <cellStyle name="Comma 17 2 4 2 4 2" xfId="41094"/>
    <cellStyle name="Comma 17 2 4 2 4 2 2" xfId="41095"/>
    <cellStyle name="Comma 17 2 4 2 4 2 3" xfId="41096"/>
    <cellStyle name="Comma 17 2 4 2 4 3" xfId="41097"/>
    <cellStyle name="Comma 17 2 4 2 4 3 2" xfId="41098"/>
    <cellStyle name="Comma 17 2 4 2 4 4" xfId="41099"/>
    <cellStyle name="Comma 17 2 4 2 4 5" xfId="41100"/>
    <cellStyle name="Comma 17 2 4 2 5" xfId="41101"/>
    <cellStyle name="Comma 17 2 4 2 5 2" xfId="41102"/>
    <cellStyle name="Comma 17 2 4 2 5 3" xfId="41103"/>
    <cellStyle name="Comma 17 2 4 2 6" xfId="41104"/>
    <cellStyle name="Comma 17 2 4 2 6 2" xfId="41105"/>
    <cellStyle name="Comma 17 2 4 2 6 3" xfId="41106"/>
    <cellStyle name="Comma 17 2 4 2 7" xfId="41107"/>
    <cellStyle name="Comma 17 2 4 2 7 2" xfId="41108"/>
    <cellStyle name="Comma 17 2 4 2 8" xfId="41109"/>
    <cellStyle name="Comma 17 2 4 2 9" xfId="41110"/>
    <cellStyle name="Comma 17 2 4 3" xfId="41111"/>
    <cellStyle name="Comma 17 2 4 3 2" xfId="41112"/>
    <cellStyle name="Comma 17 2 4 3 2 2" xfId="41113"/>
    <cellStyle name="Comma 17 2 4 3 2 3" xfId="41114"/>
    <cellStyle name="Comma 17 2 4 3 3" xfId="41115"/>
    <cellStyle name="Comma 17 2 4 3 3 2" xfId="41116"/>
    <cellStyle name="Comma 17 2 4 3 3 3" xfId="41117"/>
    <cellStyle name="Comma 17 2 4 3 4" xfId="41118"/>
    <cellStyle name="Comma 17 2 4 3 4 2" xfId="41119"/>
    <cellStyle name="Comma 17 2 4 3 5" xfId="41120"/>
    <cellStyle name="Comma 17 2 4 3 6" xfId="41121"/>
    <cellStyle name="Comma 17 2 4 4" xfId="41122"/>
    <cellStyle name="Comma 17 2 4 4 2" xfId="41123"/>
    <cellStyle name="Comma 17 2 4 4 2 2" xfId="41124"/>
    <cellStyle name="Comma 17 2 4 4 2 3" xfId="41125"/>
    <cellStyle name="Comma 17 2 4 4 3" xfId="41126"/>
    <cellStyle name="Comma 17 2 4 4 3 2" xfId="41127"/>
    <cellStyle name="Comma 17 2 4 4 3 3" xfId="41128"/>
    <cellStyle name="Comma 17 2 4 4 4" xfId="41129"/>
    <cellStyle name="Comma 17 2 4 4 4 2" xfId="41130"/>
    <cellStyle name="Comma 17 2 4 4 5" xfId="41131"/>
    <cellStyle name="Comma 17 2 4 4 6" xfId="41132"/>
    <cellStyle name="Comma 17 2 4 5" xfId="41133"/>
    <cellStyle name="Comma 17 2 4 5 2" xfId="41134"/>
    <cellStyle name="Comma 17 2 4 5 2 2" xfId="41135"/>
    <cellStyle name="Comma 17 2 4 5 2 3" xfId="41136"/>
    <cellStyle name="Comma 17 2 4 5 3" xfId="41137"/>
    <cellStyle name="Comma 17 2 4 5 3 2" xfId="41138"/>
    <cellStyle name="Comma 17 2 4 5 4" xfId="41139"/>
    <cellStyle name="Comma 17 2 4 5 5" xfId="41140"/>
    <cellStyle name="Comma 17 2 4 6" xfId="41141"/>
    <cellStyle name="Comma 17 2 4 6 2" xfId="41142"/>
    <cellStyle name="Comma 17 2 4 6 3" xfId="41143"/>
    <cellStyle name="Comma 17 2 4 7" xfId="41144"/>
    <cellStyle name="Comma 17 2 4 7 2" xfId="41145"/>
    <cellStyle name="Comma 17 2 4 7 3" xfId="41146"/>
    <cellStyle name="Comma 17 2 4 8" xfId="41147"/>
    <cellStyle name="Comma 17 2 4 8 2" xfId="41148"/>
    <cellStyle name="Comma 17 2 4 9" xfId="41149"/>
    <cellStyle name="Comma 17 2 5" xfId="41150"/>
    <cellStyle name="Comma 17 2 5 2" xfId="41151"/>
    <cellStyle name="Comma 17 2 5 2 2" xfId="41152"/>
    <cellStyle name="Comma 17 2 5 2 2 2" xfId="41153"/>
    <cellStyle name="Comma 17 2 5 2 2 3" xfId="41154"/>
    <cellStyle name="Comma 17 2 5 2 3" xfId="41155"/>
    <cellStyle name="Comma 17 2 5 2 3 2" xfId="41156"/>
    <cellStyle name="Comma 17 2 5 2 3 3" xfId="41157"/>
    <cellStyle name="Comma 17 2 5 2 4" xfId="41158"/>
    <cellStyle name="Comma 17 2 5 2 4 2" xfId="41159"/>
    <cellStyle name="Comma 17 2 5 2 5" xfId="41160"/>
    <cellStyle name="Comma 17 2 5 2 6" xfId="41161"/>
    <cellStyle name="Comma 17 2 5 3" xfId="41162"/>
    <cellStyle name="Comma 17 2 5 3 2" xfId="41163"/>
    <cellStyle name="Comma 17 2 5 3 2 2" xfId="41164"/>
    <cellStyle name="Comma 17 2 5 3 2 3" xfId="41165"/>
    <cellStyle name="Comma 17 2 5 3 3" xfId="41166"/>
    <cellStyle name="Comma 17 2 5 3 3 2" xfId="41167"/>
    <cellStyle name="Comma 17 2 5 3 3 3" xfId="41168"/>
    <cellStyle name="Comma 17 2 5 3 4" xfId="41169"/>
    <cellStyle name="Comma 17 2 5 3 4 2" xfId="41170"/>
    <cellStyle name="Comma 17 2 5 3 5" xfId="41171"/>
    <cellStyle name="Comma 17 2 5 3 6" xfId="41172"/>
    <cellStyle name="Comma 17 2 5 4" xfId="41173"/>
    <cellStyle name="Comma 17 2 5 4 2" xfId="41174"/>
    <cellStyle name="Comma 17 2 5 4 2 2" xfId="41175"/>
    <cellStyle name="Comma 17 2 5 4 2 3" xfId="41176"/>
    <cellStyle name="Comma 17 2 5 4 3" xfId="41177"/>
    <cellStyle name="Comma 17 2 5 4 3 2" xfId="41178"/>
    <cellStyle name="Comma 17 2 5 4 4" xfId="41179"/>
    <cellStyle name="Comma 17 2 5 4 5" xfId="41180"/>
    <cellStyle name="Comma 17 2 5 5" xfId="41181"/>
    <cellStyle name="Comma 17 2 5 5 2" xfId="41182"/>
    <cellStyle name="Comma 17 2 5 5 3" xfId="41183"/>
    <cellStyle name="Comma 17 2 5 6" xfId="41184"/>
    <cellStyle name="Comma 17 2 5 6 2" xfId="41185"/>
    <cellStyle name="Comma 17 2 5 6 3" xfId="41186"/>
    <cellStyle name="Comma 17 2 5 7" xfId="41187"/>
    <cellStyle name="Comma 17 2 5 7 2" xfId="41188"/>
    <cellStyle name="Comma 17 2 5 8" xfId="41189"/>
    <cellStyle name="Comma 17 2 5 9" xfId="41190"/>
    <cellStyle name="Comma 17 2 6" xfId="41191"/>
    <cellStyle name="Comma 17 2 6 2" xfId="41192"/>
    <cellStyle name="Comma 17 2 6 2 2" xfId="41193"/>
    <cellStyle name="Comma 17 2 6 2 2 2" xfId="41194"/>
    <cellStyle name="Comma 17 2 6 2 2 3" xfId="41195"/>
    <cellStyle name="Comma 17 2 6 2 3" xfId="41196"/>
    <cellStyle name="Comma 17 2 6 2 3 2" xfId="41197"/>
    <cellStyle name="Comma 17 2 6 2 3 3" xfId="41198"/>
    <cellStyle name="Comma 17 2 6 2 4" xfId="41199"/>
    <cellStyle name="Comma 17 2 6 2 4 2" xfId="41200"/>
    <cellStyle name="Comma 17 2 6 2 5" xfId="41201"/>
    <cellStyle name="Comma 17 2 6 2 6" xfId="41202"/>
    <cellStyle name="Comma 17 2 6 3" xfId="41203"/>
    <cellStyle name="Comma 17 2 6 3 2" xfId="41204"/>
    <cellStyle name="Comma 17 2 6 3 2 2" xfId="41205"/>
    <cellStyle name="Comma 17 2 6 3 2 3" xfId="41206"/>
    <cellStyle name="Comma 17 2 6 3 3" xfId="41207"/>
    <cellStyle name="Comma 17 2 6 3 3 2" xfId="41208"/>
    <cellStyle name="Comma 17 2 6 3 3 3" xfId="41209"/>
    <cellStyle name="Comma 17 2 6 3 4" xfId="41210"/>
    <cellStyle name="Comma 17 2 6 3 4 2" xfId="41211"/>
    <cellStyle name="Comma 17 2 6 3 5" xfId="41212"/>
    <cellStyle name="Comma 17 2 6 3 6" xfId="41213"/>
    <cellStyle name="Comma 17 2 6 4" xfId="41214"/>
    <cellStyle name="Comma 17 2 6 4 2" xfId="41215"/>
    <cellStyle name="Comma 17 2 6 4 2 2" xfId="41216"/>
    <cellStyle name="Comma 17 2 6 4 2 3" xfId="41217"/>
    <cellStyle name="Comma 17 2 6 4 3" xfId="41218"/>
    <cellStyle name="Comma 17 2 6 4 3 2" xfId="41219"/>
    <cellStyle name="Comma 17 2 6 4 4" xfId="41220"/>
    <cellStyle name="Comma 17 2 6 4 5" xfId="41221"/>
    <cellStyle name="Comma 17 2 6 5" xfId="41222"/>
    <cellStyle name="Comma 17 2 6 5 2" xfId="41223"/>
    <cellStyle name="Comma 17 2 6 5 3" xfId="41224"/>
    <cellStyle name="Comma 17 2 6 6" xfId="41225"/>
    <cellStyle name="Comma 17 2 6 6 2" xfId="41226"/>
    <cellStyle name="Comma 17 2 6 6 3" xfId="41227"/>
    <cellStyle name="Comma 17 2 6 7" xfId="41228"/>
    <cellStyle name="Comma 17 2 6 7 2" xfId="41229"/>
    <cellStyle name="Comma 17 2 6 8" xfId="41230"/>
    <cellStyle name="Comma 17 2 6 9" xfId="41231"/>
    <cellStyle name="Comma 17 2 7" xfId="41232"/>
    <cellStyle name="Comma 17 2 7 2" xfId="41233"/>
    <cellStyle name="Comma 17 2 7 2 2" xfId="41234"/>
    <cellStyle name="Comma 17 2 7 2 3" xfId="41235"/>
    <cellStyle name="Comma 17 2 7 3" xfId="41236"/>
    <cellStyle name="Comma 17 2 7 3 2" xfId="41237"/>
    <cellStyle name="Comma 17 2 7 3 3" xfId="41238"/>
    <cellStyle name="Comma 17 2 7 4" xfId="41239"/>
    <cellStyle name="Comma 17 2 7 4 2" xfId="41240"/>
    <cellStyle name="Comma 17 2 7 5" xfId="41241"/>
    <cellStyle name="Comma 17 2 7 6" xfId="41242"/>
    <cellStyle name="Comma 17 2 8" xfId="41243"/>
    <cellStyle name="Comma 17 2 8 2" xfId="41244"/>
    <cellStyle name="Comma 17 2 8 2 2" xfId="41245"/>
    <cellStyle name="Comma 17 2 8 2 3" xfId="41246"/>
    <cellStyle name="Comma 17 2 8 3" xfId="41247"/>
    <cellStyle name="Comma 17 2 8 3 2" xfId="41248"/>
    <cellStyle name="Comma 17 2 8 3 3" xfId="41249"/>
    <cellStyle name="Comma 17 2 8 4" xfId="41250"/>
    <cellStyle name="Comma 17 2 8 4 2" xfId="41251"/>
    <cellStyle name="Comma 17 2 8 5" xfId="41252"/>
    <cellStyle name="Comma 17 2 8 6" xfId="41253"/>
    <cellStyle name="Comma 17 2 9" xfId="41254"/>
    <cellStyle name="Comma 17 2 9 2" xfId="41255"/>
    <cellStyle name="Comma 17 2 9 2 2" xfId="41256"/>
    <cellStyle name="Comma 17 2 9 2 3" xfId="41257"/>
    <cellStyle name="Comma 17 2 9 3" xfId="41258"/>
    <cellStyle name="Comma 17 2 9 3 2" xfId="41259"/>
    <cellStyle name="Comma 17 2 9 4" xfId="41260"/>
    <cellStyle name="Comma 17 2 9 5" xfId="41261"/>
    <cellStyle name="Comma 17 3" xfId="8782"/>
    <cellStyle name="Comma 17 3 10" xfId="41262"/>
    <cellStyle name="Comma 17 3 10 2" xfId="41263"/>
    <cellStyle name="Comma 17 3 10 3" xfId="41264"/>
    <cellStyle name="Comma 17 3 11" xfId="41265"/>
    <cellStyle name="Comma 17 3 11 2" xfId="41266"/>
    <cellStyle name="Comma 17 3 12" xfId="41267"/>
    <cellStyle name="Comma 17 3 13" xfId="41268"/>
    <cellStyle name="Comma 17 3 2" xfId="41269"/>
    <cellStyle name="Comma 17 3 2 10" xfId="41270"/>
    <cellStyle name="Comma 17 3 2 10 2" xfId="41271"/>
    <cellStyle name="Comma 17 3 2 11" xfId="41272"/>
    <cellStyle name="Comma 17 3 2 12" xfId="41273"/>
    <cellStyle name="Comma 17 3 2 2" xfId="41274"/>
    <cellStyle name="Comma 17 3 2 2 10" xfId="41275"/>
    <cellStyle name="Comma 17 3 2 2 2" xfId="41276"/>
    <cellStyle name="Comma 17 3 2 2 2 2" xfId="41277"/>
    <cellStyle name="Comma 17 3 2 2 2 2 2" xfId="41278"/>
    <cellStyle name="Comma 17 3 2 2 2 2 2 2" xfId="41279"/>
    <cellStyle name="Comma 17 3 2 2 2 2 2 3" xfId="41280"/>
    <cellStyle name="Comma 17 3 2 2 2 2 3" xfId="41281"/>
    <cellStyle name="Comma 17 3 2 2 2 2 3 2" xfId="41282"/>
    <cellStyle name="Comma 17 3 2 2 2 2 3 3" xfId="41283"/>
    <cellStyle name="Comma 17 3 2 2 2 2 4" xfId="41284"/>
    <cellStyle name="Comma 17 3 2 2 2 2 4 2" xfId="41285"/>
    <cellStyle name="Comma 17 3 2 2 2 2 5" xfId="41286"/>
    <cellStyle name="Comma 17 3 2 2 2 2 6" xfId="41287"/>
    <cellStyle name="Comma 17 3 2 2 2 3" xfId="41288"/>
    <cellStyle name="Comma 17 3 2 2 2 3 2" xfId="41289"/>
    <cellStyle name="Comma 17 3 2 2 2 3 2 2" xfId="41290"/>
    <cellStyle name="Comma 17 3 2 2 2 3 2 3" xfId="41291"/>
    <cellStyle name="Comma 17 3 2 2 2 3 3" xfId="41292"/>
    <cellStyle name="Comma 17 3 2 2 2 3 3 2" xfId="41293"/>
    <cellStyle name="Comma 17 3 2 2 2 3 3 3" xfId="41294"/>
    <cellStyle name="Comma 17 3 2 2 2 3 4" xfId="41295"/>
    <cellStyle name="Comma 17 3 2 2 2 3 4 2" xfId="41296"/>
    <cellStyle name="Comma 17 3 2 2 2 3 5" xfId="41297"/>
    <cellStyle name="Comma 17 3 2 2 2 3 6" xfId="41298"/>
    <cellStyle name="Comma 17 3 2 2 2 4" xfId="41299"/>
    <cellStyle name="Comma 17 3 2 2 2 4 2" xfId="41300"/>
    <cellStyle name="Comma 17 3 2 2 2 4 2 2" xfId="41301"/>
    <cellStyle name="Comma 17 3 2 2 2 4 2 3" xfId="41302"/>
    <cellStyle name="Comma 17 3 2 2 2 4 3" xfId="41303"/>
    <cellStyle name="Comma 17 3 2 2 2 4 3 2" xfId="41304"/>
    <cellStyle name="Comma 17 3 2 2 2 4 4" xfId="41305"/>
    <cellStyle name="Comma 17 3 2 2 2 4 5" xfId="41306"/>
    <cellStyle name="Comma 17 3 2 2 2 5" xfId="41307"/>
    <cellStyle name="Comma 17 3 2 2 2 5 2" xfId="41308"/>
    <cellStyle name="Comma 17 3 2 2 2 5 3" xfId="41309"/>
    <cellStyle name="Comma 17 3 2 2 2 6" xfId="41310"/>
    <cellStyle name="Comma 17 3 2 2 2 6 2" xfId="41311"/>
    <cellStyle name="Comma 17 3 2 2 2 6 3" xfId="41312"/>
    <cellStyle name="Comma 17 3 2 2 2 7" xfId="41313"/>
    <cellStyle name="Comma 17 3 2 2 2 7 2" xfId="41314"/>
    <cellStyle name="Comma 17 3 2 2 2 8" xfId="41315"/>
    <cellStyle name="Comma 17 3 2 2 2 9" xfId="41316"/>
    <cellStyle name="Comma 17 3 2 2 3" xfId="41317"/>
    <cellStyle name="Comma 17 3 2 2 3 2" xfId="41318"/>
    <cellStyle name="Comma 17 3 2 2 3 2 2" xfId="41319"/>
    <cellStyle name="Comma 17 3 2 2 3 2 3" xfId="41320"/>
    <cellStyle name="Comma 17 3 2 2 3 3" xfId="41321"/>
    <cellStyle name="Comma 17 3 2 2 3 3 2" xfId="41322"/>
    <cellStyle name="Comma 17 3 2 2 3 3 3" xfId="41323"/>
    <cellStyle name="Comma 17 3 2 2 3 4" xfId="41324"/>
    <cellStyle name="Comma 17 3 2 2 3 4 2" xfId="41325"/>
    <cellStyle name="Comma 17 3 2 2 3 5" xfId="41326"/>
    <cellStyle name="Comma 17 3 2 2 3 6" xfId="41327"/>
    <cellStyle name="Comma 17 3 2 2 4" xfId="41328"/>
    <cellStyle name="Comma 17 3 2 2 4 2" xfId="41329"/>
    <cellStyle name="Comma 17 3 2 2 4 2 2" xfId="41330"/>
    <cellStyle name="Comma 17 3 2 2 4 2 3" xfId="41331"/>
    <cellStyle name="Comma 17 3 2 2 4 3" xfId="41332"/>
    <cellStyle name="Comma 17 3 2 2 4 3 2" xfId="41333"/>
    <cellStyle name="Comma 17 3 2 2 4 3 3" xfId="41334"/>
    <cellStyle name="Comma 17 3 2 2 4 4" xfId="41335"/>
    <cellStyle name="Comma 17 3 2 2 4 4 2" xfId="41336"/>
    <cellStyle name="Comma 17 3 2 2 4 5" xfId="41337"/>
    <cellStyle name="Comma 17 3 2 2 4 6" xfId="41338"/>
    <cellStyle name="Comma 17 3 2 2 5" xfId="41339"/>
    <cellStyle name="Comma 17 3 2 2 5 2" xfId="41340"/>
    <cellStyle name="Comma 17 3 2 2 5 2 2" xfId="41341"/>
    <cellStyle name="Comma 17 3 2 2 5 2 3" xfId="41342"/>
    <cellStyle name="Comma 17 3 2 2 5 3" xfId="41343"/>
    <cellStyle name="Comma 17 3 2 2 5 3 2" xfId="41344"/>
    <cellStyle name="Comma 17 3 2 2 5 4" xfId="41345"/>
    <cellStyle name="Comma 17 3 2 2 5 5" xfId="41346"/>
    <cellStyle name="Comma 17 3 2 2 6" xfId="41347"/>
    <cellStyle name="Comma 17 3 2 2 6 2" xfId="41348"/>
    <cellStyle name="Comma 17 3 2 2 6 3" xfId="41349"/>
    <cellStyle name="Comma 17 3 2 2 7" xfId="41350"/>
    <cellStyle name="Comma 17 3 2 2 7 2" xfId="41351"/>
    <cellStyle name="Comma 17 3 2 2 7 3" xfId="41352"/>
    <cellStyle name="Comma 17 3 2 2 8" xfId="41353"/>
    <cellStyle name="Comma 17 3 2 2 8 2" xfId="41354"/>
    <cellStyle name="Comma 17 3 2 2 9" xfId="41355"/>
    <cellStyle name="Comma 17 3 2 3" xfId="41356"/>
    <cellStyle name="Comma 17 3 2 3 2" xfId="41357"/>
    <cellStyle name="Comma 17 3 2 3 2 2" xfId="41358"/>
    <cellStyle name="Comma 17 3 2 3 2 2 2" xfId="41359"/>
    <cellStyle name="Comma 17 3 2 3 2 2 3" xfId="41360"/>
    <cellStyle name="Comma 17 3 2 3 2 3" xfId="41361"/>
    <cellStyle name="Comma 17 3 2 3 2 3 2" xfId="41362"/>
    <cellStyle name="Comma 17 3 2 3 2 3 3" xfId="41363"/>
    <cellStyle name="Comma 17 3 2 3 2 4" xfId="41364"/>
    <cellStyle name="Comma 17 3 2 3 2 4 2" xfId="41365"/>
    <cellStyle name="Comma 17 3 2 3 2 5" xfId="41366"/>
    <cellStyle name="Comma 17 3 2 3 2 6" xfId="41367"/>
    <cellStyle name="Comma 17 3 2 3 3" xfId="41368"/>
    <cellStyle name="Comma 17 3 2 3 3 2" xfId="41369"/>
    <cellStyle name="Comma 17 3 2 3 3 2 2" xfId="41370"/>
    <cellStyle name="Comma 17 3 2 3 3 2 3" xfId="41371"/>
    <cellStyle name="Comma 17 3 2 3 3 3" xfId="41372"/>
    <cellStyle name="Comma 17 3 2 3 3 3 2" xfId="41373"/>
    <cellStyle name="Comma 17 3 2 3 3 3 3" xfId="41374"/>
    <cellStyle name="Comma 17 3 2 3 3 4" xfId="41375"/>
    <cellStyle name="Comma 17 3 2 3 3 4 2" xfId="41376"/>
    <cellStyle name="Comma 17 3 2 3 3 5" xfId="41377"/>
    <cellStyle name="Comma 17 3 2 3 3 6" xfId="41378"/>
    <cellStyle name="Comma 17 3 2 3 4" xfId="41379"/>
    <cellStyle name="Comma 17 3 2 3 4 2" xfId="41380"/>
    <cellStyle name="Comma 17 3 2 3 4 2 2" xfId="41381"/>
    <cellStyle name="Comma 17 3 2 3 4 2 3" xfId="41382"/>
    <cellStyle name="Comma 17 3 2 3 4 3" xfId="41383"/>
    <cellStyle name="Comma 17 3 2 3 4 3 2" xfId="41384"/>
    <cellStyle name="Comma 17 3 2 3 4 4" xfId="41385"/>
    <cellStyle name="Comma 17 3 2 3 4 5" xfId="41386"/>
    <cellStyle name="Comma 17 3 2 3 5" xfId="41387"/>
    <cellStyle name="Comma 17 3 2 3 5 2" xfId="41388"/>
    <cellStyle name="Comma 17 3 2 3 5 3" xfId="41389"/>
    <cellStyle name="Comma 17 3 2 3 6" xfId="41390"/>
    <cellStyle name="Comma 17 3 2 3 6 2" xfId="41391"/>
    <cellStyle name="Comma 17 3 2 3 6 3" xfId="41392"/>
    <cellStyle name="Comma 17 3 2 3 7" xfId="41393"/>
    <cellStyle name="Comma 17 3 2 3 7 2" xfId="41394"/>
    <cellStyle name="Comma 17 3 2 3 8" xfId="41395"/>
    <cellStyle name="Comma 17 3 2 3 9" xfId="41396"/>
    <cellStyle name="Comma 17 3 2 4" xfId="41397"/>
    <cellStyle name="Comma 17 3 2 4 2" xfId="41398"/>
    <cellStyle name="Comma 17 3 2 4 2 2" xfId="41399"/>
    <cellStyle name="Comma 17 3 2 4 2 2 2" xfId="41400"/>
    <cellStyle name="Comma 17 3 2 4 2 2 3" xfId="41401"/>
    <cellStyle name="Comma 17 3 2 4 2 3" xfId="41402"/>
    <cellStyle name="Comma 17 3 2 4 2 3 2" xfId="41403"/>
    <cellStyle name="Comma 17 3 2 4 2 3 3" xfId="41404"/>
    <cellStyle name="Comma 17 3 2 4 2 4" xfId="41405"/>
    <cellStyle name="Comma 17 3 2 4 2 4 2" xfId="41406"/>
    <cellStyle name="Comma 17 3 2 4 2 5" xfId="41407"/>
    <cellStyle name="Comma 17 3 2 4 2 6" xfId="41408"/>
    <cellStyle name="Comma 17 3 2 4 3" xfId="41409"/>
    <cellStyle name="Comma 17 3 2 4 3 2" xfId="41410"/>
    <cellStyle name="Comma 17 3 2 4 3 2 2" xfId="41411"/>
    <cellStyle name="Comma 17 3 2 4 3 2 3" xfId="41412"/>
    <cellStyle name="Comma 17 3 2 4 3 3" xfId="41413"/>
    <cellStyle name="Comma 17 3 2 4 3 3 2" xfId="41414"/>
    <cellStyle name="Comma 17 3 2 4 3 3 3" xfId="41415"/>
    <cellStyle name="Comma 17 3 2 4 3 4" xfId="41416"/>
    <cellStyle name="Comma 17 3 2 4 3 4 2" xfId="41417"/>
    <cellStyle name="Comma 17 3 2 4 3 5" xfId="41418"/>
    <cellStyle name="Comma 17 3 2 4 3 6" xfId="41419"/>
    <cellStyle name="Comma 17 3 2 4 4" xfId="41420"/>
    <cellStyle name="Comma 17 3 2 4 4 2" xfId="41421"/>
    <cellStyle name="Comma 17 3 2 4 4 2 2" xfId="41422"/>
    <cellStyle name="Comma 17 3 2 4 4 2 3" xfId="41423"/>
    <cellStyle name="Comma 17 3 2 4 4 3" xfId="41424"/>
    <cellStyle name="Comma 17 3 2 4 4 3 2" xfId="41425"/>
    <cellStyle name="Comma 17 3 2 4 4 4" xfId="41426"/>
    <cellStyle name="Comma 17 3 2 4 4 5" xfId="41427"/>
    <cellStyle name="Comma 17 3 2 4 5" xfId="41428"/>
    <cellStyle name="Comma 17 3 2 4 5 2" xfId="41429"/>
    <cellStyle name="Comma 17 3 2 4 5 3" xfId="41430"/>
    <cellStyle name="Comma 17 3 2 4 6" xfId="41431"/>
    <cellStyle name="Comma 17 3 2 4 6 2" xfId="41432"/>
    <cellStyle name="Comma 17 3 2 4 6 3" xfId="41433"/>
    <cellStyle name="Comma 17 3 2 4 7" xfId="41434"/>
    <cellStyle name="Comma 17 3 2 4 7 2" xfId="41435"/>
    <cellStyle name="Comma 17 3 2 4 8" xfId="41436"/>
    <cellStyle name="Comma 17 3 2 4 9" xfId="41437"/>
    <cellStyle name="Comma 17 3 2 5" xfId="41438"/>
    <cellStyle name="Comma 17 3 2 5 2" xfId="41439"/>
    <cellStyle name="Comma 17 3 2 5 2 2" xfId="41440"/>
    <cellStyle name="Comma 17 3 2 5 2 3" xfId="41441"/>
    <cellStyle name="Comma 17 3 2 5 3" xfId="41442"/>
    <cellStyle name="Comma 17 3 2 5 3 2" xfId="41443"/>
    <cellStyle name="Comma 17 3 2 5 3 3" xfId="41444"/>
    <cellStyle name="Comma 17 3 2 5 4" xfId="41445"/>
    <cellStyle name="Comma 17 3 2 5 4 2" xfId="41446"/>
    <cellStyle name="Comma 17 3 2 5 5" xfId="41447"/>
    <cellStyle name="Comma 17 3 2 5 6" xfId="41448"/>
    <cellStyle name="Comma 17 3 2 6" xfId="41449"/>
    <cellStyle name="Comma 17 3 2 6 2" xfId="41450"/>
    <cellStyle name="Comma 17 3 2 6 2 2" xfId="41451"/>
    <cellStyle name="Comma 17 3 2 6 2 3" xfId="41452"/>
    <cellStyle name="Comma 17 3 2 6 3" xfId="41453"/>
    <cellStyle name="Comma 17 3 2 6 3 2" xfId="41454"/>
    <cellStyle name="Comma 17 3 2 6 3 3" xfId="41455"/>
    <cellStyle name="Comma 17 3 2 6 4" xfId="41456"/>
    <cellStyle name="Comma 17 3 2 6 4 2" xfId="41457"/>
    <cellStyle name="Comma 17 3 2 6 5" xfId="41458"/>
    <cellStyle name="Comma 17 3 2 6 6" xfId="41459"/>
    <cellStyle name="Comma 17 3 2 7" xfId="41460"/>
    <cellStyle name="Comma 17 3 2 7 2" xfId="41461"/>
    <cellStyle name="Comma 17 3 2 7 2 2" xfId="41462"/>
    <cellStyle name="Comma 17 3 2 7 2 3" xfId="41463"/>
    <cellStyle name="Comma 17 3 2 7 3" xfId="41464"/>
    <cellStyle name="Comma 17 3 2 7 3 2" xfId="41465"/>
    <cellStyle name="Comma 17 3 2 7 4" xfId="41466"/>
    <cellStyle name="Comma 17 3 2 7 5" xfId="41467"/>
    <cellStyle name="Comma 17 3 2 8" xfId="41468"/>
    <cellStyle name="Comma 17 3 2 8 2" xfId="41469"/>
    <cellStyle name="Comma 17 3 2 8 3" xfId="41470"/>
    <cellStyle name="Comma 17 3 2 9" xfId="41471"/>
    <cellStyle name="Comma 17 3 2 9 2" xfId="41472"/>
    <cellStyle name="Comma 17 3 2 9 3" xfId="41473"/>
    <cellStyle name="Comma 17 3 3" xfId="41474"/>
    <cellStyle name="Comma 17 3 3 10" xfId="41475"/>
    <cellStyle name="Comma 17 3 3 2" xfId="41476"/>
    <cellStyle name="Comma 17 3 3 2 2" xfId="41477"/>
    <cellStyle name="Comma 17 3 3 2 2 2" xfId="41478"/>
    <cellStyle name="Comma 17 3 3 2 2 2 2" xfId="41479"/>
    <cellStyle name="Comma 17 3 3 2 2 2 3" xfId="41480"/>
    <cellStyle name="Comma 17 3 3 2 2 3" xfId="41481"/>
    <cellStyle name="Comma 17 3 3 2 2 3 2" xfId="41482"/>
    <cellStyle name="Comma 17 3 3 2 2 3 3" xfId="41483"/>
    <cellStyle name="Comma 17 3 3 2 2 4" xfId="41484"/>
    <cellStyle name="Comma 17 3 3 2 2 4 2" xfId="41485"/>
    <cellStyle name="Comma 17 3 3 2 2 5" xfId="41486"/>
    <cellStyle name="Comma 17 3 3 2 2 6" xfId="41487"/>
    <cellStyle name="Comma 17 3 3 2 3" xfId="41488"/>
    <cellStyle name="Comma 17 3 3 2 3 2" xfId="41489"/>
    <cellStyle name="Comma 17 3 3 2 3 2 2" xfId="41490"/>
    <cellStyle name="Comma 17 3 3 2 3 2 3" xfId="41491"/>
    <cellStyle name="Comma 17 3 3 2 3 3" xfId="41492"/>
    <cellStyle name="Comma 17 3 3 2 3 3 2" xfId="41493"/>
    <cellStyle name="Comma 17 3 3 2 3 3 3" xfId="41494"/>
    <cellStyle name="Comma 17 3 3 2 3 4" xfId="41495"/>
    <cellStyle name="Comma 17 3 3 2 3 4 2" xfId="41496"/>
    <cellStyle name="Comma 17 3 3 2 3 5" xfId="41497"/>
    <cellStyle name="Comma 17 3 3 2 3 6" xfId="41498"/>
    <cellStyle name="Comma 17 3 3 2 4" xfId="41499"/>
    <cellStyle name="Comma 17 3 3 2 4 2" xfId="41500"/>
    <cellStyle name="Comma 17 3 3 2 4 2 2" xfId="41501"/>
    <cellStyle name="Comma 17 3 3 2 4 2 3" xfId="41502"/>
    <cellStyle name="Comma 17 3 3 2 4 3" xfId="41503"/>
    <cellStyle name="Comma 17 3 3 2 4 3 2" xfId="41504"/>
    <cellStyle name="Comma 17 3 3 2 4 4" xfId="41505"/>
    <cellStyle name="Comma 17 3 3 2 4 5" xfId="41506"/>
    <cellStyle name="Comma 17 3 3 2 5" xfId="41507"/>
    <cellStyle name="Comma 17 3 3 2 5 2" xfId="41508"/>
    <cellStyle name="Comma 17 3 3 2 5 3" xfId="41509"/>
    <cellStyle name="Comma 17 3 3 2 6" xfId="41510"/>
    <cellStyle name="Comma 17 3 3 2 6 2" xfId="41511"/>
    <cellStyle name="Comma 17 3 3 2 6 3" xfId="41512"/>
    <cellStyle name="Comma 17 3 3 2 7" xfId="41513"/>
    <cellStyle name="Comma 17 3 3 2 7 2" xfId="41514"/>
    <cellStyle name="Comma 17 3 3 2 8" xfId="41515"/>
    <cellStyle name="Comma 17 3 3 2 9" xfId="41516"/>
    <cellStyle name="Comma 17 3 3 3" xfId="41517"/>
    <cellStyle name="Comma 17 3 3 3 2" xfId="41518"/>
    <cellStyle name="Comma 17 3 3 3 2 2" xfId="41519"/>
    <cellStyle name="Comma 17 3 3 3 2 3" xfId="41520"/>
    <cellStyle name="Comma 17 3 3 3 3" xfId="41521"/>
    <cellStyle name="Comma 17 3 3 3 3 2" xfId="41522"/>
    <cellStyle name="Comma 17 3 3 3 3 3" xfId="41523"/>
    <cellStyle name="Comma 17 3 3 3 4" xfId="41524"/>
    <cellStyle name="Comma 17 3 3 3 4 2" xfId="41525"/>
    <cellStyle name="Comma 17 3 3 3 5" xfId="41526"/>
    <cellStyle name="Comma 17 3 3 3 6" xfId="41527"/>
    <cellStyle name="Comma 17 3 3 4" xfId="41528"/>
    <cellStyle name="Comma 17 3 3 4 2" xfId="41529"/>
    <cellStyle name="Comma 17 3 3 4 2 2" xfId="41530"/>
    <cellStyle name="Comma 17 3 3 4 2 3" xfId="41531"/>
    <cellStyle name="Comma 17 3 3 4 3" xfId="41532"/>
    <cellStyle name="Comma 17 3 3 4 3 2" xfId="41533"/>
    <cellStyle name="Comma 17 3 3 4 3 3" xfId="41534"/>
    <cellStyle name="Comma 17 3 3 4 4" xfId="41535"/>
    <cellStyle name="Comma 17 3 3 4 4 2" xfId="41536"/>
    <cellStyle name="Comma 17 3 3 4 5" xfId="41537"/>
    <cellStyle name="Comma 17 3 3 4 6" xfId="41538"/>
    <cellStyle name="Comma 17 3 3 5" xfId="41539"/>
    <cellStyle name="Comma 17 3 3 5 2" xfId="41540"/>
    <cellStyle name="Comma 17 3 3 5 2 2" xfId="41541"/>
    <cellStyle name="Comma 17 3 3 5 2 3" xfId="41542"/>
    <cellStyle name="Comma 17 3 3 5 3" xfId="41543"/>
    <cellStyle name="Comma 17 3 3 5 3 2" xfId="41544"/>
    <cellStyle name="Comma 17 3 3 5 4" xfId="41545"/>
    <cellStyle name="Comma 17 3 3 5 5" xfId="41546"/>
    <cellStyle name="Comma 17 3 3 6" xfId="41547"/>
    <cellStyle name="Comma 17 3 3 6 2" xfId="41548"/>
    <cellStyle name="Comma 17 3 3 6 3" xfId="41549"/>
    <cellStyle name="Comma 17 3 3 7" xfId="41550"/>
    <cellStyle name="Comma 17 3 3 7 2" xfId="41551"/>
    <cellStyle name="Comma 17 3 3 7 3" xfId="41552"/>
    <cellStyle name="Comma 17 3 3 8" xfId="41553"/>
    <cellStyle name="Comma 17 3 3 8 2" xfId="41554"/>
    <cellStyle name="Comma 17 3 3 9" xfId="41555"/>
    <cellStyle name="Comma 17 3 4" xfId="41556"/>
    <cellStyle name="Comma 17 3 4 2" xfId="41557"/>
    <cellStyle name="Comma 17 3 4 2 2" xfId="41558"/>
    <cellStyle name="Comma 17 3 4 2 2 2" xfId="41559"/>
    <cellStyle name="Comma 17 3 4 2 2 3" xfId="41560"/>
    <cellStyle name="Comma 17 3 4 2 3" xfId="41561"/>
    <cellStyle name="Comma 17 3 4 2 3 2" xfId="41562"/>
    <cellStyle name="Comma 17 3 4 2 3 3" xfId="41563"/>
    <cellStyle name="Comma 17 3 4 2 4" xfId="41564"/>
    <cellStyle name="Comma 17 3 4 2 4 2" xfId="41565"/>
    <cellStyle name="Comma 17 3 4 2 5" xfId="41566"/>
    <cellStyle name="Comma 17 3 4 2 6" xfId="41567"/>
    <cellStyle name="Comma 17 3 4 3" xfId="41568"/>
    <cellStyle name="Comma 17 3 4 3 2" xfId="41569"/>
    <cellStyle name="Comma 17 3 4 3 2 2" xfId="41570"/>
    <cellStyle name="Comma 17 3 4 3 2 3" xfId="41571"/>
    <cellStyle name="Comma 17 3 4 3 3" xfId="41572"/>
    <cellStyle name="Comma 17 3 4 3 3 2" xfId="41573"/>
    <cellStyle name="Comma 17 3 4 3 3 3" xfId="41574"/>
    <cellStyle name="Comma 17 3 4 3 4" xfId="41575"/>
    <cellStyle name="Comma 17 3 4 3 4 2" xfId="41576"/>
    <cellStyle name="Comma 17 3 4 3 5" xfId="41577"/>
    <cellStyle name="Comma 17 3 4 3 6" xfId="41578"/>
    <cellStyle name="Comma 17 3 4 4" xfId="41579"/>
    <cellStyle name="Comma 17 3 4 4 2" xfId="41580"/>
    <cellStyle name="Comma 17 3 4 4 2 2" xfId="41581"/>
    <cellStyle name="Comma 17 3 4 4 2 3" xfId="41582"/>
    <cellStyle name="Comma 17 3 4 4 3" xfId="41583"/>
    <cellStyle name="Comma 17 3 4 4 3 2" xfId="41584"/>
    <cellStyle name="Comma 17 3 4 4 4" xfId="41585"/>
    <cellStyle name="Comma 17 3 4 4 5" xfId="41586"/>
    <cellStyle name="Comma 17 3 4 5" xfId="41587"/>
    <cellStyle name="Comma 17 3 4 5 2" xfId="41588"/>
    <cellStyle name="Comma 17 3 4 5 3" xfId="41589"/>
    <cellStyle name="Comma 17 3 4 6" xfId="41590"/>
    <cellStyle name="Comma 17 3 4 6 2" xfId="41591"/>
    <cellStyle name="Comma 17 3 4 6 3" xfId="41592"/>
    <cellStyle name="Comma 17 3 4 7" xfId="41593"/>
    <cellStyle name="Comma 17 3 4 7 2" xfId="41594"/>
    <cellStyle name="Comma 17 3 4 8" xfId="41595"/>
    <cellStyle name="Comma 17 3 4 9" xfId="41596"/>
    <cellStyle name="Comma 17 3 5" xfId="41597"/>
    <cellStyle name="Comma 17 3 5 2" xfId="41598"/>
    <cellStyle name="Comma 17 3 5 2 2" xfId="41599"/>
    <cellStyle name="Comma 17 3 5 2 2 2" xfId="41600"/>
    <cellStyle name="Comma 17 3 5 2 2 3" xfId="41601"/>
    <cellStyle name="Comma 17 3 5 2 3" xfId="41602"/>
    <cellStyle name="Comma 17 3 5 2 3 2" xfId="41603"/>
    <cellStyle name="Comma 17 3 5 2 3 3" xfId="41604"/>
    <cellStyle name="Comma 17 3 5 2 4" xfId="41605"/>
    <cellStyle name="Comma 17 3 5 2 4 2" xfId="41606"/>
    <cellStyle name="Comma 17 3 5 2 5" xfId="41607"/>
    <cellStyle name="Comma 17 3 5 2 6" xfId="41608"/>
    <cellStyle name="Comma 17 3 5 3" xfId="41609"/>
    <cellStyle name="Comma 17 3 5 3 2" xfId="41610"/>
    <cellStyle name="Comma 17 3 5 3 2 2" xfId="41611"/>
    <cellStyle name="Comma 17 3 5 3 2 3" xfId="41612"/>
    <cellStyle name="Comma 17 3 5 3 3" xfId="41613"/>
    <cellStyle name="Comma 17 3 5 3 3 2" xfId="41614"/>
    <cellStyle name="Comma 17 3 5 3 3 3" xfId="41615"/>
    <cellStyle name="Comma 17 3 5 3 4" xfId="41616"/>
    <cellStyle name="Comma 17 3 5 3 4 2" xfId="41617"/>
    <cellStyle name="Comma 17 3 5 3 5" xfId="41618"/>
    <cellStyle name="Comma 17 3 5 3 6" xfId="41619"/>
    <cellStyle name="Comma 17 3 5 4" xfId="41620"/>
    <cellStyle name="Comma 17 3 5 4 2" xfId="41621"/>
    <cellStyle name="Comma 17 3 5 4 2 2" xfId="41622"/>
    <cellStyle name="Comma 17 3 5 4 2 3" xfId="41623"/>
    <cellStyle name="Comma 17 3 5 4 3" xfId="41624"/>
    <cellStyle name="Comma 17 3 5 4 3 2" xfId="41625"/>
    <cellStyle name="Comma 17 3 5 4 4" xfId="41626"/>
    <cellStyle name="Comma 17 3 5 4 5" xfId="41627"/>
    <cellStyle name="Comma 17 3 5 5" xfId="41628"/>
    <cellStyle name="Comma 17 3 5 5 2" xfId="41629"/>
    <cellStyle name="Comma 17 3 5 5 3" xfId="41630"/>
    <cellStyle name="Comma 17 3 5 6" xfId="41631"/>
    <cellStyle name="Comma 17 3 5 6 2" xfId="41632"/>
    <cellStyle name="Comma 17 3 5 6 3" xfId="41633"/>
    <cellStyle name="Comma 17 3 5 7" xfId="41634"/>
    <cellStyle name="Comma 17 3 5 7 2" xfId="41635"/>
    <cellStyle name="Comma 17 3 5 8" xfId="41636"/>
    <cellStyle name="Comma 17 3 5 9" xfId="41637"/>
    <cellStyle name="Comma 17 3 6" xfId="41638"/>
    <cellStyle name="Comma 17 3 6 2" xfId="41639"/>
    <cellStyle name="Comma 17 3 6 2 2" xfId="41640"/>
    <cellStyle name="Comma 17 3 6 2 3" xfId="41641"/>
    <cellStyle name="Comma 17 3 6 3" xfId="41642"/>
    <cellStyle name="Comma 17 3 6 3 2" xfId="41643"/>
    <cellStyle name="Comma 17 3 6 3 3" xfId="41644"/>
    <cellStyle name="Comma 17 3 6 4" xfId="41645"/>
    <cellStyle name="Comma 17 3 6 4 2" xfId="41646"/>
    <cellStyle name="Comma 17 3 6 5" xfId="41647"/>
    <cellStyle name="Comma 17 3 6 6" xfId="41648"/>
    <cellStyle name="Comma 17 3 7" xfId="41649"/>
    <cellStyle name="Comma 17 3 7 2" xfId="41650"/>
    <cellStyle name="Comma 17 3 7 2 2" xfId="41651"/>
    <cellStyle name="Comma 17 3 7 2 3" xfId="41652"/>
    <cellStyle name="Comma 17 3 7 3" xfId="41653"/>
    <cellStyle name="Comma 17 3 7 3 2" xfId="41654"/>
    <cellStyle name="Comma 17 3 7 3 3" xfId="41655"/>
    <cellStyle name="Comma 17 3 7 4" xfId="41656"/>
    <cellStyle name="Comma 17 3 7 4 2" xfId="41657"/>
    <cellStyle name="Comma 17 3 7 5" xfId="41658"/>
    <cellStyle name="Comma 17 3 7 6" xfId="41659"/>
    <cellStyle name="Comma 17 3 8" xfId="41660"/>
    <cellStyle name="Comma 17 3 8 2" xfId="41661"/>
    <cellStyle name="Comma 17 3 8 2 2" xfId="41662"/>
    <cellStyle name="Comma 17 3 8 2 3" xfId="41663"/>
    <cellStyle name="Comma 17 3 8 3" xfId="41664"/>
    <cellStyle name="Comma 17 3 8 3 2" xfId="41665"/>
    <cellStyle name="Comma 17 3 8 4" xfId="41666"/>
    <cellStyle name="Comma 17 3 8 5" xfId="41667"/>
    <cellStyle name="Comma 17 3 9" xfId="41668"/>
    <cellStyle name="Comma 17 3 9 2" xfId="41669"/>
    <cellStyle name="Comma 17 3 9 3" xfId="41670"/>
    <cellStyle name="Comma 17 4" xfId="41671"/>
    <cellStyle name="Comma 17 4 10" xfId="41672"/>
    <cellStyle name="Comma 17 4 10 2" xfId="41673"/>
    <cellStyle name="Comma 17 4 11" xfId="41674"/>
    <cellStyle name="Comma 17 4 12" xfId="41675"/>
    <cellStyle name="Comma 17 4 2" xfId="41676"/>
    <cellStyle name="Comma 17 4 2 10" xfId="41677"/>
    <cellStyle name="Comma 17 4 2 2" xfId="41678"/>
    <cellStyle name="Comma 17 4 2 2 2" xfId="41679"/>
    <cellStyle name="Comma 17 4 2 2 2 2" xfId="41680"/>
    <cellStyle name="Comma 17 4 2 2 2 2 2" xfId="41681"/>
    <cellStyle name="Comma 17 4 2 2 2 2 3" xfId="41682"/>
    <cellStyle name="Comma 17 4 2 2 2 3" xfId="41683"/>
    <cellStyle name="Comma 17 4 2 2 2 3 2" xfId="41684"/>
    <cellStyle name="Comma 17 4 2 2 2 3 3" xfId="41685"/>
    <cellStyle name="Comma 17 4 2 2 2 4" xfId="41686"/>
    <cellStyle name="Comma 17 4 2 2 2 4 2" xfId="41687"/>
    <cellStyle name="Comma 17 4 2 2 2 5" xfId="41688"/>
    <cellStyle name="Comma 17 4 2 2 2 6" xfId="41689"/>
    <cellStyle name="Comma 17 4 2 2 3" xfId="41690"/>
    <cellStyle name="Comma 17 4 2 2 3 2" xfId="41691"/>
    <cellStyle name="Comma 17 4 2 2 3 2 2" xfId="41692"/>
    <cellStyle name="Comma 17 4 2 2 3 2 3" xfId="41693"/>
    <cellStyle name="Comma 17 4 2 2 3 3" xfId="41694"/>
    <cellStyle name="Comma 17 4 2 2 3 3 2" xfId="41695"/>
    <cellStyle name="Comma 17 4 2 2 3 3 3" xfId="41696"/>
    <cellStyle name="Comma 17 4 2 2 3 4" xfId="41697"/>
    <cellStyle name="Comma 17 4 2 2 3 4 2" xfId="41698"/>
    <cellStyle name="Comma 17 4 2 2 3 5" xfId="41699"/>
    <cellStyle name="Comma 17 4 2 2 3 6" xfId="41700"/>
    <cellStyle name="Comma 17 4 2 2 4" xfId="41701"/>
    <cellStyle name="Comma 17 4 2 2 4 2" xfId="41702"/>
    <cellStyle name="Comma 17 4 2 2 4 2 2" xfId="41703"/>
    <cellStyle name="Comma 17 4 2 2 4 2 3" xfId="41704"/>
    <cellStyle name="Comma 17 4 2 2 4 3" xfId="41705"/>
    <cellStyle name="Comma 17 4 2 2 4 3 2" xfId="41706"/>
    <cellStyle name="Comma 17 4 2 2 4 4" xfId="41707"/>
    <cellStyle name="Comma 17 4 2 2 4 5" xfId="41708"/>
    <cellStyle name="Comma 17 4 2 2 5" xfId="41709"/>
    <cellStyle name="Comma 17 4 2 2 5 2" xfId="41710"/>
    <cellStyle name="Comma 17 4 2 2 5 3" xfId="41711"/>
    <cellStyle name="Comma 17 4 2 2 6" xfId="41712"/>
    <cellStyle name="Comma 17 4 2 2 6 2" xfId="41713"/>
    <cellStyle name="Comma 17 4 2 2 6 3" xfId="41714"/>
    <cellStyle name="Comma 17 4 2 2 7" xfId="41715"/>
    <cellStyle name="Comma 17 4 2 2 7 2" xfId="41716"/>
    <cellStyle name="Comma 17 4 2 2 8" xfId="41717"/>
    <cellStyle name="Comma 17 4 2 2 9" xfId="41718"/>
    <cellStyle name="Comma 17 4 2 3" xfId="41719"/>
    <cellStyle name="Comma 17 4 2 3 2" xfId="41720"/>
    <cellStyle name="Comma 17 4 2 3 2 2" xfId="41721"/>
    <cellStyle name="Comma 17 4 2 3 2 3" xfId="41722"/>
    <cellStyle name="Comma 17 4 2 3 3" xfId="41723"/>
    <cellStyle name="Comma 17 4 2 3 3 2" xfId="41724"/>
    <cellStyle name="Comma 17 4 2 3 3 3" xfId="41725"/>
    <cellStyle name="Comma 17 4 2 3 4" xfId="41726"/>
    <cellStyle name="Comma 17 4 2 3 4 2" xfId="41727"/>
    <cellStyle name="Comma 17 4 2 3 5" xfId="41728"/>
    <cellStyle name="Comma 17 4 2 3 6" xfId="41729"/>
    <cellStyle name="Comma 17 4 2 4" xfId="41730"/>
    <cellStyle name="Comma 17 4 2 4 2" xfId="41731"/>
    <cellStyle name="Comma 17 4 2 4 2 2" xfId="41732"/>
    <cellStyle name="Comma 17 4 2 4 2 3" xfId="41733"/>
    <cellStyle name="Comma 17 4 2 4 3" xfId="41734"/>
    <cellStyle name="Comma 17 4 2 4 3 2" xfId="41735"/>
    <cellStyle name="Comma 17 4 2 4 3 3" xfId="41736"/>
    <cellStyle name="Comma 17 4 2 4 4" xfId="41737"/>
    <cellStyle name="Comma 17 4 2 4 4 2" xfId="41738"/>
    <cellStyle name="Comma 17 4 2 4 5" xfId="41739"/>
    <cellStyle name="Comma 17 4 2 4 6" xfId="41740"/>
    <cellStyle name="Comma 17 4 2 5" xfId="41741"/>
    <cellStyle name="Comma 17 4 2 5 2" xfId="41742"/>
    <cellStyle name="Comma 17 4 2 5 2 2" xfId="41743"/>
    <cellStyle name="Comma 17 4 2 5 2 3" xfId="41744"/>
    <cellStyle name="Comma 17 4 2 5 3" xfId="41745"/>
    <cellStyle name="Comma 17 4 2 5 3 2" xfId="41746"/>
    <cellStyle name="Comma 17 4 2 5 4" xfId="41747"/>
    <cellStyle name="Comma 17 4 2 5 5" xfId="41748"/>
    <cellStyle name="Comma 17 4 2 6" xfId="41749"/>
    <cellStyle name="Comma 17 4 2 6 2" xfId="41750"/>
    <cellStyle name="Comma 17 4 2 6 3" xfId="41751"/>
    <cellStyle name="Comma 17 4 2 7" xfId="41752"/>
    <cellStyle name="Comma 17 4 2 7 2" xfId="41753"/>
    <cellStyle name="Comma 17 4 2 7 3" xfId="41754"/>
    <cellStyle name="Comma 17 4 2 8" xfId="41755"/>
    <cellStyle name="Comma 17 4 2 8 2" xfId="41756"/>
    <cellStyle name="Comma 17 4 2 9" xfId="41757"/>
    <cellStyle name="Comma 17 4 3" xfId="41758"/>
    <cellStyle name="Comma 17 4 3 2" xfId="41759"/>
    <cellStyle name="Comma 17 4 3 2 2" xfId="41760"/>
    <cellStyle name="Comma 17 4 3 2 2 2" xfId="41761"/>
    <cellStyle name="Comma 17 4 3 2 2 3" xfId="41762"/>
    <cellStyle name="Comma 17 4 3 2 3" xfId="41763"/>
    <cellStyle name="Comma 17 4 3 2 3 2" xfId="41764"/>
    <cellStyle name="Comma 17 4 3 2 3 3" xfId="41765"/>
    <cellStyle name="Comma 17 4 3 2 4" xfId="41766"/>
    <cellStyle name="Comma 17 4 3 2 4 2" xfId="41767"/>
    <cellStyle name="Comma 17 4 3 2 5" xfId="41768"/>
    <cellStyle name="Comma 17 4 3 2 6" xfId="41769"/>
    <cellStyle name="Comma 17 4 3 3" xfId="41770"/>
    <cellStyle name="Comma 17 4 3 3 2" xfId="41771"/>
    <cellStyle name="Comma 17 4 3 3 2 2" xfId="41772"/>
    <cellStyle name="Comma 17 4 3 3 2 3" xfId="41773"/>
    <cellStyle name="Comma 17 4 3 3 3" xfId="41774"/>
    <cellStyle name="Comma 17 4 3 3 3 2" xfId="41775"/>
    <cellStyle name="Comma 17 4 3 3 3 3" xfId="41776"/>
    <cellStyle name="Comma 17 4 3 3 4" xfId="41777"/>
    <cellStyle name="Comma 17 4 3 3 4 2" xfId="41778"/>
    <cellStyle name="Comma 17 4 3 3 5" xfId="41779"/>
    <cellStyle name="Comma 17 4 3 3 6" xfId="41780"/>
    <cellStyle name="Comma 17 4 3 4" xfId="41781"/>
    <cellStyle name="Comma 17 4 3 4 2" xfId="41782"/>
    <cellStyle name="Comma 17 4 3 4 2 2" xfId="41783"/>
    <cellStyle name="Comma 17 4 3 4 2 3" xfId="41784"/>
    <cellStyle name="Comma 17 4 3 4 3" xfId="41785"/>
    <cellStyle name="Comma 17 4 3 4 3 2" xfId="41786"/>
    <cellStyle name="Comma 17 4 3 4 4" xfId="41787"/>
    <cellStyle name="Comma 17 4 3 4 5" xfId="41788"/>
    <cellStyle name="Comma 17 4 3 5" xfId="41789"/>
    <cellStyle name="Comma 17 4 3 5 2" xfId="41790"/>
    <cellStyle name="Comma 17 4 3 5 3" xfId="41791"/>
    <cellStyle name="Comma 17 4 3 6" xfId="41792"/>
    <cellStyle name="Comma 17 4 3 6 2" xfId="41793"/>
    <cellStyle name="Comma 17 4 3 6 3" xfId="41794"/>
    <cellStyle name="Comma 17 4 3 7" xfId="41795"/>
    <cellStyle name="Comma 17 4 3 7 2" xfId="41796"/>
    <cellStyle name="Comma 17 4 3 8" xfId="41797"/>
    <cellStyle name="Comma 17 4 3 9" xfId="41798"/>
    <cellStyle name="Comma 17 4 4" xfId="41799"/>
    <cellStyle name="Comma 17 4 4 2" xfId="41800"/>
    <cellStyle name="Comma 17 4 4 2 2" xfId="41801"/>
    <cellStyle name="Comma 17 4 4 2 2 2" xfId="41802"/>
    <cellStyle name="Comma 17 4 4 2 2 3" xfId="41803"/>
    <cellStyle name="Comma 17 4 4 2 3" xfId="41804"/>
    <cellStyle name="Comma 17 4 4 2 3 2" xfId="41805"/>
    <cellStyle name="Comma 17 4 4 2 3 3" xfId="41806"/>
    <cellStyle name="Comma 17 4 4 2 4" xfId="41807"/>
    <cellStyle name="Comma 17 4 4 2 4 2" xfId="41808"/>
    <cellStyle name="Comma 17 4 4 2 5" xfId="41809"/>
    <cellStyle name="Comma 17 4 4 2 6" xfId="41810"/>
    <cellStyle name="Comma 17 4 4 3" xfId="41811"/>
    <cellStyle name="Comma 17 4 4 3 2" xfId="41812"/>
    <cellStyle name="Comma 17 4 4 3 2 2" xfId="41813"/>
    <cellStyle name="Comma 17 4 4 3 2 3" xfId="41814"/>
    <cellStyle name="Comma 17 4 4 3 3" xfId="41815"/>
    <cellStyle name="Comma 17 4 4 3 3 2" xfId="41816"/>
    <cellStyle name="Comma 17 4 4 3 3 3" xfId="41817"/>
    <cellStyle name="Comma 17 4 4 3 4" xfId="41818"/>
    <cellStyle name="Comma 17 4 4 3 4 2" xfId="41819"/>
    <cellStyle name="Comma 17 4 4 3 5" xfId="41820"/>
    <cellStyle name="Comma 17 4 4 3 6" xfId="41821"/>
    <cellStyle name="Comma 17 4 4 4" xfId="41822"/>
    <cellStyle name="Comma 17 4 4 4 2" xfId="41823"/>
    <cellStyle name="Comma 17 4 4 4 2 2" xfId="41824"/>
    <cellStyle name="Comma 17 4 4 4 2 3" xfId="41825"/>
    <cellStyle name="Comma 17 4 4 4 3" xfId="41826"/>
    <cellStyle name="Comma 17 4 4 4 3 2" xfId="41827"/>
    <cellStyle name="Comma 17 4 4 4 4" xfId="41828"/>
    <cellStyle name="Comma 17 4 4 4 5" xfId="41829"/>
    <cellStyle name="Comma 17 4 4 5" xfId="41830"/>
    <cellStyle name="Comma 17 4 4 5 2" xfId="41831"/>
    <cellStyle name="Comma 17 4 4 5 3" xfId="41832"/>
    <cellStyle name="Comma 17 4 4 6" xfId="41833"/>
    <cellStyle name="Comma 17 4 4 6 2" xfId="41834"/>
    <cellStyle name="Comma 17 4 4 6 3" xfId="41835"/>
    <cellStyle name="Comma 17 4 4 7" xfId="41836"/>
    <cellStyle name="Comma 17 4 4 7 2" xfId="41837"/>
    <cellStyle name="Comma 17 4 4 8" xfId="41838"/>
    <cellStyle name="Comma 17 4 4 9" xfId="41839"/>
    <cellStyle name="Comma 17 4 5" xfId="41840"/>
    <cellStyle name="Comma 17 4 5 2" xfId="41841"/>
    <cellStyle name="Comma 17 4 5 2 2" xfId="41842"/>
    <cellStyle name="Comma 17 4 5 2 3" xfId="41843"/>
    <cellStyle name="Comma 17 4 5 3" xfId="41844"/>
    <cellStyle name="Comma 17 4 5 3 2" xfId="41845"/>
    <cellStyle name="Comma 17 4 5 3 3" xfId="41846"/>
    <cellStyle name="Comma 17 4 5 4" xfId="41847"/>
    <cellStyle name="Comma 17 4 5 4 2" xfId="41848"/>
    <cellStyle name="Comma 17 4 5 5" xfId="41849"/>
    <cellStyle name="Comma 17 4 5 6" xfId="41850"/>
    <cellStyle name="Comma 17 4 6" xfId="41851"/>
    <cellStyle name="Comma 17 4 6 2" xfId="41852"/>
    <cellStyle name="Comma 17 4 6 2 2" xfId="41853"/>
    <cellStyle name="Comma 17 4 6 2 3" xfId="41854"/>
    <cellStyle name="Comma 17 4 6 3" xfId="41855"/>
    <cellStyle name="Comma 17 4 6 3 2" xfId="41856"/>
    <cellStyle name="Comma 17 4 6 3 3" xfId="41857"/>
    <cellStyle name="Comma 17 4 6 4" xfId="41858"/>
    <cellStyle name="Comma 17 4 6 4 2" xfId="41859"/>
    <cellStyle name="Comma 17 4 6 5" xfId="41860"/>
    <cellStyle name="Comma 17 4 6 6" xfId="41861"/>
    <cellStyle name="Comma 17 4 7" xfId="41862"/>
    <cellStyle name="Comma 17 4 7 2" xfId="41863"/>
    <cellStyle name="Comma 17 4 7 2 2" xfId="41864"/>
    <cellStyle name="Comma 17 4 7 2 3" xfId="41865"/>
    <cellStyle name="Comma 17 4 7 3" xfId="41866"/>
    <cellStyle name="Comma 17 4 7 3 2" xfId="41867"/>
    <cellStyle name="Comma 17 4 7 4" xfId="41868"/>
    <cellStyle name="Comma 17 4 7 5" xfId="41869"/>
    <cellStyle name="Comma 17 4 8" xfId="41870"/>
    <cellStyle name="Comma 17 4 8 2" xfId="41871"/>
    <cellStyle name="Comma 17 4 8 3" xfId="41872"/>
    <cellStyle name="Comma 17 4 9" xfId="41873"/>
    <cellStyle name="Comma 17 4 9 2" xfId="41874"/>
    <cellStyle name="Comma 17 4 9 3" xfId="41875"/>
    <cellStyle name="Comma 17 5" xfId="41876"/>
    <cellStyle name="Comma 17 5 10" xfId="41877"/>
    <cellStyle name="Comma 17 5 2" xfId="41878"/>
    <cellStyle name="Comma 17 5 2 2" xfId="41879"/>
    <cellStyle name="Comma 17 5 2 2 2" xfId="41880"/>
    <cellStyle name="Comma 17 5 2 2 2 2" xfId="41881"/>
    <cellStyle name="Comma 17 5 2 2 2 3" xfId="41882"/>
    <cellStyle name="Comma 17 5 2 2 3" xfId="41883"/>
    <cellStyle name="Comma 17 5 2 2 3 2" xfId="41884"/>
    <cellStyle name="Comma 17 5 2 2 3 3" xfId="41885"/>
    <cellStyle name="Comma 17 5 2 2 4" xfId="41886"/>
    <cellStyle name="Comma 17 5 2 2 4 2" xfId="41887"/>
    <cellStyle name="Comma 17 5 2 2 5" xfId="41888"/>
    <cellStyle name="Comma 17 5 2 2 6" xfId="41889"/>
    <cellStyle name="Comma 17 5 2 3" xfId="41890"/>
    <cellStyle name="Comma 17 5 2 3 2" xfId="41891"/>
    <cellStyle name="Comma 17 5 2 3 2 2" xfId="41892"/>
    <cellStyle name="Comma 17 5 2 3 2 3" xfId="41893"/>
    <cellStyle name="Comma 17 5 2 3 3" xfId="41894"/>
    <cellStyle name="Comma 17 5 2 3 3 2" xfId="41895"/>
    <cellStyle name="Comma 17 5 2 3 3 3" xfId="41896"/>
    <cellStyle name="Comma 17 5 2 3 4" xfId="41897"/>
    <cellStyle name="Comma 17 5 2 3 4 2" xfId="41898"/>
    <cellStyle name="Comma 17 5 2 3 5" xfId="41899"/>
    <cellStyle name="Comma 17 5 2 3 6" xfId="41900"/>
    <cellStyle name="Comma 17 5 2 4" xfId="41901"/>
    <cellStyle name="Comma 17 5 2 4 2" xfId="41902"/>
    <cellStyle name="Comma 17 5 2 4 2 2" xfId="41903"/>
    <cellStyle name="Comma 17 5 2 4 2 3" xfId="41904"/>
    <cellStyle name="Comma 17 5 2 4 3" xfId="41905"/>
    <cellStyle name="Comma 17 5 2 4 3 2" xfId="41906"/>
    <cellStyle name="Comma 17 5 2 4 4" xfId="41907"/>
    <cellStyle name="Comma 17 5 2 4 5" xfId="41908"/>
    <cellStyle name="Comma 17 5 2 5" xfId="41909"/>
    <cellStyle name="Comma 17 5 2 5 2" xfId="41910"/>
    <cellStyle name="Comma 17 5 2 5 3" xfId="41911"/>
    <cellStyle name="Comma 17 5 2 6" xfId="41912"/>
    <cellStyle name="Comma 17 5 2 6 2" xfId="41913"/>
    <cellStyle name="Comma 17 5 2 6 3" xfId="41914"/>
    <cellStyle name="Comma 17 5 2 7" xfId="41915"/>
    <cellStyle name="Comma 17 5 2 7 2" xfId="41916"/>
    <cellStyle name="Comma 17 5 2 8" xfId="41917"/>
    <cellStyle name="Comma 17 5 2 9" xfId="41918"/>
    <cellStyle name="Comma 17 5 3" xfId="41919"/>
    <cellStyle name="Comma 17 5 3 2" xfId="41920"/>
    <cellStyle name="Comma 17 5 3 2 2" xfId="41921"/>
    <cellStyle name="Comma 17 5 3 2 3" xfId="41922"/>
    <cellStyle name="Comma 17 5 3 3" xfId="41923"/>
    <cellStyle name="Comma 17 5 3 3 2" xfId="41924"/>
    <cellStyle name="Comma 17 5 3 3 3" xfId="41925"/>
    <cellStyle name="Comma 17 5 3 4" xfId="41926"/>
    <cellStyle name="Comma 17 5 3 4 2" xfId="41927"/>
    <cellStyle name="Comma 17 5 3 5" xfId="41928"/>
    <cellStyle name="Comma 17 5 3 6" xfId="41929"/>
    <cellStyle name="Comma 17 5 4" xfId="41930"/>
    <cellStyle name="Comma 17 5 4 2" xfId="41931"/>
    <cellStyle name="Comma 17 5 4 2 2" xfId="41932"/>
    <cellStyle name="Comma 17 5 4 2 3" xfId="41933"/>
    <cellStyle name="Comma 17 5 4 3" xfId="41934"/>
    <cellStyle name="Comma 17 5 4 3 2" xfId="41935"/>
    <cellStyle name="Comma 17 5 4 3 3" xfId="41936"/>
    <cellStyle name="Comma 17 5 4 4" xfId="41937"/>
    <cellStyle name="Comma 17 5 4 4 2" xfId="41938"/>
    <cellStyle name="Comma 17 5 4 5" xfId="41939"/>
    <cellStyle name="Comma 17 5 4 6" xfId="41940"/>
    <cellStyle name="Comma 17 5 5" xfId="41941"/>
    <cellStyle name="Comma 17 5 5 2" xfId="41942"/>
    <cellStyle name="Comma 17 5 5 2 2" xfId="41943"/>
    <cellStyle name="Comma 17 5 5 2 3" xfId="41944"/>
    <cellStyle name="Comma 17 5 5 3" xfId="41945"/>
    <cellStyle name="Comma 17 5 5 3 2" xfId="41946"/>
    <cellStyle name="Comma 17 5 5 4" xfId="41947"/>
    <cellStyle name="Comma 17 5 5 5" xfId="41948"/>
    <cellStyle name="Comma 17 5 6" xfId="41949"/>
    <cellStyle name="Comma 17 5 6 2" xfId="41950"/>
    <cellStyle name="Comma 17 5 6 3" xfId="41951"/>
    <cellStyle name="Comma 17 5 7" xfId="41952"/>
    <cellStyle name="Comma 17 5 7 2" xfId="41953"/>
    <cellStyle name="Comma 17 5 7 3" xfId="41954"/>
    <cellStyle name="Comma 17 5 8" xfId="41955"/>
    <cellStyle name="Comma 17 5 8 2" xfId="41956"/>
    <cellStyle name="Comma 17 5 9" xfId="41957"/>
    <cellStyle name="Comma 17 6" xfId="41958"/>
    <cellStyle name="Comma 17 6 2" xfId="41959"/>
    <cellStyle name="Comma 17 6 2 2" xfId="41960"/>
    <cellStyle name="Comma 17 6 2 2 2" xfId="41961"/>
    <cellStyle name="Comma 17 6 2 2 3" xfId="41962"/>
    <cellStyle name="Comma 17 6 2 3" xfId="41963"/>
    <cellStyle name="Comma 17 6 2 3 2" xfId="41964"/>
    <cellStyle name="Comma 17 6 2 3 3" xfId="41965"/>
    <cellStyle name="Comma 17 6 2 4" xfId="41966"/>
    <cellStyle name="Comma 17 6 2 4 2" xfId="41967"/>
    <cellStyle name="Comma 17 6 2 5" xfId="41968"/>
    <cellStyle name="Comma 17 6 2 6" xfId="41969"/>
    <cellStyle name="Comma 17 6 3" xfId="41970"/>
    <cellStyle name="Comma 17 6 3 2" xfId="41971"/>
    <cellStyle name="Comma 17 6 3 2 2" xfId="41972"/>
    <cellStyle name="Comma 17 6 3 2 3" xfId="41973"/>
    <cellStyle name="Comma 17 6 3 3" xfId="41974"/>
    <cellStyle name="Comma 17 6 3 3 2" xfId="41975"/>
    <cellStyle name="Comma 17 6 3 3 3" xfId="41976"/>
    <cellStyle name="Comma 17 6 3 4" xfId="41977"/>
    <cellStyle name="Comma 17 6 3 4 2" xfId="41978"/>
    <cellStyle name="Comma 17 6 3 5" xfId="41979"/>
    <cellStyle name="Comma 17 6 3 6" xfId="41980"/>
    <cellStyle name="Comma 17 6 4" xfId="41981"/>
    <cellStyle name="Comma 17 6 4 2" xfId="41982"/>
    <cellStyle name="Comma 17 6 4 2 2" xfId="41983"/>
    <cellStyle name="Comma 17 6 4 2 3" xfId="41984"/>
    <cellStyle name="Comma 17 6 4 3" xfId="41985"/>
    <cellStyle name="Comma 17 6 4 3 2" xfId="41986"/>
    <cellStyle name="Comma 17 6 4 4" xfId="41987"/>
    <cellStyle name="Comma 17 6 4 5" xfId="41988"/>
    <cellStyle name="Comma 17 6 5" xfId="41989"/>
    <cellStyle name="Comma 17 6 5 2" xfId="41990"/>
    <cellStyle name="Comma 17 6 5 3" xfId="41991"/>
    <cellStyle name="Comma 17 6 6" xfId="41992"/>
    <cellStyle name="Comma 17 6 6 2" xfId="41993"/>
    <cellStyle name="Comma 17 6 6 3" xfId="41994"/>
    <cellStyle name="Comma 17 6 7" xfId="41995"/>
    <cellStyle name="Comma 17 6 7 2" xfId="41996"/>
    <cellStyle name="Comma 17 6 8" xfId="41997"/>
    <cellStyle name="Comma 17 6 9" xfId="41998"/>
    <cellStyle name="Comma 17 7" xfId="41999"/>
    <cellStyle name="Comma 17 7 2" xfId="42000"/>
    <cellStyle name="Comma 17 7 2 2" xfId="42001"/>
    <cellStyle name="Comma 17 7 2 2 2" xfId="42002"/>
    <cellStyle name="Comma 17 7 2 2 3" xfId="42003"/>
    <cellStyle name="Comma 17 7 2 3" xfId="42004"/>
    <cellStyle name="Comma 17 7 2 3 2" xfId="42005"/>
    <cellStyle name="Comma 17 7 2 3 3" xfId="42006"/>
    <cellStyle name="Comma 17 7 2 4" xfId="42007"/>
    <cellStyle name="Comma 17 7 2 4 2" xfId="42008"/>
    <cellStyle name="Comma 17 7 2 5" xfId="42009"/>
    <cellStyle name="Comma 17 7 2 6" xfId="42010"/>
    <cellStyle name="Comma 17 7 3" xfId="42011"/>
    <cellStyle name="Comma 17 7 3 2" xfId="42012"/>
    <cellStyle name="Comma 17 7 3 2 2" xfId="42013"/>
    <cellStyle name="Comma 17 7 3 2 3" xfId="42014"/>
    <cellStyle name="Comma 17 7 3 3" xfId="42015"/>
    <cellStyle name="Comma 17 7 3 3 2" xfId="42016"/>
    <cellStyle name="Comma 17 7 3 3 3" xfId="42017"/>
    <cellStyle name="Comma 17 7 3 4" xfId="42018"/>
    <cellStyle name="Comma 17 7 3 4 2" xfId="42019"/>
    <cellStyle name="Comma 17 7 3 5" xfId="42020"/>
    <cellStyle name="Comma 17 7 3 6" xfId="42021"/>
    <cellStyle name="Comma 17 7 4" xfId="42022"/>
    <cellStyle name="Comma 17 7 4 2" xfId="42023"/>
    <cellStyle name="Comma 17 7 4 2 2" xfId="42024"/>
    <cellStyle name="Comma 17 7 4 2 3" xfId="42025"/>
    <cellStyle name="Comma 17 7 4 3" xfId="42026"/>
    <cellStyle name="Comma 17 7 4 3 2" xfId="42027"/>
    <cellStyle name="Comma 17 7 4 4" xfId="42028"/>
    <cellStyle name="Comma 17 7 4 5" xfId="42029"/>
    <cellStyle name="Comma 17 7 5" xfId="42030"/>
    <cellStyle name="Comma 17 7 5 2" xfId="42031"/>
    <cellStyle name="Comma 17 7 5 3" xfId="42032"/>
    <cellStyle name="Comma 17 7 6" xfId="42033"/>
    <cellStyle name="Comma 17 7 6 2" xfId="42034"/>
    <cellStyle name="Comma 17 7 6 3" xfId="42035"/>
    <cellStyle name="Comma 17 7 7" xfId="42036"/>
    <cellStyle name="Comma 17 7 7 2" xfId="42037"/>
    <cellStyle name="Comma 17 7 8" xfId="42038"/>
    <cellStyle name="Comma 17 7 9" xfId="42039"/>
    <cellStyle name="Comma 17 8" xfId="42040"/>
    <cellStyle name="Comma 17 8 2" xfId="42041"/>
    <cellStyle name="Comma 17 8 2 2" xfId="42042"/>
    <cellStyle name="Comma 17 8 2 3" xfId="42043"/>
    <cellStyle name="Comma 17 8 3" xfId="42044"/>
    <cellStyle name="Comma 17 8 3 2" xfId="42045"/>
    <cellStyle name="Comma 17 8 3 3" xfId="42046"/>
    <cellStyle name="Comma 17 8 4" xfId="42047"/>
    <cellStyle name="Comma 17 8 4 2" xfId="42048"/>
    <cellStyle name="Comma 17 8 5" xfId="42049"/>
    <cellStyle name="Comma 17 8 6" xfId="42050"/>
    <cellStyle name="Comma 17 9" xfId="42051"/>
    <cellStyle name="Comma 17 9 2" xfId="42052"/>
    <cellStyle name="Comma 17 9 2 2" xfId="42053"/>
    <cellStyle name="Comma 17 9 2 3" xfId="42054"/>
    <cellStyle name="Comma 17 9 3" xfId="42055"/>
    <cellStyle name="Comma 17 9 3 2" xfId="42056"/>
    <cellStyle name="Comma 17 9 3 3" xfId="42057"/>
    <cellStyle name="Comma 17 9 4" xfId="42058"/>
    <cellStyle name="Comma 17 9 4 2" xfId="42059"/>
    <cellStyle name="Comma 17 9 5" xfId="42060"/>
    <cellStyle name="Comma 17 9 6" xfId="42061"/>
    <cellStyle name="Comma 18" xfId="3247"/>
    <cellStyle name="Comma 18 10" xfId="42062"/>
    <cellStyle name="Comma 18 10 2" xfId="42063"/>
    <cellStyle name="Comma 18 10 2 2" xfId="42064"/>
    <cellStyle name="Comma 18 10 2 3" xfId="42065"/>
    <cellStyle name="Comma 18 10 3" xfId="42066"/>
    <cellStyle name="Comma 18 10 3 2" xfId="42067"/>
    <cellStyle name="Comma 18 10 4" xfId="42068"/>
    <cellStyle name="Comma 18 10 5" xfId="42069"/>
    <cellStyle name="Comma 18 11" xfId="42070"/>
    <cellStyle name="Comma 18 11 2" xfId="42071"/>
    <cellStyle name="Comma 18 11 3" xfId="42072"/>
    <cellStyle name="Comma 18 12" xfId="42073"/>
    <cellStyle name="Comma 18 12 2" xfId="42074"/>
    <cellStyle name="Comma 18 12 3" xfId="42075"/>
    <cellStyle name="Comma 18 13" xfId="42076"/>
    <cellStyle name="Comma 18 13 2" xfId="42077"/>
    <cellStyle name="Comma 18 14" xfId="42078"/>
    <cellStyle name="Comma 18 15" xfId="42079"/>
    <cellStyle name="Comma 18 16" xfId="42080"/>
    <cellStyle name="Comma 18 2" xfId="3248"/>
    <cellStyle name="Comma 18 2 10" xfId="42081"/>
    <cellStyle name="Comma 18 2 10 2" xfId="42082"/>
    <cellStyle name="Comma 18 2 10 3" xfId="42083"/>
    <cellStyle name="Comma 18 2 11" xfId="42084"/>
    <cellStyle name="Comma 18 2 11 2" xfId="42085"/>
    <cellStyle name="Comma 18 2 11 3" xfId="42086"/>
    <cellStyle name="Comma 18 2 12" xfId="42087"/>
    <cellStyle name="Comma 18 2 12 2" xfId="42088"/>
    <cellStyle name="Comma 18 2 13" xfId="42089"/>
    <cellStyle name="Comma 18 2 14" xfId="42090"/>
    <cellStyle name="Comma 18 2 2" xfId="42091"/>
    <cellStyle name="Comma 18 2 2 10" xfId="42092"/>
    <cellStyle name="Comma 18 2 2 10 2" xfId="42093"/>
    <cellStyle name="Comma 18 2 2 10 3" xfId="42094"/>
    <cellStyle name="Comma 18 2 2 11" xfId="42095"/>
    <cellStyle name="Comma 18 2 2 11 2" xfId="42096"/>
    <cellStyle name="Comma 18 2 2 12" xfId="42097"/>
    <cellStyle name="Comma 18 2 2 13" xfId="42098"/>
    <cellStyle name="Comma 18 2 2 2" xfId="42099"/>
    <cellStyle name="Comma 18 2 2 2 10" xfId="42100"/>
    <cellStyle name="Comma 18 2 2 2 10 2" xfId="42101"/>
    <cellStyle name="Comma 18 2 2 2 11" xfId="42102"/>
    <cellStyle name="Comma 18 2 2 2 12" xfId="42103"/>
    <cellStyle name="Comma 18 2 2 2 2" xfId="42104"/>
    <cellStyle name="Comma 18 2 2 2 2 10" xfId="42105"/>
    <cellStyle name="Comma 18 2 2 2 2 2" xfId="42106"/>
    <cellStyle name="Comma 18 2 2 2 2 2 2" xfId="42107"/>
    <cellStyle name="Comma 18 2 2 2 2 2 2 2" xfId="42108"/>
    <cellStyle name="Comma 18 2 2 2 2 2 2 2 2" xfId="42109"/>
    <cellStyle name="Comma 18 2 2 2 2 2 2 2 3" xfId="42110"/>
    <cellStyle name="Comma 18 2 2 2 2 2 2 3" xfId="42111"/>
    <cellStyle name="Comma 18 2 2 2 2 2 2 3 2" xfId="42112"/>
    <cellStyle name="Comma 18 2 2 2 2 2 2 3 3" xfId="42113"/>
    <cellStyle name="Comma 18 2 2 2 2 2 2 4" xfId="42114"/>
    <cellStyle name="Comma 18 2 2 2 2 2 2 4 2" xfId="42115"/>
    <cellStyle name="Comma 18 2 2 2 2 2 2 5" xfId="42116"/>
    <cellStyle name="Comma 18 2 2 2 2 2 2 6" xfId="42117"/>
    <cellStyle name="Comma 18 2 2 2 2 2 3" xfId="42118"/>
    <cellStyle name="Comma 18 2 2 2 2 2 3 2" xfId="42119"/>
    <cellStyle name="Comma 18 2 2 2 2 2 3 2 2" xfId="42120"/>
    <cellStyle name="Comma 18 2 2 2 2 2 3 2 3" xfId="42121"/>
    <cellStyle name="Comma 18 2 2 2 2 2 3 3" xfId="42122"/>
    <cellStyle name="Comma 18 2 2 2 2 2 3 3 2" xfId="42123"/>
    <cellStyle name="Comma 18 2 2 2 2 2 3 3 3" xfId="42124"/>
    <cellStyle name="Comma 18 2 2 2 2 2 3 4" xfId="42125"/>
    <cellStyle name="Comma 18 2 2 2 2 2 3 4 2" xfId="42126"/>
    <cellStyle name="Comma 18 2 2 2 2 2 3 5" xfId="42127"/>
    <cellStyle name="Comma 18 2 2 2 2 2 3 6" xfId="42128"/>
    <cellStyle name="Comma 18 2 2 2 2 2 4" xfId="42129"/>
    <cellStyle name="Comma 18 2 2 2 2 2 4 2" xfId="42130"/>
    <cellStyle name="Comma 18 2 2 2 2 2 4 2 2" xfId="42131"/>
    <cellStyle name="Comma 18 2 2 2 2 2 4 2 3" xfId="42132"/>
    <cellStyle name="Comma 18 2 2 2 2 2 4 3" xfId="42133"/>
    <cellStyle name="Comma 18 2 2 2 2 2 4 3 2" xfId="42134"/>
    <cellStyle name="Comma 18 2 2 2 2 2 4 4" xfId="42135"/>
    <cellStyle name="Comma 18 2 2 2 2 2 4 5" xfId="42136"/>
    <cellStyle name="Comma 18 2 2 2 2 2 5" xfId="42137"/>
    <cellStyle name="Comma 18 2 2 2 2 2 5 2" xfId="42138"/>
    <cellStyle name="Comma 18 2 2 2 2 2 5 3" xfId="42139"/>
    <cellStyle name="Comma 18 2 2 2 2 2 6" xfId="42140"/>
    <cellStyle name="Comma 18 2 2 2 2 2 6 2" xfId="42141"/>
    <cellStyle name="Comma 18 2 2 2 2 2 6 3" xfId="42142"/>
    <cellStyle name="Comma 18 2 2 2 2 2 7" xfId="42143"/>
    <cellStyle name="Comma 18 2 2 2 2 2 7 2" xfId="42144"/>
    <cellStyle name="Comma 18 2 2 2 2 2 8" xfId="42145"/>
    <cellStyle name="Comma 18 2 2 2 2 2 9" xfId="42146"/>
    <cellStyle name="Comma 18 2 2 2 2 3" xfId="42147"/>
    <cellStyle name="Comma 18 2 2 2 2 3 2" xfId="42148"/>
    <cellStyle name="Comma 18 2 2 2 2 3 2 2" xfId="42149"/>
    <cellStyle name="Comma 18 2 2 2 2 3 2 3" xfId="42150"/>
    <cellStyle name="Comma 18 2 2 2 2 3 3" xfId="42151"/>
    <cellStyle name="Comma 18 2 2 2 2 3 3 2" xfId="42152"/>
    <cellStyle name="Comma 18 2 2 2 2 3 3 3" xfId="42153"/>
    <cellStyle name="Comma 18 2 2 2 2 3 4" xfId="42154"/>
    <cellStyle name="Comma 18 2 2 2 2 3 4 2" xfId="42155"/>
    <cellStyle name="Comma 18 2 2 2 2 3 5" xfId="42156"/>
    <cellStyle name="Comma 18 2 2 2 2 3 6" xfId="42157"/>
    <cellStyle name="Comma 18 2 2 2 2 4" xfId="42158"/>
    <cellStyle name="Comma 18 2 2 2 2 4 2" xfId="42159"/>
    <cellStyle name="Comma 18 2 2 2 2 4 2 2" xfId="42160"/>
    <cellStyle name="Comma 18 2 2 2 2 4 2 3" xfId="42161"/>
    <cellStyle name="Comma 18 2 2 2 2 4 3" xfId="42162"/>
    <cellStyle name="Comma 18 2 2 2 2 4 3 2" xfId="42163"/>
    <cellStyle name="Comma 18 2 2 2 2 4 3 3" xfId="42164"/>
    <cellStyle name="Comma 18 2 2 2 2 4 4" xfId="42165"/>
    <cellStyle name="Comma 18 2 2 2 2 4 4 2" xfId="42166"/>
    <cellStyle name="Comma 18 2 2 2 2 4 5" xfId="42167"/>
    <cellStyle name="Comma 18 2 2 2 2 4 6" xfId="42168"/>
    <cellStyle name="Comma 18 2 2 2 2 5" xfId="42169"/>
    <cellStyle name="Comma 18 2 2 2 2 5 2" xfId="42170"/>
    <cellStyle name="Comma 18 2 2 2 2 5 2 2" xfId="42171"/>
    <cellStyle name="Comma 18 2 2 2 2 5 2 3" xfId="42172"/>
    <cellStyle name="Comma 18 2 2 2 2 5 3" xfId="42173"/>
    <cellStyle name="Comma 18 2 2 2 2 5 3 2" xfId="42174"/>
    <cellStyle name="Comma 18 2 2 2 2 5 4" xfId="42175"/>
    <cellStyle name="Comma 18 2 2 2 2 5 5" xfId="42176"/>
    <cellStyle name="Comma 18 2 2 2 2 6" xfId="42177"/>
    <cellStyle name="Comma 18 2 2 2 2 6 2" xfId="42178"/>
    <cellStyle name="Comma 18 2 2 2 2 6 3" xfId="42179"/>
    <cellStyle name="Comma 18 2 2 2 2 7" xfId="42180"/>
    <cellStyle name="Comma 18 2 2 2 2 7 2" xfId="42181"/>
    <cellStyle name="Comma 18 2 2 2 2 7 3" xfId="42182"/>
    <cellStyle name="Comma 18 2 2 2 2 8" xfId="42183"/>
    <cellStyle name="Comma 18 2 2 2 2 8 2" xfId="42184"/>
    <cellStyle name="Comma 18 2 2 2 2 9" xfId="42185"/>
    <cellStyle name="Comma 18 2 2 2 3" xfId="42186"/>
    <cellStyle name="Comma 18 2 2 2 3 2" xfId="42187"/>
    <cellStyle name="Comma 18 2 2 2 3 2 2" xfId="42188"/>
    <cellStyle name="Comma 18 2 2 2 3 2 2 2" xfId="42189"/>
    <cellStyle name="Comma 18 2 2 2 3 2 2 3" xfId="42190"/>
    <cellStyle name="Comma 18 2 2 2 3 2 3" xfId="42191"/>
    <cellStyle name="Comma 18 2 2 2 3 2 3 2" xfId="42192"/>
    <cellStyle name="Comma 18 2 2 2 3 2 3 3" xfId="42193"/>
    <cellStyle name="Comma 18 2 2 2 3 2 4" xfId="42194"/>
    <cellStyle name="Comma 18 2 2 2 3 2 4 2" xfId="42195"/>
    <cellStyle name="Comma 18 2 2 2 3 2 5" xfId="42196"/>
    <cellStyle name="Comma 18 2 2 2 3 2 6" xfId="42197"/>
    <cellStyle name="Comma 18 2 2 2 3 3" xfId="42198"/>
    <cellStyle name="Comma 18 2 2 2 3 3 2" xfId="42199"/>
    <cellStyle name="Comma 18 2 2 2 3 3 2 2" xfId="42200"/>
    <cellStyle name="Comma 18 2 2 2 3 3 2 3" xfId="42201"/>
    <cellStyle name="Comma 18 2 2 2 3 3 3" xfId="42202"/>
    <cellStyle name="Comma 18 2 2 2 3 3 3 2" xfId="42203"/>
    <cellStyle name="Comma 18 2 2 2 3 3 3 3" xfId="42204"/>
    <cellStyle name="Comma 18 2 2 2 3 3 4" xfId="42205"/>
    <cellStyle name="Comma 18 2 2 2 3 3 4 2" xfId="42206"/>
    <cellStyle name="Comma 18 2 2 2 3 3 5" xfId="42207"/>
    <cellStyle name="Comma 18 2 2 2 3 3 6" xfId="42208"/>
    <cellStyle name="Comma 18 2 2 2 3 4" xfId="42209"/>
    <cellStyle name="Comma 18 2 2 2 3 4 2" xfId="42210"/>
    <cellStyle name="Comma 18 2 2 2 3 4 2 2" xfId="42211"/>
    <cellStyle name="Comma 18 2 2 2 3 4 2 3" xfId="42212"/>
    <cellStyle name="Comma 18 2 2 2 3 4 3" xfId="42213"/>
    <cellStyle name="Comma 18 2 2 2 3 4 3 2" xfId="42214"/>
    <cellStyle name="Comma 18 2 2 2 3 4 4" xfId="42215"/>
    <cellStyle name="Comma 18 2 2 2 3 4 5" xfId="42216"/>
    <cellStyle name="Comma 18 2 2 2 3 5" xfId="42217"/>
    <cellStyle name="Comma 18 2 2 2 3 5 2" xfId="42218"/>
    <cellStyle name="Comma 18 2 2 2 3 5 3" xfId="42219"/>
    <cellStyle name="Comma 18 2 2 2 3 6" xfId="42220"/>
    <cellStyle name="Comma 18 2 2 2 3 6 2" xfId="42221"/>
    <cellStyle name="Comma 18 2 2 2 3 6 3" xfId="42222"/>
    <cellStyle name="Comma 18 2 2 2 3 7" xfId="42223"/>
    <cellStyle name="Comma 18 2 2 2 3 7 2" xfId="42224"/>
    <cellStyle name="Comma 18 2 2 2 3 8" xfId="42225"/>
    <cellStyle name="Comma 18 2 2 2 3 9" xfId="42226"/>
    <cellStyle name="Comma 18 2 2 2 4" xfId="42227"/>
    <cellStyle name="Comma 18 2 2 2 4 2" xfId="42228"/>
    <cellStyle name="Comma 18 2 2 2 4 2 2" xfId="42229"/>
    <cellStyle name="Comma 18 2 2 2 4 2 2 2" xfId="42230"/>
    <cellStyle name="Comma 18 2 2 2 4 2 2 3" xfId="42231"/>
    <cellStyle name="Comma 18 2 2 2 4 2 3" xfId="42232"/>
    <cellStyle name="Comma 18 2 2 2 4 2 3 2" xfId="42233"/>
    <cellStyle name="Comma 18 2 2 2 4 2 3 3" xfId="42234"/>
    <cellStyle name="Comma 18 2 2 2 4 2 4" xfId="42235"/>
    <cellStyle name="Comma 18 2 2 2 4 2 4 2" xfId="42236"/>
    <cellStyle name="Comma 18 2 2 2 4 2 5" xfId="42237"/>
    <cellStyle name="Comma 18 2 2 2 4 2 6" xfId="42238"/>
    <cellStyle name="Comma 18 2 2 2 4 3" xfId="42239"/>
    <cellStyle name="Comma 18 2 2 2 4 3 2" xfId="42240"/>
    <cellStyle name="Comma 18 2 2 2 4 3 2 2" xfId="42241"/>
    <cellStyle name="Comma 18 2 2 2 4 3 2 3" xfId="42242"/>
    <cellStyle name="Comma 18 2 2 2 4 3 3" xfId="42243"/>
    <cellStyle name="Comma 18 2 2 2 4 3 3 2" xfId="42244"/>
    <cellStyle name="Comma 18 2 2 2 4 3 3 3" xfId="42245"/>
    <cellStyle name="Comma 18 2 2 2 4 3 4" xfId="42246"/>
    <cellStyle name="Comma 18 2 2 2 4 3 4 2" xfId="42247"/>
    <cellStyle name="Comma 18 2 2 2 4 3 5" xfId="42248"/>
    <cellStyle name="Comma 18 2 2 2 4 3 6" xfId="42249"/>
    <cellStyle name="Comma 18 2 2 2 4 4" xfId="42250"/>
    <cellStyle name="Comma 18 2 2 2 4 4 2" xfId="42251"/>
    <cellStyle name="Comma 18 2 2 2 4 4 2 2" xfId="42252"/>
    <cellStyle name="Comma 18 2 2 2 4 4 2 3" xfId="42253"/>
    <cellStyle name="Comma 18 2 2 2 4 4 3" xfId="42254"/>
    <cellStyle name="Comma 18 2 2 2 4 4 3 2" xfId="42255"/>
    <cellStyle name="Comma 18 2 2 2 4 4 4" xfId="42256"/>
    <cellStyle name="Comma 18 2 2 2 4 4 5" xfId="42257"/>
    <cellStyle name="Comma 18 2 2 2 4 5" xfId="42258"/>
    <cellStyle name="Comma 18 2 2 2 4 5 2" xfId="42259"/>
    <cellStyle name="Comma 18 2 2 2 4 5 3" xfId="42260"/>
    <cellStyle name="Comma 18 2 2 2 4 6" xfId="42261"/>
    <cellStyle name="Comma 18 2 2 2 4 6 2" xfId="42262"/>
    <cellStyle name="Comma 18 2 2 2 4 6 3" xfId="42263"/>
    <cellStyle name="Comma 18 2 2 2 4 7" xfId="42264"/>
    <cellStyle name="Comma 18 2 2 2 4 7 2" xfId="42265"/>
    <cellStyle name="Comma 18 2 2 2 4 8" xfId="42266"/>
    <cellStyle name="Comma 18 2 2 2 4 9" xfId="42267"/>
    <cellStyle name="Comma 18 2 2 2 5" xfId="42268"/>
    <cellStyle name="Comma 18 2 2 2 5 2" xfId="42269"/>
    <cellStyle name="Comma 18 2 2 2 5 2 2" xfId="42270"/>
    <cellStyle name="Comma 18 2 2 2 5 2 3" xfId="42271"/>
    <cellStyle name="Comma 18 2 2 2 5 3" xfId="42272"/>
    <cellStyle name="Comma 18 2 2 2 5 3 2" xfId="42273"/>
    <cellStyle name="Comma 18 2 2 2 5 3 3" xfId="42274"/>
    <cellStyle name="Comma 18 2 2 2 5 4" xfId="42275"/>
    <cellStyle name="Comma 18 2 2 2 5 4 2" xfId="42276"/>
    <cellStyle name="Comma 18 2 2 2 5 5" xfId="42277"/>
    <cellStyle name="Comma 18 2 2 2 5 6" xfId="42278"/>
    <cellStyle name="Comma 18 2 2 2 6" xfId="42279"/>
    <cellStyle name="Comma 18 2 2 2 6 2" xfId="42280"/>
    <cellStyle name="Comma 18 2 2 2 6 2 2" xfId="42281"/>
    <cellStyle name="Comma 18 2 2 2 6 2 3" xfId="42282"/>
    <cellStyle name="Comma 18 2 2 2 6 3" xfId="42283"/>
    <cellStyle name="Comma 18 2 2 2 6 3 2" xfId="42284"/>
    <cellStyle name="Comma 18 2 2 2 6 3 3" xfId="42285"/>
    <cellStyle name="Comma 18 2 2 2 6 4" xfId="42286"/>
    <cellStyle name="Comma 18 2 2 2 6 4 2" xfId="42287"/>
    <cellStyle name="Comma 18 2 2 2 6 5" xfId="42288"/>
    <cellStyle name="Comma 18 2 2 2 6 6" xfId="42289"/>
    <cellStyle name="Comma 18 2 2 2 7" xfId="42290"/>
    <cellStyle name="Comma 18 2 2 2 7 2" xfId="42291"/>
    <cellStyle name="Comma 18 2 2 2 7 2 2" xfId="42292"/>
    <cellStyle name="Comma 18 2 2 2 7 2 3" xfId="42293"/>
    <cellStyle name="Comma 18 2 2 2 7 3" xfId="42294"/>
    <cellStyle name="Comma 18 2 2 2 7 3 2" xfId="42295"/>
    <cellStyle name="Comma 18 2 2 2 7 4" xfId="42296"/>
    <cellStyle name="Comma 18 2 2 2 7 5" xfId="42297"/>
    <cellStyle name="Comma 18 2 2 2 8" xfId="42298"/>
    <cellStyle name="Comma 18 2 2 2 8 2" xfId="42299"/>
    <cellStyle name="Comma 18 2 2 2 8 3" xfId="42300"/>
    <cellStyle name="Comma 18 2 2 2 9" xfId="42301"/>
    <cellStyle name="Comma 18 2 2 2 9 2" xfId="42302"/>
    <cellStyle name="Comma 18 2 2 2 9 3" xfId="42303"/>
    <cellStyle name="Comma 18 2 2 3" xfId="42304"/>
    <cellStyle name="Comma 18 2 2 3 10" xfId="42305"/>
    <cellStyle name="Comma 18 2 2 3 2" xfId="42306"/>
    <cellStyle name="Comma 18 2 2 3 2 2" xfId="42307"/>
    <cellStyle name="Comma 18 2 2 3 2 2 2" xfId="42308"/>
    <cellStyle name="Comma 18 2 2 3 2 2 2 2" xfId="42309"/>
    <cellStyle name="Comma 18 2 2 3 2 2 2 3" xfId="42310"/>
    <cellStyle name="Comma 18 2 2 3 2 2 3" xfId="42311"/>
    <cellStyle name="Comma 18 2 2 3 2 2 3 2" xfId="42312"/>
    <cellStyle name="Comma 18 2 2 3 2 2 3 3" xfId="42313"/>
    <cellStyle name="Comma 18 2 2 3 2 2 4" xfId="42314"/>
    <cellStyle name="Comma 18 2 2 3 2 2 4 2" xfId="42315"/>
    <cellStyle name="Comma 18 2 2 3 2 2 5" xfId="42316"/>
    <cellStyle name="Comma 18 2 2 3 2 2 6" xfId="42317"/>
    <cellStyle name="Comma 18 2 2 3 2 3" xfId="42318"/>
    <cellStyle name="Comma 18 2 2 3 2 3 2" xfId="42319"/>
    <cellStyle name="Comma 18 2 2 3 2 3 2 2" xfId="42320"/>
    <cellStyle name="Comma 18 2 2 3 2 3 2 3" xfId="42321"/>
    <cellStyle name="Comma 18 2 2 3 2 3 3" xfId="42322"/>
    <cellStyle name="Comma 18 2 2 3 2 3 3 2" xfId="42323"/>
    <cellStyle name="Comma 18 2 2 3 2 3 3 3" xfId="42324"/>
    <cellStyle name="Comma 18 2 2 3 2 3 4" xfId="42325"/>
    <cellStyle name="Comma 18 2 2 3 2 3 4 2" xfId="42326"/>
    <cellStyle name="Comma 18 2 2 3 2 3 5" xfId="42327"/>
    <cellStyle name="Comma 18 2 2 3 2 3 6" xfId="42328"/>
    <cellStyle name="Comma 18 2 2 3 2 4" xfId="42329"/>
    <cellStyle name="Comma 18 2 2 3 2 4 2" xfId="42330"/>
    <cellStyle name="Comma 18 2 2 3 2 4 2 2" xfId="42331"/>
    <cellStyle name="Comma 18 2 2 3 2 4 2 3" xfId="42332"/>
    <cellStyle name="Comma 18 2 2 3 2 4 3" xfId="42333"/>
    <cellStyle name="Comma 18 2 2 3 2 4 3 2" xfId="42334"/>
    <cellStyle name="Comma 18 2 2 3 2 4 4" xfId="42335"/>
    <cellStyle name="Comma 18 2 2 3 2 4 5" xfId="42336"/>
    <cellStyle name="Comma 18 2 2 3 2 5" xfId="42337"/>
    <cellStyle name="Comma 18 2 2 3 2 5 2" xfId="42338"/>
    <cellStyle name="Comma 18 2 2 3 2 5 3" xfId="42339"/>
    <cellStyle name="Comma 18 2 2 3 2 6" xfId="42340"/>
    <cellStyle name="Comma 18 2 2 3 2 6 2" xfId="42341"/>
    <cellStyle name="Comma 18 2 2 3 2 6 3" xfId="42342"/>
    <cellStyle name="Comma 18 2 2 3 2 7" xfId="42343"/>
    <cellStyle name="Comma 18 2 2 3 2 7 2" xfId="42344"/>
    <cellStyle name="Comma 18 2 2 3 2 8" xfId="42345"/>
    <cellStyle name="Comma 18 2 2 3 2 9" xfId="42346"/>
    <cellStyle name="Comma 18 2 2 3 3" xfId="42347"/>
    <cellStyle name="Comma 18 2 2 3 3 2" xfId="42348"/>
    <cellStyle name="Comma 18 2 2 3 3 2 2" xfId="42349"/>
    <cellStyle name="Comma 18 2 2 3 3 2 3" xfId="42350"/>
    <cellStyle name="Comma 18 2 2 3 3 3" xfId="42351"/>
    <cellStyle name="Comma 18 2 2 3 3 3 2" xfId="42352"/>
    <cellStyle name="Comma 18 2 2 3 3 3 3" xfId="42353"/>
    <cellStyle name="Comma 18 2 2 3 3 4" xfId="42354"/>
    <cellStyle name="Comma 18 2 2 3 3 4 2" xfId="42355"/>
    <cellStyle name="Comma 18 2 2 3 3 5" xfId="42356"/>
    <cellStyle name="Comma 18 2 2 3 3 6" xfId="42357"/>
    <cellStyle name="Comma 18 2 2 3 4" xfId="42358"/>
    <cellStyle name="Comma 18 2 2 3 4 2" xfId="42359"/>
    <cellStyle name="Comma 18 2 2 3 4 2 2" xfId="42360"/>
    <cellStyle name="Comma 18 2 2 3 4 2 3" xfId="42361"/>
    <cellStyle name="Comma 18 2 2 3 4 3" xfId="42362"/>
    <cellStyle name="Comma 18 2 2 3 4 3 2" xfId="42363"/>
    <cellStyle name="Comma 18 2 2 3 4 3 3" xfId="42364"/>
    <cellStyle name="Comma 18 2 2 3 4 4" xfId="42365"/>
    <cellStyle name="Comma 18 2 2 3 4 4 2" xfId="42366"/>
    <cellStyle name="Comma 18 2 2 3 4 5" xfId="42367"/>
    <cellStyle name="Comma 18 2 2 3 4 6" xfId="42368"/>
    <cellStyle name="Comma 18 2 2 3 5" xfId="42369"/>
    <cellStyle name="Comma 18 2 2 3 5 2" xfId="42370"/>
    <cellStyle name="Comma 18 2 2 3 5 2 2" xfId="42371"/>
    <cellStyle name="Comma 18 2 2 3 5 2 3" xfId="42372"/>
    <cellStyle name="Comma 18 2 2 3 5 3" xfId="42373"/>
    <cellStyle name="Comma 18 2 2 3 5 3 2" xfId="42374"/>
    <cellStyle name="Comma 18 2 2 3 5 4" xfId="42375"/>
    <cellStyle name="Comma 18 2 2 3 5 5" xfId="42376"/>
    <cellStyle name="Comma 18 2 2 3 6" xfId="42377"/>
    <cellStyle name="Comma 18 2 2 3 6 2" xfId="42378"/>
    <cellStyle name="Comma 18 2 2 3 6 3" xfId="42379"/>
    <cellStyle name="Comma 18 2 2 3 7" xfId="42380"/>
    <cellStyle name="Comma 18 2 2 3 7 2" xfId="42381"/>
    <cellStyle name="Comma 18 2 2 3 7 3" xfId="42382"/>
    <cellStyle name="Comma 18 2 2 3 8" xfId="42383"/>
    <cellStyle name="Comma 18 2 2 3 8 2" xfId="42384"/>
    <cellStyle name="Comma 18 2 2 3 9" xfId="42385"/>
    <cellStyle name="Comma 18 2 2 4" xfId="42386"/>
    <cellStyle name="Comma 18 2 2 4 2" xfId="42387"/>
    <cellStyle name="Comma 18 2 2 4 2 2" xfId="42388"/>
    <cellStyle name="Comma 18 2 2 4 2 2 2" xfId="42389"/>
    <cellStyle name="Comma 18 2 2 4 2 2 3" xfId="42390"/>
    <cellStyle name="Comma 18 2 2 4 2 3" xfId="42391"/>
    <cellStyle name="Comma 18 2 2 4 2 3 2" xfId="42392"/>
    <cellStyle name="Comma 18 2 2 4 2 3 3" xfId="42393"/>
    <cellStyle name="Comma 18 2 2 4 2 4" xfId="42394"/>
    <cellStyle name="Comma 18 2 2 4 2 4 2" xfId="42395"/>
    <cellStyle name="Comma 18 2 2 4 2 5" xfId="42396"/>
    <cellStyle name="Comma 18 2 2 4 2 6" xfId="42397"/>
    <cellStyle name="Comma 18 2 2 4 3" xfId="42398"/>
    <cellStyle name="Comma 18 2 2 4 3 2" xfId="42399"/>
    <cellStyle name="Comma 18 2 2 4 3 2 2" xfId="42400"/>
    <cellStyle name="Comma 18 2 2 4 3 2 3" xfId="42401"/>
    <cellStyle name="Comma 18 2 2 4 3 3" xfId="42402"/>
    <cellStyle name="Comma 18 2 2 4 3 3 2" xfId="42403"/>
    <cellStyle name="Comma 18 2 2 4 3 3 3" xfId="42404"/>
    <cellStyle name="Comma 18 2 2 4 3 4" xfId="42405"/>
    <cellStyle name="Comma 18 2 2 4 3 4 2" xfId="42406"/>
    <cellStyle name="Comma 18 2 2 4 3 5" xfId="42407"/>
    <cellStyle name="Comma 18 2 2 4 3 6" xfId="42408"/>
    <cellStyle name="Comma 18 2 2 4 4" xfId="42409"/>
    <cellStyle name="Comma 18 2 2 4 4 2" xfId="42410"/>
    <cellStyle name="Comma 18 2 2 4 4 2 2" xfId="42411"/>
    <cellStyle name="Comma 18 2 2 4 4 2 3" xfId="42412"/>
    <cellStyle name="Comma 18 2 2 4 4 3" xfId="42413"/>
    <cellStyle name="Comma 18 2 2 4 4 3 2" xfId="42414"/>
    <cellStyle name="Comma 18 2 2 4 4 4" xfId="42415"/>
    <cellStyle name="Comma 18 2 2 4 4 5" xfId="42416"/>
    <cellStyle name="Comma 18 2 2 4 5" xfId="42417"/>
    <cellStyle name="Comma 18 2 2 4 5 2" xfId="42418"/>
    <cellStyle name="Comma 18 2 2 4 5 3" xfId="42419"/>
    <cellStyle name="Comma 18 2 2 4 6" xfId="42420"/>
    <cellStyle name="Comma 18 2 2 4 6 2" xfId="42421"/>
    <cellStyle name="Comma 18 2 2 4 6 3" xfId="42422"/>
    <cellStyle name="Comma 18 2 2 4 7" xfId="42423"/>
    <cellStyle name="Comma 18 2 2 4 7 2" xfId="42424"/>
    <cellStyle name="Comma 18 2 2 4 8" xfId="42425"/>
    <cellStyle name="Comma 18 2 2 4 9" xfId="42426"/>
    <cellStyle name="Comma 18 2 2 5" xfId="42427"/>
    <cellStyle name="Comma 18 2 2 5 2" xfId="42428"/>
    <cellStyle name="Comma 18 2 2 5 2 2" xfId="42429"/>
    <cellStyle name="Comma 18 2 2 5 2 2 2" xfId="42430"/>
    <cellStyle name="Comma 18 2 2 5 2 2 3" xfId="42431"/>
    <cellStyle name="Comma 18 2 2 5 2 3" xfId="42432"/>
    <cellStyle name="Comma 18 2 2 5 2 3 2" xfId="42433"/>
    <cellStyle name="Comma 18 2 2 5 2 3 3" xfId="42434"/>
    <cellStyle name="Comma 18 2 2 5 2 4" xfId="42435"/>
    <cellStyle name="Comma 18 2 2 5 2 4 2" xfId="42436"/>
    <cellStyle name="Comma 18 2 2 5 2 5" xfId="42437"/>
    <cellStyle name="Comma 18 2 2 5 2 6" xfId="42438"/>
    <cellStyle name="Comma 18 2 2 5 3" xfId="42439"/>
    <cellStyle name="Comma 18 2 2 5 3 2" xfId="42440"/>
    <cellStyle name="Comma 18 2 2 5 3 2 2" xfId="42441"/>
    <cellStyle name="Comma 18 2 2 5 3 2 3" xfId="42442"/>
    <cellStyle name="Comma 18 2 2 5 3 3" xfId="42443"/>
    <cellStyle name="Comma 18 2 2 5 3 3 2" xfId="42444"/>
    <cellStyle name="Comma 18 2 2 5 3 3 3" xfId="42445"/>
    <cellStyle name="Comma 18 2 2 5 3 4" xfId="42446"/>
    <cellStyle name="Comma 18 2 2 5 3 4 2" xfId="42447"/>
    <cellStyle name="Comma 18 2 2 5 3 5" xfId="42448"/>
    <cellStyle name="Comma 18 2 2 5 3 6" xfId="42449"/>
    <cellStyle name="Comma 18 2 2 5 4" xfId="42450"/>
    <cellStyle name="Comma 18 2 2 5 4 2" xfId="42451"/>
    <cellStyle name="Comma 18 2 2 5 4 2 2" xfId="42452"/>
    <cellStyle name="Comma 18 2 2 5 4 2 3" xfId="42453"/>
    <cellStyle name="Comma 18 2 2 5 4 3" xfId="42454"/>
    <cellStyle name="Comma 18 2 2 5 4 3 2" xfId="42455"/>
    <cellStyle name="Comma 18 2 2 5 4 4" xfId="42456"/>
    <cellStyle name="Comma 18 2 2 5 4 5" xfId="42457"/>
    <cellStyle name="Comma 18 2 2 5 5" xfId="42458"/>
    <cellStyle name="Comma 18 2 2 5 5 2" xfId="42459"/>
    <cellStyle name="Comma 18 2 2 5 5 3" xfId="42460"/>
    <cellStyle name="Comma 18 2 2 5 6" xfId="42461"/>
    <cellStyle name="Comma 18 2 2 5 6 2" xfId="42462"/>
    <cellStyle name="Comma 18 2 2 5 6 3" xfId="42463"/>
    <cellStyle name="Comma 18 2 2 5 7" xfId="42464"/>
    <cellStyle name="Comma 18 2 2 5 7 2" xfId="42465"/>
    <cellStyle name="Comma 18 2 2 5 8" xfId="42466"/>
    <cellStyle name="Comma 18 2 2 5 9" xfId="42467"/>
    <cellStyle name="Comma 18 2 2 6" xfId="42468"/>
    <cellStyle name="Comma 18 2 2 6 2" xfId="42469"/>
    <cellStyle name="Comma 18 2 2 6 2 2" xfId="42470"/>
    <cellStyle name="Comma 18 2 2 6 2 3" xfId="42471"/>
    <cellStyle name="Comma 18 2 2 6 3" xfId="42472"/>
    <cellStyle name="Comma 18 2 2 6 3 2" xfId="42473"/>
    <cellStyle name="Comma 18 2 2 6 3 3" xfId="42474"/>
    <cellStyle name="Comma 18 2 2 6 4" xfId="42475"/>
    <cellStyle name="Comma 18 2 2 6 4 2" xfId="42476"/>
    <cellStyle name="Comma 18 2 2 6 5" xfId="42477"/>
    <cellStyle name="Comma 18 2 2 6 6" xfId="42478"/>
    <cellStyle name="Comma 18 2 2 7" xfId="42479"/>
    <cellStyle name="Comma 18 2 2 7 2" xfId="42480"/>
    <cellStyle name="Comma 18 2 2 7 2 2" xfId="42481"/>
    <cellStyle name="Comma 18 2 2 7 2 3" xfId="42482"/>
    <cellStyle name="Comma 18 2 2 7 3" xfId="42483"/>
    <cellStyle name="Comma 18 2 2 7 3 2" xfId="42484"/>
    <cellStyle name="Comma 18 2 2 7 3 3" xfId="42485"/>
    <cellStyle name="Comma 18 2 2 7 4" xfId="42486"/>
    <cellStyle name="Comma 18 2 2 7 4 2" xfId="42487"/>
    <cellStyle name="Comma 18 2 2 7 5" xfId="42488"/>
    <cellStyle name="Comma 18 2 2 7 6" xfId="42489"/>
    <cellStyle name="Comma 18 2 2 8" xfId="42490"/>
    <cellStyle name="Comma 18 2 2 8 2" xfId="42491"/>
    <cellStyle name="Comma 18 2 2 8 2 2" xfId="42492"/>
    <cellStyle name="Comma 18 2 2 8 2 3" xfId="42493"/>
    <cellStyle name="Comma 18 2 2 8 3" xfId="42494"/>
    <cellStyle name="Comma 18 2 2 8 3 2" xfId="42495"/>
    <cellStyle name="Comma 18 2 2 8 4" xfId="42496"/>
    <cellStyle name="Comma 18 2 2 8 5" xfId="42497"/>
    <cellStyle name="Comma 18 2 2 9" xfId="42498"/>
    <cellStyle name="Comma 18 2 2 9 2" xfId="42499"/>
    <cellStyle name="Comma 18 2 2 9 3" xfId="42500"/>
    <cellStyle name="Comma 18 2 3" xfId="42501"/>
    <cellStyle name="Comma 18 2 3 10" xfId="42502"/>
    <cellStyle name="Comma 18 2 3 10 2" xfId="42503"/>
    <cellStyle name="Comma 18 2 3 11" xfId="42504"/>
    <cellStyle name="Comma 18 2 3 12" xfId="42505"/>
    <cellStyle name="Comma 18 2 3 2" xfId="42506"/>
    <cellStyle name="Comma 18 2 3 2 10" xfId="42507"/>
    <cellStyle name="Comma 18 2 3 2 2" xfId="42508"/>
    <cellStyle name="Comma 18 2 3 2 2 2" xfId="42509"/>
    <cellStyle name="Comma 18 2 3 2 2 2 2" xfId="42510"/>
    <cellStyle name="Comma 18 2 3 2 2 2 2 2" xfId="42511"/>
    <cellStyle name="Comma 18 2 3 2 2 2 2 3" xfId="42512"/>
    <cellStyle name="Comma 18 2 3 2 2 2 3" xfId="42513"/>
    <cellStyle name="Comma 18 2 3 2 2 2 3 2" xfId="42514"/>
    <cellStyle name="Comma 18 2 3 2 2 2 3 3" xfId="42515"/>
    <cellStyle name="Comma 18 2 3 2 2 2 4" xfId="42516"/>
    <cellStyle name="Comma 18 2 3 2 2 2 4 2" xfId="42517"/>
    <cellStyle name="Comma 18 2 3 2 2 2 5" xfId="42518"/>
    <cellStyle name="Comma 18 2 3 2 2 2 6" xfId="42519"/>
    <cellStyle name="Comma 18 2 3 2 2 3" xfId="42520"/>
    <cellStyle name="Comma 18 2 3 2 2 3 2" xfId="42521"/>
    <cellStyle name="Comma 18 2 3 2 2 3 2 2" xfId="42522"/>
    <cellStyle name="Comma 18 2 3 2 2 3 2 3" xfId="42523"/>
    <cellStyle name="Comma 18 2 3 2 2 3 3" xfId="42524"/>
    <cellStyle name="Comma 18 2 3 2 2 3 3 2" xfId="42525"/>
    <cellStyle name="Comma 18 2 3 2 2 3 3 3" xfId="42526"/>
    <cellStyle name="Comma 18 2 3 2 2 3 4" xfId="42527"/>
    <cellStyle name="Comma 18 2 3 2 2 3 4 2" xfId="42528"/>
    <cellStyle name="Comma 18 2 3 2 2 3 5" xfId="42529"/>
    <cellStyle name="Comma 18 2 3 2 2 3 6" xfId="42530"/>
    <cellStyle name="Comma 18 2 3 2 2 4" xfId="42531"/>
    <cellStyle name="Comma 18 2 3 2 2 4 2" xfId="42532"/>
    <cellStyle name="Comma 18 2 3 2 2 4 2 2" xfId="42533"/>
    <cellStyle name="Comma 18 2 3 2 2 4 2 3" xfId="42534"/>
    <cellStyle name="Comma 18 2 3 2 2 4 3" xfId="42535"/>
    <cellStyle name="Comma 18 2 3 2 2 4 3 2" xfId="42536"/>
    <cellStyle name="Comma 18 2 3 2 2 4 4" xfId="42537"/>
    <cellStyle name="Comma 18 2 3 2 2 4 5" xfId="42538"/>
    <cellStyle name="Comma 18 2 3 2 2 5" xfId="42539"/>
    <cellStyle name="Comma 18 2 3 2 2 5 2" xfId="42540"/>
    <cellStyle name="Comma 18 2 3 2 2 5 3" xfId="42541"/>
    <cellStyle name="Comma 18 2 3 2 2 6" xfId="42542"/>
    <cellStyle name="Comma 18 2 3 2 2 6 2" xfId="42543"/>
    <cellStyle name="Comma 18 2 3 2 2 6 3" xfId="42544"/>
    <cellStyle name="Comma 18 2 3 2 2 7" xfId="42545"/>
    <cellStyle name="Comma 18 2 3 2 2 7 2" xfId="42546"/>
    <cellStyle name="Comma 18 2 3 2 2 8" xfId="42547"/>
    <cellStyle name="Comma 18 2 3 2 2 9" xfId="42548"/>
    <cellStyle name="Comma 18 2 3 2 3" xfId="42549"/>
    <cellStyle name="Comma 18 2 3 2 3 2" xfId="42550"/>
    <cellStyle name="Comma 18 2 3 2 3 2 2" xfId="42551"/>
    <cellStyle name="Comma 18 2 3 2 3 2 3" xfId="42552"/>
    <cellStyle name="Comma 18 2 3 2 3 3" xfId="42553"/>
    <cellStyle name="Comma 18 2 3 2 3 3 2" xfId="42554"/>
    <cellStyle name="Comma 18 2 3 2 3 3 3" xfId="42555"/>
    <cellStyle name="Comma 18 2 3 2 3 4" xfId="42556"/>
    <cellStyle name="Comma 18 2 3 2 3 4 2" xfId="42557"/>
    <cellStyle name="Comma 18 2 3 2 3 5" xfId="42558"/>
    <cellStyle name="Comma 18 2 3 2 3 6" xfId="42559"/>
    <cellStyle name="Comma 18 2 3 2 4" xfId="42560"/>
    <cellStyle name="Comma 18 2 3 2 4 2" xfId="42561"/>
    <cellStyle name="Comma 18 2 3 2 4 2 2" xfId="42562"/>
    <cellStyle name="Comma 18 2 3 2 4 2 3" xfId="42563"/>
    <cellStyle name="Comma 18 2 3 2 4 3" xfId="42564"/>
    <cellStyle name="Comma 18 2 3 2 4 3 2" xfId="42565"/>
    <cellStyle name="Comma 18 2 3 2 4 3 3" xfId="42566"/>
    <cellStyle name="Comma 18 2 3 2 4 4" xfId="42567"/>
    <cellStyle name="Comma 18 2 3 2 4 4 2" xfId="42568"/>
    <cellStyle name="Comma 18 2 3 2 4 5" xfId="42569"/>
    <cellStyle name="Comma 18 2 3 2 4 6" xfId="42570"/>
    <cellStyle name="Comma 18 2 3 2 5" xfId="42571"/>
    <cellStyle name="Comma 18 2 3 2 5 2" xfId="42572"/>
    <cellStyle name="Comma 18 2 3 2 5 2 2" xfId="42573"/>
    <cellStyle name="Comma 18 2 3 2 5 2 3" xfId="42574"/>
    <cellStyle name="Comma 18 2 3 2 5 3" xfId="42575"/>
    <cellStyle name="Comma 18 2 3 2 5 3 2" xfId="42576"/>
    <cellStyle name="Comma 18 2 3 2 5 4" xfId="42577"/>
    <cellStyle name="Comma 18 2 3 2 5 5" xfId="42578"/>
    <cellStyle name="Comma 18 2 3 2 6" xfId="42579"/>
    <cellStyle name="Comma 18 2 3 2 6 2" xfId="42580"/>
    <cellStyle name="Comma 18 2 3 2 6 3" xfId="42581"/>
    <cellStyle name="Comma 18 2 3 2 7" xfId="42582"/>
    <cellStyle name="Comma 18 2 3 2 7 2" xfId="42583"/>
    <cellStyle name="Comma 18 2 3 2 7 3" xfId="42584"/>
    <cellStyle name="Comma 18 2 3 2 8" xfId="42585"/>
    <cellStyle name="Comma 18 2 3 2 8 2" xfId="42586"/>
    <cellStyle name="Comma 18 2 3 2 9" xfId="42587"/>
    <cellStyle name="Comma 18 2 3 3" xfId="42588"/>
    <cellStyle name="Comma 18 2 3 3 2" xfId="42589"/>
    <cellStyle name="Comma 18 2 3 3 2 2" xfId="42590"/>
    <cellStyle name="Comma 18 2 3 3 2 2 2" xfId="42591"/>
    <cellStyle name="Comma 18 2 3 3 2 2 3" xfId="42592"/>
    <cellStyle name="Comma 18 2 3 3 2 3" xfId="42593"/>
    <cellStyle name="Comma 18 2 3 3 2 3 2" xfId="42594"/>
    <cellStyle name="Comma 18 2 3 3 2 3 3" xfId="42595"/>
    <cellStyle name="Comma 18 2 3 3 2 4" xfId="42596"/>
    <cellStyle name="Comma 18 2 3 3 2 4 2" xfId="42597"/>
    <cellStyle name="Comma 18 2 3 3 2 5" xfId="42598"/>
    <cellStyle name="Comma 18 2 3 3 2 6" xfId="42599"/>
    <cellStyle name="Comma 18 2 3 3 3" xfId="42600"/>
    <cellStyle name="Comma 18 2 3 3 3 2" xfId="42601"/>
    <cellStyle name="Comma 18 2 3 3 3 2 2" xfId="42602"/>
    <cellStyle name="Comma 18 2 3 3 3 2 3" xfId="42603"/>
    <cellStyle name="Comma 18 2 3 3 3 3" xfId="42604"/>
    <cellStyle name="Comma 18 2 3 3 3 3 2" xfId="42605"/>
    <cellStyle name="Comma 18 2 3 3 3 3 3" xfId="42606"/>
    <cellStyle name="Comma 18 2 3 3 3 4" xfId="42607"/>
    <cellStyle name="Comma 18 2 3 3 3 4 2" xfId="42608"/>
    <cellStyle name="Comma 18 2 3 3 3 5" xfId="42609"/>
    <cellStyle name="Comma 18 2 3 3 3 6" xfId="42610"/>
    <cellStyle name="Comma 18 2 3 3 4" xfId="42611"/>
    <cellStyle name="Comma 18 2 3 3 4 2" xfId="42612"/>
    <cellStyle name="Comma 18 2 3 3 4 2 2" xfId="42613"/>
    <cellStyle name="Comma 18 2 3 3 4 2 3" xfId="42614"/>
    <cellStyle name="Comma 18 2 3 3 4 3" xfId="42615"/>
    <cellStyle name="Comma 18 2 3 3 4 3 2" xfId="42616"/>
    <cellStyle name="Comma 18 2 3 3 4 4" xfId="42617"/>
    <cellStyle name="Comma 18 2 3 3 4 5" xfId="42618"/>
    <cellStyle name="Comma 18 2 3 3 5" xfId="42619"/>
    <cellStyle name="Comma 18 2 3 3 5 2" xfId="42620"/>
    <cellStyle name="Comma 18 2 3 3 5 3" xfId="42621"/>
    <cellStyle name="Comma 18 2 3 3 6" xfId="42622"/>
    <cellStyle name="Comma 18 2 3 3 6 2" xfId="42623"/>
    <cellStyle name="Comma 18 2 3 3 6 3" xfId="42624"/>
    <cellStyle name="Comma 18 2 3 3 7" xfId="42625"/>
    <cellStyle name="Comma 18 2 3 3 7 2" xfId="42626"/>
    <cellStyle name="Comma 18 2 3 3 8" xfId="42627"/>
    <cellStyle name="Comma 18 2 3 3 9" xfId="42628"/>
    <cellStyle name="Comma 18 2 3 4" xfId="42629"/>
    <cellStyle name="Comma 18 2 3 4 2" xfId="42630"/>
    <cellStyle name="Comma 18 2 3 4 2 2" xfId="42631"/>
    <cellStyle name="Comma 18 2 3 4 2 2 2" xfId="42632"/>
    <cellStyle name="Comma 18 2 3 4 2 2 3" xfId="42633"/>
    <cellStyle name="Comma 18 2 3 4 2 3" xfId="42634"/>
    <cellStyle name="Comma 18 2 3 4 2 3 2" xfId="42635"/>
    <cellStyle name="Comma 18 2 3 4 2 3 3" xfId="42636"/>
    <cellStyle name="Comma 18 2 3 4 2 4" xfId="42637"/>
    <cellStyle name="Comma 18 2 3 4 2 4 2" xfId="42638"/>
    <cellStyle name="Comma 18 2 3 4 2 5" xfId="42639"/>
    <cellStyle name="Comma 18 2 3 4 2 6" xfId="42640"/>
    <cellStyle name="Comma 18 2 3 4 3" xfId="42641"/>
    <cellStyle name="Comma 18 2 3 4 3 2" xfId="42642"/>
    <cellStyle name="Comma 18 2 3 4 3 2 2" xfId="42643"/>
    <cellStyle name="Comma 18 2 3 4 3 2 3" xfId="42644"/>
    <cellStyle name="Comma 18 2 3 4 3 3" xfId="42645"/>
    <cellStyle name="Comma 18 2 3 4 3 3 2" xfId="42646"/>
    <cellStyle name="Comma 18 2 3 4 3 3 3" xfId="42647"/>
    <cellStyle name="Comma 18 2 3 4 3 4" xfId="42648"/>
    <cellStyle name="Comma 18 2 3 4 3 4 2" xfId="42649"/>
    <cellStyle name="Comma 18 2 3 4 3 5" xfId="42650"/>
    <cellStyle name="Comma 18 2 3 4 3 6" xfId="42651"/>
    <cellStyle name="Comma 18 2 3 4 4" xfId="42652"/>
    <cellStyle name="Comma 18 2 3 4 4 2" xfId="42653"/>
    <cellStyle name="Comma 18 2 3 4 4 2 2" xfId="42654"/>
    <cellStyle name="Comma 18 2 3 4 4 2 3" xfId="42655"/>
    <cellStyle name="Comma 18 2 3 4 4 3" xfId="42656"/>
    <cellStyle name="Comma 18 2 3 4 4 3 2" xfId="42657"/>
    <cellStyle name="Comma 18 2 3 4 4 4" xfId="42658"/>
    <cellStyle name="Comma 18 2 3 4 4 5" xfId="42659"/>
    <cellStyle name="Comma 18 2 3 4 5" xfId="42660"/>
    <cellStyle name="Comma 18 2 3 4 5 2" xfId="42661"/>
    <cellStyle name="Comma 18 2 3 4 5 3" xfId="42662"/>
    <cellStyle name="Comma 18 2 3 4 6" xfId="42663"/>
    <cellStyle name="Comma 18 2 3 4 6 2" xfId="42664"/>
    <cellStyle name="Comma 18 2 3 4 6 3" xfId="42665"/>
    <cellStyle name="Comma 18 2 3 4 7" xfId="42666"/>
    <cellStyle name="Comma 18 2 3 4 7 2" xfId="42667"/>
    <cellStyle name="Comma 18 2 3 4 8" xfId="42668"/>
    <cellStyle name="Comma 18 2 3 4 9" xfId="42669"/>
    <cellStyle name="Comma 18 2 3 5" xfId="42670"/>
    <cellStyle name="Comma 18 2 3 5 2" xfId="42671"/>
    <cellStyle name="Comma 18 2 3 5 2 2" xfId="42672"/>
    <cellStyle name="Comma 18 2 3 5 2 3" xfId="42673"/>
    <cellStyle name="Comma 18 2 3 5 3" xfId="42674"/>
    <cellStyle name="Comma 18 2 3 5 3 2" xfId="42675"/>
    <cellStyle name="Comma 18 2 3 5 3 3" xfId="42676"/>
    <cellStyle name="Comma 18 2 3 5 4" xfId="42677"/>
    <cellStyle name="Comma 18 2 3 5 4 2" xfId="42678"/>
    <cellStyle name="Comma 18 2 3 5 5" xfId="42679"/>
    <cellStyle name="Comma 18 2 3 5 6" xfId="42680"/>
    <cellStyle name="Comma 18 2 3 6" xfId="42681"/>
    <cellStyle name="Comma 18 2 3 6 2" xfId="42682"/>
    <cellStyle name="Comma 18 2 3 6 2 2" xfId="42683"/>
    <cellStyle name="Comma 18 2 3 6 2 3" xfId="42684"/>
    <cellStyle name="Comma 18 2 3 6 3" xfId="42685"/>
    <cellStyle name="Comma 18 2 3 6 3 2" xfId="42686"/>
    <cellStyle name="Comma 18 2 3 6 3 3" xfId="42687"/>
    <cellStyle name="Comma 18 2 3 6 4" xfId="42688"/>
    <cellStyle name="Comma 18 2 3 6 4 2" xfId="42689"/>
    <cellStyle name="Comma 18 2 3 6 5" xfId="42690"/>
    <cellStyle name="Comma 18 2 3 6 6" xfId="42691"/>
    <cellStyle name="Comma 18 2 3 7" xfId="42692"/>
    <cellStyle name="Comma 18 2 3 7 2" xfId="42693"/>
    <cellStyle name="Comma 18 2 3 7 2 2" xfId="42694"/>
    <cellStyle name="Comma 18 2 3 7 2 3" xfId="42695"/>
    <cellStyle name="Comma 18 2 3 7 3" xfId="42696"/>
    <cellStyle name="Comma 18 2 3 7 3 2" xfId="42697"/>
    <cellStyle name="Comma 18 2 3 7 4" xfId="42698"/>
    <cellStyle name="Comma 18 2 3 7 5" xfId="42699"/>
    <cellStyle name="Comma 18 2 3 8" xfId="42700"/>
    <cellStyle name="Comma 18 2 3 8 2" xfId="42701"/>
    <cellStyle name="Comma 18 2 3 8 3" xfId="42702"/>
    <cellStyle name="Comma 18 2 3 9" xfId="42703"/>
    <cellStyle name="Comma 18 2 3 9 2" xfId="42704"/>
    <cellStyle name="Comma 18 2 3 9 3" xfId="42705"/>
    <cellStyle name="Comma 18 2 4" xfId="42706"/>
    <cellStyle name="Comma 18 2 4 10" xfId="42707"/>
    <cellStyle name="Comma 18 2 4 2" xfId="42708"/>
    <cellStyle name="Comma 18 2 4 2 2" xfId="42709"/>
    <cellStyle name="Comma 18 2 4 2 2 2" xfId="42710"/>
    <cellStyle name="Comma 18 2 4 2 2 2 2" xfId="42711"/>
    <cellStyle name="Comma 18 2 4 2 2 2 3" xfId="42712"/>
    <cellStyle name="Comma 18 2 4 2 2 3" xfId="42713"/>
    <cellStyle name="Comma 18 2 4 2 2 3 2" xfId="42714"/>
    <cellStyle name="Comma 18 2 4 2 2 3 3" xfId="42715"/>
    <cellStyle name="Comma 18 2 4 2 2 4" xfId="42716"/>
    <cellStyle name="Comma 18 2 4 2 2 4 2" xfId="42717"/>
    <cellStyle name="Comma 18 2 4 2 2 5" xfId="42718"/>
    <cellStyle name="Comma 18 2 4 2 2 6" xfId="42719"/>
    <cellStyle name="Comma 18 2 4 2 3" xfId="42720"/>
    <cellStyle name="Comma 18 2 4 2 3 2" xfId="42721"/>
    <cellStyle name="Comma 18 2 4 2 3 2 2" xfId="42722"/>
    <cellStyle name="Comma 18 2 4 2 3 2 3" xfId="42723"/>
    <cellStyle name="Comma 18 2 4 2 3 3" xfId="42724"/>
    <cellStyle name="Comma 18 2 4 2 3 3 2" xfId="42725"/>
    <cellStyle name="Comma 18 2 4 2 3 3 3" xfId="42726"/>
    <cellStyle name="Comma 18 2 4 2 3 4" xfId="42727"/>
    <cellStyle name="Comma 18 2 4 2 3 4 2" xfId="42728"/>
    <cellStyle name="Comma 18 2 4 2 3 5" xfId="42729"/>
    <cellStyle name="Comma 18 2 4 2 3 6" xfId="42730"/>
    <cellStyle name="Comma 18 2 4 2 4" xfId="42731"/>
    <cellStyle name="Comma 18 2 4 2 4 2" xfId="42732"/>
    <cellStyle name="Comma 18 2 4 2 4 2 2" xfId="42733"/>
    <cellStyle name="Comma 18 2 4 2 4 2 3" xfId="42734"/>
    <cellStyle name="Comma 18 2 4 2 4 3" xfId="42735"/>
    <cellStyle name="Comma 18 2 4 2 4 3 2" xfId="42736"/>
    <cellStyle name="Comma 18 2 4 2 4 4" xfId="42737"/>
    <cellStyle name="Comma 18 2 4 2 4 5" xfId="42738"/>
    <cellStyle name="Comma 18 2 4 2 5" xfId="42739"/>
    <cellStyle name="Comma 18 2 4 2 5 2" xfId="42740"/>
    <cellStyle name="Comma 18 2 4 2 5 3" xfId="42741"/>
    <cellStyle name="Comma 18 2 4 2 6" xfId="42742"/>
    <cellStyle name="Comma 18 2 4 2 6 2" xfId="42743"/>
    <cellStyle name="Comma 18 2 4 2 6 3" xfId="42744"/>
    <cellStyle name="Comma 18 2 4 2 7" xfId="42745"/>
    <cellStyle name="Comma 18 2 4 2 7 2" xfId="42746"/>
    <cellStyle name="Comma 18 2 4 2 8" xfId="42747"/>
    <cellStyle name="Comma 18 2 4 2 9" xfId="42748"/>
    <cellStyle name="Comma 18 2 4 3" xfId="42749"/>
    <cellStyle name="Comma 18 2 4 3 2" xfId="42750"/>
    <cellStyle name="Comma 18 2 4 3 2 2" xfId="42751"/>
    <cellStyle name="Comma 18 2 4 3 2 3" xfId="42752"/>
    <cellStyle name="Comma 18 2 4 3 3" xfId="42753"/>
    <cellStyle name="Comma 18 2 4 3 3 2" xfId="42754"/>
    <cellStyle name="Comma 18 2 4 3 3 3" xfId="42755"/>
    <cellStyle name="Comma 18 2 4 3 4" xfId="42756"/>
    <cellStyle name="Comma 18 2 4 3 4 2" xfId="42757"/>
    <cellStyle name="Comma 18 2 4 3 5" xfId="42758"/>
    <cellStyle name="Comma 18 2 4 3 6" xfId="42759"/>
    <cellStyle name="Comma 18 2 4 4" xfId="42760"/>
    <cellStyle name="Comma 18 2 4 4 2" xfId="42761"/>
    <cellStyle name="Comma 18 2 4 4 2 2" xfId="42762"/>
    <cellStyle name="Comma 18 2 4 4 2 3" xfId="42763"/>
    <cellStyle name="Comma 18 2 4 4 3" xfId="42764"/>
    <cellStyle name="Comma 18 2 4 4 3 2" xfId="42765"/>
    <cellStyle name="Comma 18 2 4 4 3 3" xfId="42766"/>
    <cellStyle name="Comma 18 2 4 4 4" xfId="42767"/>
    <cellStyle name="Comma 18 2 4 4 4 2" xfId="42768"/>
    <cellStyle name="Comma 18 2 4 4 5" xfId="42769"/>
    <cellStyle name="Comma 18 2 4 4 6" xfId="42770"/>
    <cellStyle name="Comma 18 2 4 5" xfId="42771"/>
    <cellStyle name="Comma 18 2 4 5 2" xfId="42772"/>
    <cellStyle name="Comma 18 2 4 5 2 2" xfId="42773"/>
    <cellStyle name="Comma 18 2 4 5 2 3" xfId="42774"/>
    <cellStyle name="Comma 18 2 4 5 3" xfId="42775"/>
    <cellStyle name="Comma 18 2 4 5 3 2" xfId="42776"/>
    <cellStyle name="Comma 18 2 4 5 4" xfId="42777"/>
    <cellStyle name="Comma 18 2 4 5 5" xfId="42778"/>
    <cellStyle name="Comma 18 2 4 6" xfId="42779"/>
    <cellStyle name="Comma 18 2 4 6 2" xfId="42780"/>
    <cellStyle name="Comma 18 2 4 6 3" xfId="42781"/>
    <cellStyle name="Comma 18 2 4 7" xfId="42782"/>
    <cellStyle name="Comma 18 2 4 7 2" xfId="42783"/>
    <cellStyle name="Comma 18 2 4 7 3" xfId="42784"/>
    <cellStyle name="Comma 18 2 4 8" xfId="42785"/>
    <cellStyle name="Comma 18 2 4 8 2" xfId="42786"/>
    <cellStyle name="Comma 18 2 4 9" xfId="42787"/>
    <cellStyle name="Comma 18 2 5" xfId="42788"/>
    <cellStyle name="Comma 18 2 5 2" xfId="42789"/>
    <cellStyle name="Comma 18 2 5 2 2" xfId="42790"/>
    <cellStyle name="Comma 18 2 5 2 2 2" xfId="42791"/>
    <cellStyle name="Comma 18 2 5 2 2 3" xfId="42792"/>
    <cellStyle name="Comma 18 2 5 2 3" xfId="42793"/>
    <cellStyle name="Comma 18 2 5 2 3 2" xfId="42794"/>
    <cellStyle name="Comma 18 2 5 2 3 3" xfId="42795"/>
    <cellStyle name="Comma 18 2 5 2 4" xfId="42796"/>
    <cellStyle name="Comma 18 2 5 2 4 2" xfId="42797"/>
    <cellStyle name="Comma 18 2 5 2 5" xfId="42798"/>
    <cellStyle name="Comma 18 2 5 2 6" xfId="42799"/>
    <cellStyle name="Comma 18 2 5 3" xfId="42800"/>
    <cellStyle name="Comma 18 2 5 3 2" xfId="42801"/>
    <cellStyle name="Comma 18 2 5 3 2 2" xfId="42802"/>
    <cellStyle name="Comma 18 2 5 3 2 3" xfId="42803"/>
    <cellStyle name="Comma 18 2 5 3 3" xfId="42804"/>
    <cellStyle name="Comma 18 2 5 3 3 2" xfId="42805"/>
    <cellStyle name="Comma 18 2 5 3 3 3" xfId="42806"/>
    <cellStyle name="Comma 18 2 5 3 4" xfId="42807"/>
    <cellStyle name="Comma 18 2 5 3 4 2" xfId="42808"/>
    <cellStyle name="Comma 18 2 5 3 5" xfId="42809"/>
    <cellStyle name="Comma 18 2 5 3 6" xfId="42810"/>
    <cellStyle name="Comma 18 2 5 4" xfId="42811"/>
    <cellStyle name="Comma 18 2 5 4 2" xfId="42812"/>
    <cellStyle name="Comma 18 2 5 4 2 2" xfId="42813"/>
    <cellStyle name="Comma 18 2 5 4 2 3" xfId="42814"/>
    <cellStyle name="Comma 18 2 5 4 3" xfId="42815"/>
    <cellStyle name="Comma 18 2 5 4 3 2" xfId="42816"/>
    <cellStyle name="Comma 18 2 5 4 4" xfId="42817"/>
    <cellStyle name="Comma 18 2 5 4 5" xfId="42818"/>
    <cellStyle name="Comma 18 2 5 5" xfId="42819"/>
    <cellStyle name="Comma 18 2 5 5 2" xfId="42820"/>
    <cellStyle name="Comma 18 2 5 5 3" xfId="42821"/>
    <cellStyle name="Comma 18 2 5 6" xfId="42822"/>
    <cellStyle name="Comma 18 2 5 6 2" xfId="42823"/>
    <cellStyle name="Comma 18 2 5 6 3" xfId="42824"/>
    <cellStyle name="Comma 18 2 5 7" xfId="42825"/>
    <cellStyle name="Comma 18 2 5 7 2" xfId="42826"/>
    <cellStyle name="Comma 18 2 5 8" xfId="42827"/>
    <cellStyle name="Comma 18 2 5 9" xfId="42828"/>
    <cellStyle name="Comma 18 2 6" xfId="42829"/>
    <cellStyle name="Comma 18 2 6 2" xfId="42830"/>
    <cellStyle name="Comma 18 2 6 2 2" xfId="42831"/>
    <cellStyle name="Comma 18 2 6 2 2 2" xfId="42832"/>
    <cellStyle name="Comma 18 2 6 2 2 3" xfId="42833"/>
    <cellStyle name="Comma 18 2 6 2 3" xfId="42834"/>
    <cellStyle name="Comma 18 2 6 2 3 2" xfId="42835"/>
    <cellStyle name="Comma 18 2 6 2 3 3" xfId="42836"/>
    <cellStyle name="Comma 18 2 6 2 4" xfId="42837"/>
    <cellStyle name="Comma 18 2 6 2 4 2" xfId="42838"/>
    <cellStyle name="Comma 18 2 6 2 5" xfId="42839"/>
    <cellStyle name="Comma 18 2 6 2 6" xfId="42840"/>
    <cellStyle name="Comma 18 2 6 3" xfId="42841"/>
    <cellStyle name="Comma 18 2 6 3 2" xfId="42842"/>
    <cellStyle name="Comma 18 2 6 3 2 2" xfId="42843"/>
    <cellStyle name="Comma 18 2 6 3 2 3" xfId="42844"/>
    <cellStyle name="Comma 18 2 6 3 3" xfId="42845"/>
    <cellStyle name="Comma 18 2 6 3 3 2" xfId="42846"/>
    <cellStyle name="Comma 18 2 6 3 3 3" xfId="42847"/>
    <cellStyle name="Comma 18 2 6 3 4" xfId="42848"/>
    <cellStyle name="Comma 18 2 6 3 4 2" xfId="42849"/>
    <cellStyle name="Comma 18 2 6 3 5" xfId="42850"/>
    <cellStyle name="Comma 18 2 6 3 6" xfId="42851"/>
    <cellStyle name="Comma 18 2 6 4" xfId="42852"/>
    <cellStyle name="Comma 18 2 6 4 2" xfId="42853"/>
    <cellStyle name="Comma 18 2 6 4 2 2" xfId="42854"/>
    <cellStyle name="Comma 18 2 6 4 2 3" xfId="42855"/>
    <cellStyle name="Comma 18 2 6 4 3" xfId="42856"/>
    <cellStyle name="Comma 18 2 6 4 3 2" xfId="42857"/>
    <cellStyle name="Comma 18 2 6 4 4" xfId="42858"/>
    <cellStyle name="Comma 18 2 6 4 5" xfId="42859"/>
    <cellStyle name="Comma 18 2 6 5" xfId="42860"/>
    <cellStyle name="Comma 18 2 6 5 2" xfId="42861"/>
    <cellStyle name="Comma 18 2 6 5 3" xfId="42862"/>
    <cellStyle name="Comma 18 2 6 6" xfId="42863"/>
    <cellStyle name="Comma 18 2 6 6 2" xfId="42864"/>
    <cellStyle name="Comma 18 2 6 6 3" xfId="42865"/>
    <cellStyle name="Comma 18 2 6 7" xfId="42866"/>
    <cellStyle name="Comma 18 2 6 7 2" xfId="42867"/>
    <cellStyle name="Comma 18 2 6 8" xfId="42868"/>
    <cellStyle name="Comma 18 2 6 9" xfId="42869"/>
    <cellStyle name="Comma 18 2 7" xfId="42870"/>
    <cellStyle name="Comma 18 2 7 2" xfId="42871"/>
    <cellStyle name="Comma 18 2 7 2 2" xfId="42872"/>
    <cellStyle name="Comma 18 2 7 2 3" xfId="42873"/>
    <cellStyle name="Comma 18 2 7 3" xfId="42874"/>
    <cellStyle name="Comma 18 2 7 3 2" xfId="42875"/>
    <cellStyle name="Comma 18 2 7 3 3" xfId="42876"/>
    <cellStyle name="Comma 18 2 7 4" xfId="42877"/>
    <cellStyle name="Comma 18 2 7 4 2" xfId="42878"/>
    <cellStyle name="Comma 18 2 7 5" xfId="42879"/>
    <cellStyle name="Comma 18 2 7 6" xfId="42880"/>
    <cellStyle name="Comma 18 2 8" xfId="42881"/>
    <cellStyle name="Comma 18 2 8 2" xfId="42882"/>
    <cellStyle name="Comma 18 2 8 2 2" xfId="42883"/>
    <cellStyle name="Comma 18 2 8 2 3" xfId="42884"/>
    <cellStyle name="Comma 18 2 8 3" xfId="42885"/>
    <cellStyle name="Comma 18 2 8 3 2" xfId="42886"/>
    <cellStyle name="Comma 18 2 8 3 3" xfId="42887"/>
    <cellStyle name="Comma 18 2 8 4" xfId="42888"/>
    <cellStyle name="Comma 18 2 8 4 2" xfId="42889"/>
    <cellStyle name="Comma 18 2 8 5" xfId="42890"/>
    <cellStyle name="Comma 18 2 8 6" xfId="42891"/>
    <cellStyle name="Comma 18 2 9" xfId="42892"/>
    <cellStyle name="Comma 18 2 9 2" xfId="42893"/>
    <cellStyle name="Comma 18 2 9 2 2" xfId="42894"/>
    <cellStyle name="Comma 18 2 9 2 3" xfId="42895"/>
    <cellStyle name="Comma 18 2 9 3" xfId="42896"/>
    <cellStyle name="Comma 18 2 9 3 2" xfId="42897"/>
    <cellStyle name="Comma 18 2 9 4" xfId="42898"/>
    <cellStyle name="Comma 18 2 9 5" xfId="42899"/>
    <cellStyle name="Comma 18 3" xfId="42900"/>
    <cellStyle name="Comma 18 3 10" xfId="42901"/>
    <cellStyle name="Comma 18 3 10 2" xfId="42902"/>
    <cellStyle name="Comma 18 3 10 3" xfId="42903"/>
    <cellStyle name="Comma 18 3 11" xfId="42904"/>
    <cellStyle name="Comma 18 3 11 2" xfId="42905"/>
    <cellStyle name="Comma 18 3 12" xfId="42906"/>
    <cellStyle name="Comma 18 3 13" xfId="42907"/>
    <cellStyle name="Comma 18 3 2" xfId="42908"/>
    <cellStyle name="Comma 18 3 2 10" xfId="42909"/>
    <cellStyle name="Comma 18 3 2 10 2" xfId="42910"/>
    <cellStyle name="Comma 18 3 2 11" xfId="42911"/>
    <cellStyle name="Comma 18 3 2 12" xfId="42912"/>
    <cellStyle name="Comma 18 3 2 2" xfId="42913"/>
    <cellStyle name="Comma 18 3 2 2 10" xfId="42914"/>
    <cellStyle name="Comma 18 3 2 2 2" xfId="42915"/>
    <cellStyle name="Comma 18 3 2 2 2 2" xfId="42916"/>
    <cellStyle name="Comma 18 3 2 2 2 2 2" xfId="42917"/>
    <cellStyle name="Comma 18 3 2 2 2 2 2 2" xfId="42918"/>
    <cellStyle name="Comma 18 3 2 2 2 2 2 3" xfId="42919"/>
    <cellStyle name="Comma 18 3 2 2 2 2 3" xfId="42920"/>
    <cellStyle name="Comma 18 3 2 2 2 2 3 2" xfId="42921"/>
    <cellStyle name="Comma 18 3 2 2 2 2 3 3" xfId="42922"/>
    <cellStyle name="Comma 18 3 2 2 2 2 4" xfId="42923"/>
    <cellStyle name="Comma 18 3 2 2 2 2 4 2" xfId="42924"/>
    <cellStyle name="Comma 18 3 2 2 2 2 5" xfId="42925"/>
    <cellStyle name="Comma 18 3 2 2 2 2 6" xfId="42926"/>
    <cellStyle name="Comma 18 3 2 2 2 3" xfId="42927"/>
    <cellStyle name="Comma 18 3 2 2 2 3 2" xfId="42928"/>
    <cellStyle name="Comma 18 3 2 2 2 3 2 2" xfId="42929"/>
    <cellStyle name="Comma 18 3 2 2 2 3 2 3" xfId="42930"/>
    <cellStyle name="Comma 18 3 2 2 2 3 3" xfId="42931"/>
    <cellStyle name="Comma 18 3 2 2 2 3 3 2" xfId="42932"/>
    <cellStyle name="Comma 18 3 2 2 2 3 3 3" xfId="42933"/>
    <cellStyle name="Comma 18 3 2 2 2 3 4" xfId="42934"/>
    <cellStyle name="Comma 18 3 2 2 2 3 4 2" xfId="42935"/>
    <cellStyle name="Comma 18 3 2 2 2 3 5" xfId="42936"/>
    <cellStyle name="Comma 18 3 2 2 2 3 6" xfId="42937"/>
    <cellStyle name="Comma 18 3 2 2 2 4" xfId="42938"/>
    <cellStyle name="Comma 18 3 2 2 2 4 2" xfId="42939"/>
    <cellStyle name="Comma 18 3 2 2 2 4 2 2" xfId="42940"/>
    <cellStyle name="Comma 18 3 2 2 2 4 2 3" xfId="42941"/>
    <cellStyle name="Comma 18 3 2 2 2 4 3" xfId="42942"/>
    <cellStyle name="Comma 18 3 2 2 2 4 3 2" xfId="42943"/>
    <cellStyle name="Comma 18 3 2 2 2 4 4" xfId="42944"/>
    <cellStyle name="Comma 18 3 2 2 2 4 5" xfId="42945"/>
    <cellStyle name="Comma 18 3 2 2 2 5" xfId="42946"/>
    <cellStyle name="Comma 18 3 2 2 2 5 2" xfId="42947"/>
    <cellStyle name="Comma 18 3 2 2 2 5 3" xfId="42948"/>
    <cellStyle name="Comma 18 3 2 2 2 6" xfId="42949"/>
    <cellStyle name="Comma 18 3 2 2 2 6 2" xfId="42950"/>
    <cellStyle name="Comma 18 3 2 2 2 6 3" xfId="42951"/>
    <cellStyle name="Comma 18 3 2 2 2 7" xfId="42952"/>
    <cellStyle name="Comma 18 3 2 2 2 7 2" xfId="42953"/>
    <cellStyle name="Comma 18 3 2 2 2 8" xfId="42954"/>
    <cellStyle name="Comma 18 3 2 2 2 9" xfId="42955"/>
    <cellStyle name="Comma 18 3 2 2 3" xfId="42956"/>
    <cellStyle name="Comma 18 3 2 2 3 2" xfId="42957"/>
    <cellStyle name="Comma 18 3 2 2 3 2 2" xfId="42958"/>
    <cellStyle name="Comma 18 3 2 2 3 2 3" xfId="42959"/>
    <cellStyle name="Comma 18 3 2 2 3 3" xfId="42960"/>
    <cellStyle name="Comma 18 3 2 2 3 3 2" xfId="42961"/>
    <cellStyle name="Comma 18 3 2 2 3 3 3" xfId="42962"/>
    <cellStyle name="Comma 18 3 2 2 3 4" xfId="42963"/>
    <cellStyle name="Comma 18 3 2 2 3 4 2" xfId="42964"/>
    <cellStyle name="Comma 18 3 2 2 3 5" xfId="42965"/>
    <cellStyle name="Comma 18 3 2 2 3 6" xfId="42966"/>
    <cellStyle name="Comma 18 3 2 2 4" xfId="42967"/>
    <cellStyle name="Comma 18 3 2 2 4 2" xfId="42968"/>
    <cellStyle name="Comma 18 3 2 2 4 2 2" xfId="42969"/>
    <cellStyle name="Comma 18 3 2 2 4 2 3" xfId="42970"/>
    <cellStyle name="Comma 18 3 2 2 4 3" xfId="42971"/>
    <cellStyle name="Comma 18 3 2 2 4 3 2" xfId="42972"/>
    <cellStyle name="Comma 18 3 2 2 4 3 3" xfId="42973"/>
    <cellStyle name="Comma 18 3 2 2 4 4" xfId="42974"/>
    <cellStyle name="Comma 18 3 2 2 4 4 2" xfId="42975"/>
    <cellStyle name="Comma 18 3 2 2 4 5" xfId="42976"/>
    <cellStyle name="Comma 18 3 2 2 4 6" xfId="42977"/>
    <cellStyle name="Comma 18 3 2 2 5" xfId="42978"/>
    <cellStyle name="Comma 18 3 2 2 5 2" xfId="42979"/>
    <cellStyle name="Comma 18 3 2 2 5 2 2" xfId="42980"/>
    <cellStyle name="Comma 18 3 2 2 5 2 3" xfId="42981"/>
    <cellStyle name="Comma 18 3 2 2 5 3" xfId="42982"/>
    <cellStyle name="Comma 18 3 2 2 5 3 2" xfId="42983"/>
    <cellStyle name="Comma 18 3 2 2 5 4" xfId="42984"/>
    <cellStyle name="Comma 18 3 2 2 5 5" xfId="42985"/>
    <cellStyle name="Comma 18 3 2 2 6" xfId="42986"/>
    <cellStyle name="Comma 18 3 2 2 6 2" xfId="42987"/>
    <cellStyle name="Comma 18 3 2 2 6 3" xfId="42988"/>
    <cellStyle name="Comma 18 3 2 2 7" xfId="42989"/>
    <cellStyle name="Comma 18 3 2 2 7 2" xfId="42990"/>
    <cellStyle name="Comma 18 3 2 2 7 3" xfId="42991"/>
    <cellStyle name="Comma 18 3 2 2 8" xfId="42992"/>
    <cellStyle name="Comma 18 3 2 2 8 2" xfId="42993"/>
    <cellStyle name="Comma 18 3 2 2 9" xfId="42994"/>
    <cellStyle name="Comma 18 3 2 3" xfId="42995"/>
    <cellStyle name="Comma 18 3 2 3 2" xfId="42996"/>
    <cellStyle name="Comma 18 3 2 3 2 2" xfId="42997"/>
    <cellStyle name="Comma 18 3 2 3 2 2 2" xfId="42998"/>
    <cellStyle name="Comma 18 3 2 3 2 2 3" xfId="42999"/>
    <cellStyle name="Comma 18 3 2 3 2 3" xfId="43000"/>
    <cellStyle name="Comma 18 3 2 3 2 3 2" xfId="43001"/>
    <cellStyle name="Comma 18 3 2 3 2 3 3" xfId="43002"/>
    <cellStyle name="Comma 18 3 2 3 2 4" xfId="43003"/>
    <cellStyle name="Comma 18 3 2 3 2 4 2" xfId="43004"/>
    <cellStyle name="Comma 18 3 2 3 2 5" xfId="43005"/>
    <cellStyle name="Comma 18 3 2 3 2 6" xfId="43006"/>
    <cellStyle name="Comma 18 3 2 3 3" xfId="43007"/>
    <cellStyle name="Comma 18 3 2 3 3 2" xfId="43008"/>
    <cellStyle name="Comma 18 3 2 3 3 2 2" xfId="43009"/>
    <cellStyle name="Comma 18 3 2 3 3 2 3" xfId="43010"/>
    <cellStyle name="Comma 18 3 2 3 3 3" xfId="43011"/>
    <cellStyle name="Comma 18 3 2 3 3 3 2" xfId="43012"/>
    <cellStyle name="Comma 18 3 2 3 3 3 3" xfId="43013"/>
    <cellStyle name="Comma 18 3 2 3 3 4" xfId="43014"/>
    <cellStyle name="Comma 18 3 2 3 3 4 2" xfId="43015"/>
    <cellStyle name="Comma 18 3 2 3 3 5" xfId="43016"/>
    <cellStyle name="Comma 18 3 2 3 3 6" xfId="43017"/>
    <cellStyle name="Comma 18 3 2 3 4" xfId="43018"/>
    <cellStyle name="Comma 18 3 2 3 4 2" xfId="43019"/>
    <cellStyle name="Comma 18 3 2 3 4 2 2" xfId="43020"/>
    <cellStyle name="Comma 18 3 2 3 4 2 3" xfId="43021"/>
    <cellStyle name="Comma 18 3 2 3 4 3" xfId="43022"/>
    <cellStyle name="Comma 18 3 2 3 4 3 2" xfId="43023"/>
    <cellStyle name="Comma 18 3 2 3 4 4" xfId="43024"/>
    <cellStyle name="Comma 18 3 2 3 4 5" xfId="43025"/>
    <cellStyle name="Comma 18 3 2 3 5" xfId="43026"/>
    <cellStyle name="Comma 18 3 2 3 5 2" xfId="43027"/>
    <cellStyle name="Comma 18 3 2 3 5 3" xfId="43028"/>
    <cellStyle name="Comma 18 3 2 3 6" xfId="43029"/>
    <cellStyle name="Comma 18 3 2 3 6 2" xfId="43030"/>
    <cellStyle name="Comma 18 3 2 3 6 3" xfId="43031"/>
    <cellStyle name="Comma 18 3 2 3 7" xfId="43032"/>
    <cellStyle name="Comma 18 3 2 3 7 2" xfId="43033"/>
    <cellStyle name="Comma 18 3 2 3 8" xfId="43034"/>
    <cellStyle name="Comma 18 3 2 3 9" xfId="43035"/>
    <cellStyle name="Comma 18 3 2 4" xfId="43036"/>
    <cellStyle name="Comma 18 3 2 4 2" xfId="43037"/>
    <cellStyle name="Comma 18 3 2 4 2 2" xfId="43038"/>
    <cellStyle name="Comma 18 3 2 4 2 2 2" xfId="43039"/>
    <cellStyle name="Comma 18 3 2 4 2 2 3" xfId="43040"/>
    <cellStyle name="Comma 18 3 2 4 2 3" xfId="43041"/>
    <cellStyle name="Comma 18 3 2 4 2 3 2" xfId="43042"/>
    <cellStyle name="Comma 18 3 2 4 2 3 3" xfId="43043"/>
    <cellStyle name="Comma 18 3 2 4 2 4" xfId="43044"/>
    <cellStyle name="Comma 18 3 2 4 2 4 2" xfId="43045"/>
    <cellStyle name="Comma 18 3 2 4 2 5" xfId="43046"/>
    <cellStyle name="Comma 18 3 2 4 2 6" xfId="43047"/>
    <cellStyle name="Comma 18 3 2 4 3" xfId="43048"/>
    <cellStyle name="Comma 18 3 2 4 3 2" xfId="43049"/>
    <cellStyle name="Comma 18 3 2 4 3 2 2" xfId="43050"/>
    <cellStyle name="Comma 18 3 2 4 3 2 3" xfId="43051"/>
    <cellStyle name="Comma 18 3 2 4 3 3" xfId="43052"/>
    <cellStyle name="Comma 18 3 2 4 3 3 2" xfId="43053"/>
    <cellStyle name="Comma 18 3 2 4 3 3 3" xfId="43054"/>
    <cellStyle name="Comma 18 3 2 4 3 4" xfId="43055"/>
    <cellStyle name="Comma 18 3 2 4 3 4 2" xfId="43056"/>
    <cellStyle name="Comma 18 3 2 4 3 5" xfId="43057"/>
    <cellStyle name="Comma 18 3 2 4 3 6" xfId="43058"/>
    <cellStyle name="Comma 18 3 2 4 4" xfId="43059"/>
    <cellStyle name="Comma 18 3 2 4 4 2" xfId="43060"/>
    <cellStyle name="Comma 18 3 2 4 4 2 2" xfId="43061"/>
    <cellStyle name="Comma 18 3 2 4 4 2 3" xfId="43062"/>
    <cellStyle name="Comma 18 3 2 4 4 3" xfId="43063"/>
    <cellStyle name="Comma 18 3 2 4 4 3 2" xfId="43064"/>
    <cellStyle name="Comma 18 3 2 4 4 4" xfId="43065"/>
    <cellStyle name="Comma 18 3 2 4 4 5" xfId="43066"/>
    <cellStyle name="Comma 18 3 2 4 5" xfId="43067"/>
    <cellStyle name="Comma 18 3 2 4 5 2" xfId="43068"/>
    <cellStyle name="Comma 18 3 2 4 5 3" xfId="43069"/>
    <cellStyle name="Comma 18 3 2 4 6" xfId="43070"/>
    <cellStyle name="Comma 18 3 2 4 6 2" xfId="43071"/>
    <cellStyle name="Comma 18 3 2 4 6 3" xfId="43072"/>
    <cellStyle name="Comma 18 3 2 4 7" xfId="43073"/>
    <cellStyle name="Comma 18 3 2 4 7 2" xfId="43074"/>
    <cellStyle name="Comma 18 3 2 4 8" xfId="43075"/>
    <cellStyle name="Comma 18 3 2 4 9" xfId="43076"/>
    <cellStyle name="Comma 18 3 2 5" xfId="43077"/>
    <cellStyle name="Comma 18 3 2 5 2" xfId="43078"/>
    <cellStyle name="Comma 18 3 2 5 2 2" xfId="43079"/>
    <cellStyle name="Comma 18 3 2 5 2 3" xfId="43080"/>
    <cellStyle name="Comma 18 3 2 5 3" xfId="43081"/>
    <cellStyle name="Comma 18 3 2 5 3 2" xfId="43082"/>
    <cellStyle name="Comma 18 3 2 5 3 3" xfId="43083"/>
    <cellStyle name="Comma 18 3 2 5 4" xfId="43084"/>
    <cellStyle name="Comma 18 3 2 5 4 2" xfId="43085"/>
    <cellStyle name="Comma 18 3 2 5 5" xfId="43086"/>
    <cellStyle name="Comma 18 3 2 5 6" xfId="43087"/>
    <cellStyle name="Comma 18 3 2 6" xfId="43088"/>
    <cellStyle name="Comma 18 3 2 6 2" xfId="43089"/>
    <cellStyle name="Comma 18 3 2 6 2 2" xfId="43090"/>
    <cellStyle name="Comma 18 3 2 6 2 3" xfId="43091"/>
    <cellStyle name="Comma 18 3 2 6 3" xfId="43092"/>
    <cellStyle name="Comma 18 3 2 6 3 2" xfId="43093"/>
    <cellStyle name="Comma 18 3 2 6 3 3" xfId="43094"/>
    <cellStyle name="Comma 18 3 2 6 4" xfId="43095"/>
    <cellStyle name="Comma 18 3 2 6 4 2" xfId="43096"/>
    <cellStyle name="Comma 18 3 2 6 5" xfId="43097"/>
    <cellStyle name="Comma 18 3 2 6 6" xfId="43098"/>
    <cellStyle name="Comma 18 3 2 7" xfId="43099"/>
    <cellStyle name="Comma 18 3 2 7 2" xfId="43100"/>
    <cellStyle name="Comma 18 3 2 7 2 2" xfId="43101"/>
    <cellStyle name="Comma 18 3 2 7 2 3" xfId="43102"/>
    <cellStyle name="Comma 18 3 2 7 3" xfId="43103"/>
    <cellStyle name="Comma 18 3 2 7 3 2" xfId="43104"/>
    <cellStyle name="Comma 18 3 2 7 4" xfId="43105"/>
    <cellStyle name="Comma 18 3 2 7 5" xfId="43106"/>
    <cellStyle name="Comma 18 3 2 8" xfId="43107"/>
    <cellStyle name="Comma 18 3 2 8 2" xfId="43108"/>
    <cellStyle name="Comma 18 3 2 8 3" xfId="43109"/>
    <cellStyle name="Comma 18 3 2 9" xfId="43110"/>
    <cellStyle name="Comma 18 3 2 9 2" xfId="43111"/>
    <cellStyle name="Comma 18 3 2 9 3" xfId="43112"/>
    <cellStyle name="Comma 18 3 3" xfId="43113"/>
    <cellStyle name="Comma 18 3 3 10" xfId="43114"/>
    <cellStyle name="Comma 18 3 3 2" xfId="43115"/>
    <cellStyle name="Comma 18 3 3 2 2" xfId="43116"/>
    <cellStyle name="Comma 18 3 3 2 2 2" xfId="43117"/>
    <cellStyle name="Comma 18 3 3 2 2 2 2" xfId="43118"/>
    <cellStyle name="Comma 18 3 3 2 2 2 3" xfId="43119"/>
    <cellStyle name="Comma 18 3 3 2 2 3" xfId="43120"/>
    <cellStyle name="Comma 18 3 3 2 2 3 2" xfId="43121"/>
    <cellStyle name="Comma 18 3 3 2 2 3 3" xfId="43122"/>
    <cellStyle name="Comma 18 3 3 2 2 4" xfId="43123"/>
    <cellStyle name="Comma 18 3 3 2 2 4 2" xfId="43124"/>
    <cellStyle name="Comma 18 3 3 2 2 5" xfId="43125"/>
    <cellStyle name="Comma 18 3 3 2 2 6" xfId="43126"/>
    <cellStyle name="Comma 18 3 3 2 3" xfId="43127"/>
    <cellStyle name="Comma 18 3 3 2 3 2" xfId="43128"/>
    <cellStyle name="Comma 18 3 3 2 3 2 2" xfId="43129"/>
    <cellStyle name="Comma 18 3 3 2 3 2 3" xfId="43130"/>
    <cellStyle name="Comma 18 3 3 2 3 3" xfId="43131"/>
    <cellStyle name="Comma 18 3 3 2 3 3 2" xfId="43132"/>
    <cellStyle name="Comma 18 3 3 2 3 3 3" xfId="43133"/>
    <cellStyle name="Comma 18 3 3 2 3 4" xfId="43134"/>
    <cellStyle name="Comma 18 3 3 2 3 4 2" xfId="43135"/>
    <cellStyle name="Comma 18 3 3 2 3 5" xfId="43136"/>
    <cellStyle name="Comma 18 3 3 2 3 6" xfId="43137"/>
    <cellStyle name="Comma 18 3 3 2 4" xfId="43138"/>
    <cellStyle name="Comma 18 3 3 2 4 2" xfId="43139"/>
    <cellStyle name="Comma 18 3 3 2 4 2 2" xfId="43140"/>
    <cellStyle name="Comma 18 3 3 2 4 2 3" xfId="43141"/>
    <cellStyle name="Comma 18 3 3 2 4 3" xfId="43142"/>
    <cellStyle name="Comma 18 3 3 2 4 3 2" xfId="43143"/>
    <cellStyle name="Comma 18 3 3 2 4 4" xfId="43144"/>
    <cellStyle name="Comma 18 3 3 2 4 5" xfId="43145"/>
    <cellStyle name="Comma 18 3 3 2 5" xfId="43146"/>
    <cellStyle name="Comma 18 3 3 2 5 2" xfId="43147"/>
    <cellStyle name="Comma 18 3 3 2 5 3" xfId="43148"/>
    <cellStyle name="Comma 18 3 3 2 6" xfId="43149"/>
    <cellStyle name="Comma 18 3 3 2 6 2" xfId="43150"/>
    <cellStyle name="Comma 18 3 3 2 6 3" xfId="43151"/>
    <cellStyle name="Comma 18 3 3 2 7" xfId="43152"/>
    <cellStyle name="Comma 18 3 3 2 7 2" xfId="43153"/>
    <cellStyle name="Comma 18 3 3 2 8" xfId="43154"/>
    <cellStyle name="Comma 18 3 3 2 9" xfId="43155"/>
    <cellStyle name="Comma 18 3 3 3" xfId="43156"/>
    <cellStyle name="Comma 18 3 3 3 2" xfId="43157"/>
    <cellStyle name="Comma 18 3 3 3 2 2" xfId="43158"/>
    <cellStyle name="Comma 18 3 3 3 2 3" xfId="43159"/>
    <cellStyle name="Comma 18 3 3 3 3" xfId="43160"/>
    <cellStyle name="Comma 18 3 3 3 3 2" xfId="43161"/>
    <cellStyle name="Comma 18 3 3 3 3 3" xfId="43162"/>
    <cellStyle name="Comma 18 3 3 3 4" xfId="43163"/>
    <cellStyle name="Comma 18 3 3 3 4 2" xfId="43164"/>
    <cellStyle name="Comma 18 3 3 3 5" xfId="43165"/>
    <cellStyle name="Comma 18 3 3 3 6" xfId="43166"/>
    <cellStyle name="Comma 18 3 3 4" xfId="43167"/>
    <cellStyle name="Comma 18 3 3 4 2" xfId="43168"/>
    <cellStyle name="Comma 18 3 3 4 2 2" xfId="43169"/>
    <cellStyle name="Comma 18 3 3 4 2 3" xfId="43170"/>
    <cellStyle name="Comma 18 3 3 4 3" xfId="43171"/>
    <cellStyle name="Comma 18 3 3 4 3 2" xfId="43172"/>
    <cellStyle name="Comma 18 3 3 4 3 3" xfId="43173"/>
    <cellStyle name="Comma 18 3 3 4 4" xfId="43174"/>
    <cellStyle name="Comma 18 3 3 4 4 2" xfId="43175"/>
    <cellStyle name="Comma 18 3 3 4 5" xfId="43176"/>
    <cellStyle name="Comma 18 3 3 4 6" xfId="43177"/>
    <cellStyle name="Comma 18 3 3 5" xfId="43178"/>
    <cellStyle name="Comma 18 3 3 5 2" xfId="43179"/>
    <cellStyle name="Comma 18 3 3 5 2 2" xfId="43180"/>
    <cellStyle name="Comma 18 3 3 5 2 3" xfId="43181"/>
    <cellStyle name="Comma 18 3 3 5 3" xfId="43182"/>
    <cellStyle name="Comma 18 3 3 5 3 2" xfId="43183"/>
    <cellStyle name="Comma 18 3 3 5 4" xfId="43184"/>
    <cellStyle name="Comma 18 3 3 5 5" xfId="43185"/>
    <cellStyle name="Comma 18 3 3 6" xfId="43186"/>
    <cellStyle name="Comma 18 3 3 6 2" xfId="43187"/>
    <cellStyle name="Comma 18 3 3 6 3" xfId="43188"/>
    <cellStyle name="Comma 18 3 3 7" xfId="43189"/>
    <cellStyle name="Comma 18 3 3 7 2" xfId="43190"/>
    <cellStyle name="Comma 18 3 3 7 3" xfId="43191"/>
    <cellStyle name="Comma 18 3 3 8" xfId="43192"/>
    <cellStyle name="Comma 18 3 3 8 2" xfId="43193"/>
    <cellStyle name="Comma 18 3 3 9" xfId="43194"/>
    <cellStyle name="Comma 18 3 4" xfId="43195"/>
    <cellStyle name="Comma 18 3 4 2" xfId="43196"/>
    <cellStyle name="Comma 18 3 4 2 2" xfId="43197"/>
    <cellStyle name="Comma 18 3 4 2 2 2" xfId="43198"/>
    <cellStyle name="Comma 18 3 4 2 2 3" xfId="43199"/>
    <cellStyle name="Comma 18 3 4 2 3" xfId="43200"/>
    <cellStyle name="Comma 18 3 4 2 3 2" xfId="43201"/>
    <cellStyle name="Comma 18 3 4 2 3 3" xfId="43202"/>
    <cellStyle name="Comma 18 3 4 2 4" xfId="43203"/>
    <cellStyle name="Comma 18 3 4 2 4 2" xfId="43204"/>
    <cellStyle name="Comma 18 3 4 2 5" xfId="43205"/>
    <cellStyle name="Comma 18 3 4 2 6" xfId="43206"/>
    <cellStyle name="Comma 18 3 4 3" xfId="43207"/>
    <cellStyle name="Comma 18 3 4 3 2" xfId="43208"/>
    <cellStyle name="Comma 18 3 4 3 2 2" xfId="43209"/>
    <cellStyle name="Comma 18 3 4 3 2 3" xfId="43210"/>
    <cellStyle name="Comma 18 3 4 3 3" xfId="43211"/>
    <cellStyle name="Comma 18 3 4 3 3 2" xfId="43212"/>
    <cellStyle name="Comma 18 3 4 3 3 3" xfId="43213"/>
    <cellStyle name="Comma 18 3 4 3 4" xfId="43214"/>
    <cellStyle name="Comma 18 3 4 3 4 2" xfId="43215"/>
    <cellStyle name="Comma 18 3 4 3 5" xfId="43216"/>
    <cellStyle name="Comma 18 3 4 3 6" xfId="43217"/>
    <cellStyle name="Comma 18 3 4 4" xfId="43218"/>
    <cellStyle name="Comma 18 3 4 4 2" xfId="43219"/>
    <cellStyle name="Comma 18 3 4 4 2 2" xfId="43220"/>
    <cellStyle name="Comma 18 3 4 4 2 3" xfId="43221"/>
    <cellStyle name="Comma 18 3 4 4 3" xfId="43222"/>
    <cellStyle name="Comma 18 3 4 4 3 2" xfId="43223"/>
    <cellStyle name="Comma 18 3 4 4 4" xfId="43224"/>
    <cellStyle name="Comma 18 3 4 4 5" xfId="43225"/>
    <cellStyle name="Comma 18 3 4 5" xfId="43226"/>
    <cellStyle name="Comma 18 3 4 5 2" xfId="43227"/>
    <cellStyle name="Comma 18 3 4 5 3" xfId="43228"/>
    <cellStyle name="Comma 18 3 4 6" xfId="43229"/>
    <cellStyle name="Comma 18 3 4 6 2" xfId="43230"/>
    <cellStyle name="Comma 18 3 4 6 3" xfId="43231"/>
    <cellStyle name="Comma 18 3 4 7" xfId="43232"/>
    <cellStyle name="Comma 18 3 4 7 2" xfId="43233"/>
    <cellStyle name="Comma 18 3 4 8" xfId="43234"/>
    <cellStyle name="Comma 18 3 4 9" xfId="43235"/>
    <cellStyle name="Comma 18 3 5" xfId="43236"/>
    <cellStyle name="Comma 18 3 5 2" xfId="43237"/>
    <cellStyle name="Comma 18 3 5 2 2" xfId="43238"/>
    <cellStyle name="Comma 18 3 5 2 2 2" xfId="43239"/>
    <cellStyle name="Comma 18 3 5 2 2 3" xfId="43240"/>
    <cellStyle name="Comma 18 3 5 2 3" xfId="43241"/>
    <cellStyle name="Comma 18 3 5 2 3 2" xfId="43242"/>
    <cellStyle name="Comma 18 3 5 2 3 3" xfId="43243"/>
    <cellStyle name="Comma 18 3 5 2 4" xfId="43244"/>
    <cellStyle name="Comma 18 3 5 2 4 2" xfId="43245"/>
    <cellStyle name="Comma 18 3 5 2 5" xfId="43246"/>
    <cellStyle name="Comma 18 3 5 2 6" xfId="43247"/>
    <cellStyle name="Comma 18 3 5 3" xfId="43248"/>
    <cellStyle name="Comma 18 3 5 3 2" xfId="43249"/>
    <cellStyle name="Comma 18 3 5 3 2 2" xfId="43250"/>
    <cellStyle name="Comma 18 3 5 3 2 3" xfId="43251"/>
    <cellStyle name="Comma 18 3 5 3 3" xfId="43252"/>
    <cellStyle name="Comma 18 3 5 3 3 2" xfId="43253"/>
    <cellStyle name="Comma 18 3 5 3 3 3" xfId="43254"/>
    <cellStyle name="Comma 18 3 5 3 4" xfId="43255"/>
    <cellStyle name="Comma 18 3 5 3 4 2" xfId="43256"/>
    <cellStyle name="Comma 18 3 5 3 5" xfId="43257"/>
    <cellStyle name="Comma 18 3 5 3 6" xfId="43258"/>
    <cellStyle name="Comma 18 3 5 4" xfId="43259"/>
    <cellStyle name="Comma 18 3 5 4 2" xfId="43260"/>
    <cellStyle name="Comma 18 3 5 4 2 2" xfId="43261"/>
    <cellStyle name="Comma 18 3 5 4 2 3" xfId="43262"/>
    <cellStyle name="Comma 18 3 5 4 3" xfId="43263"/>
    <cellStyle name="Comma 18 3 5 4 3 2" xfId="43264"/>
    <cellStyle name="Comma 18 3 5 4 4" xfId="43265"/>
    <cellStyle name="Comma 18 3 5 4 5" xfId="43266"/>
    <cellStyle name="Comma 18 3 5 5" xfId="43267"/>
    <cellStyle name="Comma 18 3 5 5 2" xfId="43268"/>
    <cellStyle name="Comma 18 3 5 5 3" xfId="43269"/>
    <cellStyle name="Comma 18 3 5 6" xfId="43270"/>
    <cellStyle name="Comma 18 3 5 6 2" xfId="43271"/>
    <cellStyle name="Comma 18 3 5 6 3" xfId="43272"/>
    <cellStyle name="Comma 18 3 5 7" xfId="43273"/>
    <cellStyle name="Comma 18 3 5 7 2" xfId="43274"/>
    <cellStyle name="Comma 18 3 5 8" xfId="43275"/>
    <cellStyle name="Comma 18 3 5 9" xfId="43276"/>
    <cellStyle name="Comma 18 3 6" xfId="43277"/>
    <cellStyle name="Comma 18 3 6 2" xfId="43278"/>
    <cellStyle name="Comma 18 3 6 2 2" xfId="43279"/>
    <cellStyle name="Comma 18 3 6 2 3" xfId="43280"/>
    <cellStyle name="Comma 18 3 6 3" xfId="43281"/>
    <cellStyle name="Comma 18 3 6 3 2" xfId="43282"/>
    <cellStyle name="Comma 18 3 6 3 3" xfId="43283"/>
    <cellStyle name="Comma 18 3 6 4" xfId="43284"/>
    <cellStyle name="Comma 18 3 6 4 2" xfId="43285"/>
    <cellStyle name="Comma 18 3 6 5" xfId="43286"/>
    <cellStyle name="Comma 18 3 6 6" xfId="43287"/>
    <cellStyle name="Comma 18 3 7" xfId="43288"/>
    <cellStyle name="Comma 18 3 7 2" xfId="43289"/>
    <cellStyle name="Comma 18 3 7 2 2" xfId="43290"/>
    <cellStyle name="Comma 18 3 7 2 3" xfId="43291"/>
    <cellStyle name="Comma 18 3 7 3" xfId="43292"/>
    <cellStyle name="Comma 18 3 7 3 2" xfId="43293"/>
    <cellStyle name="Comma 18 3 7 3 3" xfId="43294"/>
    <cellStyle name="Comma 18 3 7 4" xfId="43295"/>
    <cellStyle name="Comma 18 3 7 4 2" xfId="43296"/>
    <cellStyle name="Comma 18 3 7 5" xfId="43297"/>
    <cellStyle name="Comma 18 3 7 6" xfId="43298"/>
    <cellStyle name="Comma 18 3 8" xfId="43299"/>
    <cellStyle name="Comma 18 3 8 2" xfId="43300"/>
    <cellStyle name="Comma 18 3 8 2 2" xfId="43301"/>
    <cellStyle name="Comma 18 3 8 2 3" xfId="43302"/>
    <cellStyle name="Comma 18 3 8 3" xfId="43303"/>
    <cellStyle name="Comma 18 3 8 3 2" xfId="43304"/>
    <cellStyle name="Comma 18 3 8 4" xfId="43305"/>
    <cellStyle name="Comma 18 3 8 5" xfId="43306"/>
    <cellStyle name="Comma 18 3 9" xfId="43307"/>
    <cellStyle name="Comma 18 3 9 2" xfId="43308"/>
    <cellStyle name="Comma 18 3 9 3" xfId="43309"/>
    <cellStyle name="Comma 18 4" xfId="43310"/>
    <cellStyle name="Comma 18 4 10" xfId="43311"/>
    <cellStyle name="Comma 18 4 10 2" xfId="43312"/>
    <cellStyle name="Comma 18 4 11" xfId="43313"/>
    <cellStyle name="Comma 18 4 12" xfId="43314"/>
    <cellStyle name="Comma 18 4 2" xfId="43315"/>
    <cellStyle name="Comma 18 4 2 10" xfId="43316"/>
    <cellStyle name="Comma 18 4 2 2" xfId="43317"/>
    <cellStyle name="Comma 18 4 2 2 2" xfId="43318"/>
    <cellStyle name="Comma 18 4 2 2 2 2" xfId="43319"/>
    <cellStyle name="Comma 18 4 2 2 2 2 2" xfId="43320"/>
    <cellStyle name="Comma 18 4 2 2 2 2 3" xfId="43321"/>
    <cellStyle name="Comma 18 4 2 2 2 3" xfId="43322"/>
    <cellStyle name="Comma 18 4 2 2 2 3 2" xfId="43323"/>
    <cellStyle name="Comma 18 4 2 2 2 3 3" xfId="43324"/>
    <cellStyle name="Comma 18 4 2 2 2 4" xfId="43325"/>
    <cellStyle name="Comma 18 4 2 2 2 4 2" xfId="43326"/>
    <cellStyle name="Comma 18 4 2 2 2 5" xfId="43327"/>
    <cellStyle name="Comma 18 4 2 2 2 6" xfId="43328"/>
    <cellStyle name="Comma 18 4 2 2 3" xfId="43329"/>
    <cellStyle name="Comma 18 4 2 2 3 2" xfId="43330"/>
    <cellStyle name="Comma 18 4 2 2 3 2 2" xfId="43331"/>
    <cellStyle name="Comma 18 4 2 2 3 2 3" xfId="43332"/>
    <cellStyle name="Comma 18 4 2 2 3 3" xfId="43333"/>
    <cellStyle name="Comma 18 4 2 2 3 3 2" xfId="43334"/>
    <cellStyle name="Comma 18 4 2 2 3 3 3" xfId="43335"/>
    <cellStyle name="Comma 18 4 2 2 3 4" xfId="43336"/>
    <cellStyle name="Comma 18 4 2 2 3 4 2" xfId="43337"/>
    <cellStyle name="Comma 18 4 2 2 3 5" xfId="43338"/>
    <cellStyle name="Comma 18 4 2 2 3 6" xfId="43339"/>
    <cellStyle name="Comma 18 4 2 2 4" xfId="43340"/>
    <cellStyle name="Comma 18 4 2 2 4 2" xfId="43341"/>
    <cellStyle name="Comma 18 4 2 2 4 2 2" xfId="43342"/>
    <cellStyle name="Comma 18 4 2 2 4 2 3" xfId="43343"/>
    <cellStyle name="Comma 18 4 2 2 4 3" xfId="43344"/>
    <cellStyle name="Comma 18 4 2 2 4 3 2" xfId="43345"/>
    <cellStyle name="Comma 18 4 2 2 4 4" xfId="43346"/>
    <cellStyle name="Comma 18 4 2 2 4 5" xfId="43347"/>
    <cellStyle name="Comma 18 4 2 2 5" xfId="43348"/>
    <cellStyle name="Comma 18 4 2 2 5 2" xfId="43349"/>
    <cellStyle name="Comma 18 4 2 2 5 3" xfId="43350"/>
    <cellStyle name="Comma 18 4 2 2 6" xfId="43351"/>
    <cellStyle name="Comma 18 4 2 2 6 2" xfId="43352"/>
    <cellStyle name="Comma 18 4 2 2 6 3" xfId="43353"/>
    <cellStyle name="Comma 18 4 2 2 7" xfId="43354"/>
    <cellStyle name="Comma 18 4 2 2 7 2" xfId="43355"/>
    <cellStyle name="Comma 18 4 2 2 8" xfId="43356"/>
    <cellStyle name="Comma 18 4 2 2 9" xfId="43357"/>
    <cellStyle name="Comma 18 4 2 3" xfId="43358"/>
    <cellStyle name="Comma 18 4 2 3 2" xfId="43359"/>
    <cellStyle name="Comma 18 4 2 3 2 2" xfId="43360"/>
    <cellStyle name="Comma 18 4 2 3 2 3" xfId="43361"/>
    <cellStyle name="Comma 18 4 2 3 3" xfId="43362"/>
    <cellStyle name="Comma 18 4 2 3 3 2" xfId="43363"/>
    <cellStyle name="Comma 18 4 2 3 3 3" xfId="43364"/>
    <cellStyle name="Comma 18 4 2 3 4" xfId="43365"/>
    <cellStyle name="Comma 18 4 2 3 4 2" xfId="43366"/>
    <cellStyle name="Comma 18 4 2 3 5" xfId="43367"/>
    <cellStyle name="Comma 18 4 2 3 6" xfId="43368"/>
    <cellStyle name="Comma 18 4 2 4" xfId="43369"/>
    <cellStyle name="Comma 18 4 2 4 2" xfId="43370"/>
    <cellStyle name="Comma 18 4 2 4 2 2" xfId="43371"/>
    <cellStyle name="Comma 18 4 2 4 2 3" xfId="43372"/>
    <cellStyle name="Comma 18 4 2 4 3" xfId="43373"/>
    <cellStyle name="Comma 18 4 2 4 3 2" xfId="43374"/>
    <cellStyle name="Comma 18 4 2 4 3 3" xfId="43375"/>
    <cellStyle name="Comma 18 4 2 4 4" xfId="43376"/>
    <cellStyle name="Comma 18 4 2 4 4 2" xfId="43377"/>
    <cellStyle name="Comma 18 4 2 4 5" xfId="43378"/>
    <cellStyle name="Comma 18 4 2 4 6" xfId="43379"/>
    <cellStyle name="Comma 18 4 2 5" xfId="43380"/>
    <cellStyle name="Comma 18 4 2 5 2" xfId="43381"/>
    <cellStyle name="Comma 18 4 2 5 2 2" xfId="43382"/>
    <cellStyle name="Comma 18 4 2 5 2 3" xfId="43383"/>
    <cellStyle name="Comma 18 4 2 5 3" xfId="43384"/>
    <cellStyle name="Comma 18 4 2 5 3 2" xfId="43385"/>
    <cellStyle name="Comma 18 4 2 5 4" xfId="43386"/>
    <cellStyle name="Comma 18 4 2 5 5" xfId="43387"/>
    <cellStyle name="Comma 18 4 2 6" xfId="43388"/>
    <cellStyle name="Comma 18 4 2 6 2" xfId="43389"/>
    <cellStyle name="Comma 18 4 2 6 3" xfId="43390"/>
    <cellStyle name="Comma 18 4 2 7" xfId="43391"/>
    <cellStyle name="Comma 18 4 2 7 2" xfId="43392"/>
    <cellStyle name="Comma 18 4 2 7 3" xfId="43393"/>
    <cellStyle name="Comma 18 4 2 8" xfId="43394"/>
    <cellStyle name="Comma 18 4 2 8 2" xfId="43395"/>
    <cellStyle name="Comma 18 4 2 9" xfId="43396"/>
    <cellStyle name="Comma 18 4 3" xfId="43397"/>
    <cellStyle name="Comma 18 4 3 2" xfId="43398"/>
    <cellStyle name="Comma 18 4 3 2 2" xfId="43399"/>
    <cellStyle name="Comma 18 4 3 2 2 2" xfId="43400"/>
    <cellStyle name="Comma 18 4 3 2 2 3" xfId="43401"/>
    <cellStyle name="Comma 18 4 3 2 3" xfId="43402"/>
    <cellStyle name="Comma 18 4 3 2 3 2" xfId="43403"/>
    <cellStyle name="Comma 18 4 3 2 3 3" xfId="43404"/>
    <cellStyle name="Comma 18 4 3 2 4" xfId="43405"/>
    <cellStyle name="Comma 18 4 3 2 4 2" xfId="43406"/>
    <cellStyle name="Comma 18 4 3 2 5" xfId="43407"/>
    <cellStyle name="Comma 18 4 3 2 6" xfId="43408"/>
    <cellStyle name="Comma 18 4 3 3" xfId="43409"/>
    <cellStyle name="Comma 18 4 3 3 2" xfId="43410"/>
    <cellStyle name="Comma 18 4 3 3 2 2" xfId="43411"/>
    <cellStyle name="Comma 18 4 3 3 2 3" xfId="43412"/>
    <cellStyle name="Comma 18 4 3 3 3" xfId="43413"/>
    <cellStyle name="Comma 18 4 3 3 3 2" xfId="43414"/>
    <cellStyle name="Comma 18 4 3 3 3 3" xfId="43415"/>
    <cellStyle name="Comma 18 4 3 3 4" xfId="43416"/>
    <cellStyle name="Comma 18 4 3 3 4 2" xfId="43417"/>
    <cellStyle name="Comma 18 4 3 3 5" xfId="43418"/>
    <cellStyle name="Comma 18 4 3 3 6" xfId="43419"/>
    <cellStyle name="Comma 18 4 3 4" xfId="43420"/>
    <cellStyle name="Comma 18 4 3 4 2" xfId="43421"/>
    <cellStyle name="Comma 18 4 3 4 2 2" xfId="43422"/>
    <cellStyle name="Comma 18 4 3 4 2 3" xfId="43423"/>
    <cellStyle name="Comma 18 4 3 4 3" xfId="43424"/>
    <cellStyle name="Comma 18 4 3 4 3 2" xfId="43425"/>
    <cellStyle name="Comma 18 4 3 4 4" xfId="43426"/>
    <cellStyle name="Comma 18 4 3 4 5" xfId="43427"/>
    <cellStyle name="Comma 18 4 3 5" xfId="43428"/>
    <cellStyle name="Comma 18 4 3 5 2" xfId="43429"/>
    <cellStyle name="Comma 18 4 3 5 3" xfId="43430"/>
    <cellStyle name="Comma 18 4 3 6" xfId="43431"/>
    <cellStyle name="Comma 18 4 3 6 2" xfId="43432"/>
    <cellStyle name="Comma 18 4 3 6 3" xfId="43433"/>
    <cellStyle name="Comma 18 4 3 7" xfId="43434"/>
    <cellStyle name="Comma 18 4 3 7 2" xfId="43435"/>
    <cellStyle name="Comma 18 4 3 8" xfId="43436"/>
    <cellStyle name="Comma 18 4 3 9" xfId="43437"/>
    <cellStyle name="Comma 18 4 4" xfId="43438"/>
    <cellStyle name="Comma 18 4 4 2" xfId="43439"/>
    <cellStyle name="Comma 18 4 4 2 2" xfId="43440"/>
    <cellStyle name="Comma 18 4 4 2 2 2" xfId="43441"/>
    <cellStyle name="Comma 18 4 4 2 2 3" xfId="43442"/>
    <cellStyle name="Comma 18 4 4 2 3" xfId="43443"/>
    <cellStyle name="Comma 18 4 4 2 3 2" xfId="43444"/>
    <cellStyle name="Comma 18 4 4 2 3 3" xfId="43445"/>
    <cellStyle name="Comma 18 4 4 2 4" xfId="43446"/>
    <cellStyle name="Comma 18 4 4 2 4 2" xfId="43447"/>
    <cellStyle name="Comma 18 4 4 2 5" xfId="43448"/>
    <cellStyle name="Comma 18 4 4 2 6" xfId="43449"/>
    <cellStyle name="Comma 18 4 4 3" xfId="43450"/>
    <cellStyle name="Comma 18 4 4 3 2" xfId="43451"/>
    <cellStyle name="Comma 18 4 4 3 2 2" xfId="43452"/>
    <cellStyle name="Comma 18 4 4 3 2 3" xfId="43453"/>
    <cellStyle name="Comma 18 4 4 3 3" xfId="43454"/>
    <cellStyle name="Comma 18 4 4 3 3 2" xfId="43455"/>
    <cellStyle name="Comma 18 4 4 3 3 3" xfId="43456"/>
    <cellStyle name="Comma 18 4 4 3 4" xfId="43457"/>
    <cellStyle name="Comma 18 4 4 3 4 2" xfId="43458"/>
    <cellStyle name="Comma 18 4 4 3 5" xfId="43459"/>
    <cellStyle name="Comma 18 4 4 3 6" xfId="43460"/>
    <cellStyle name="Comma 18 4 4 4" xfId="43461"/>
    <cellStyle name="Comma 18 4 4 4 2" xfId="43462"/>
    <cellStyle name="Comma 18 4 4 4 2 2" xfId="43463"/>
    <cellStyle name="Comma 18 4 4 4 2 3" xfId="43464"/>
    <cellStyle name="Comma 18 4 4 4 3" xfId="43465"/>
    <cellStyle name="Comma 18 4 4 4 3 2" xfId="43466"/>
    <cellStyle name="Comma 18 4 4 4 4" xfId="43467"/>
    <cellStyle name="Comma 18 4 4 4 5" xfId="43468"/>
    <cellStyle name="Comma 18 4 4 5" xfId="43469"/>
    <cellStyle name="Comma 18 4 4 5 2" xfId="43470"/>
    <cellStyle name="Comma 18 4 4 5 3" xfId="43471"/>
    <cellStyle name="Comma 18 4 4 6" xfId="43472"/>
    <cellStyle name="Comma 18 4 4 6 2" xfId="43473"/>
    <cellStyle name="Comma 18 4 4 6 3" xfId="43474"/>
    <cellStyle name="Comma 18 4 4 7" xfId="43475"/>
    <cellStyle name="Comma 18 4 4 7 2" xfId="43476"/>
    <cellStyle name="Comma 18 4 4 8" xfId="43477"/>
    <cellStyle name="Comma 18 4 4 9" xfId="43478"/>
    <cellStyle name="Comma 18 4 5" xfId="43479"/>
    <cellStyle name="Comma 18 4 5 2" xfId="43480"/>
    <cellStyle name="Comma 18 4 5 2 2" xfId="43481"/>
    <cellStyle name="Comma 18 4 5 2 3" xfId="43482"/>
    <cellStyle name="Comma 18 4 5 3" xfId="43483"/>
    <cellStyle name="Comma 18 4 5 3 2" xfId="43484"/>
    <cellStyle name="Comma 18 4 5 3 3" xfId="43485"/>
    <cellStyle name="Comma 18 4 5 4" xfId="43486"/>
    <cellStyle name="Comma 18 4 5 4 2" xfId="43487"/>
    <cellStyle name="Comma 18 4 5 5" xfId="43488"/>
    <cellStyle name="Comma 18 4 5 6" xfId="43489"/>
    <cellStyle name="Comma 18 4 6" xfId="43490"/>
    <cellStyle name="Comma 18 4 6 2" xfId="43491"/>
    <cellStyle name="Comma 18 4 6 2 2" xfId="43492"/>
    <cellStyle name="Comma 18 4 6 2 3" xfId="43493"/>
    <cellStyle name="Comma 18 4 6 3" xfId="43494"/>
    <cellStyle name="Comma 18 4 6 3 2" xfId="43495"/>
    <cellStyle name="Comma 18 4 6 3 3" xfId="43496"/>
    <cellStyle name="Comma 18 4 6 4" xfId="43497"/>
    <cellStyle name="Comma 18 4 6 4 2" xfId="43498"/>
    <cellStyle name="Comma 18 4 6 5" xfId="43499"/>
    <cellStyle name="Comma 18 4 6 6" xfId="43500"/>
    <cellStyle name="Comma 18 4 7" xfId="43501"/>
    <cellStyle name="Comma 18 4 7 2" xfId="43502"/>
    <cellStyle name="Comma 18 4 7 2 2" xfId="43503"/>
    <cellStyle name="Comma 18 4 7 2 3" xfId="43504"/>
    <cellStyle name="Comma 18 4 7 3" xfId="43505"/>
    <cellStyle name="Comma 18 4 7 3 2" xfId="43506"/>
    <cellStyle name="Comma 18 4 7 4" xfId="43507"/>
    <cellStyle name="Comma 18 4 7 5" xfId="43508"/>
    <cellStyle name="Comma 18 4 8" xfId="43509"/>
    <cellStyle name="Comma 18 4 8 2" xfId="43510"/>
    <cellStyle name="Comma 18 4 8 3" xfId="43511"/>
    <cellStyle name="Comma 18 4 9" xfId="43512"/>
    <cellStyle name="Comma 18 4 9 2" xfId="43513"/>
    <cellStyle name="Comma 18 4 9 3" xfId="43514"/>
    <cellStyle name="Comma 18 5" xfId="43515"/>
    <cellStyle name="Comma 18 5 10" xfId="43516"/>
    <cellStyle name="Comma 18 5 2" xfId="43517"/>
    <cellStyle name="Comma 18 5 2 2" xfId="43518"/>
    <cellStyle name="Comma 18 5 2 2 2" xfId="43519"/>
    <cellStyle name="Comma 18 5 2 2 2 2" xfId="43520"/>
    <cellStyle name="Comma 18 5 2 2 2 3" xfId="43521"/>
    <cellStyle name="Comma 18 5 2 2 3" xfId="43522"/>
    <cellStyle name="Comma 18 5 2 2 3 2" xfId="43523"/>
    <cellStyle name="Comma 18 5 2 2 3 3" xfId="43524"/>
    <cellStyle name="Comma 18 5 2 2 4" xfId="43525"/>
    <cellStyle name="Comma 18 5 2 2 4 2" xfId="43526"/>
    <cellStyle name="Comma 18 5 2 2 5" xfId="43527"/>
    <cellStyle name="Comma 18 5 2 2 6" xfId="43528"/>
    <cellStyle name="Comma 18 5 2 3" xfId="43529"/>
    <cellStyle name="Comma 18 5 2 3 2" xfId="43530"/>
    <cellStyle name="Comma 18 5 2 3 2 2" xfId="43531"/>
    <cellStyle name="Comma 18 5 2 3 2 3" xfId="43532"/>
    <cellStyle name="Comma 18 5 2 3 3" xfId="43533"/>
    <cellStyle name="Comma 18 5 2 3 3 2" xfId="43534"/>
    <cellStyle name="Comma 18 5 2 3 3 3" xfId="43535"/>
    <cellStyle name="Comma 18 5 2 3 4" xfId="43536"/>
    <cellStyle name="Comma 18 5 2 3 4 2" xfId="43537"/>
    <cellStyle name="Comma 18 5 2 3 5" xfId="43538"/>
    <cellStyle name="Comma 18 5 2 3 6" xfId="43539"/>
    <cellStyle name="Comma 18 5 2 4" xfId="43540"/>
    <cellStyle name="Comma 18 5 2 4 2" xfId="43541"/>
    <cellStyle name="Comma 18 5 2 4 2 2" xfId="43542"/>
    <cellStyle name="Comma 18 5 2 4 2 3" xfId="43543"/>
    <cellStyle name="Comma 18 5 2 4 3" xfId="43544"/>
    <cellStyle name="Comma 18 5 2 4 3 2" xfId="43545"/>
    <cellStyle name="Comma 18 5 2 4 4" xfId="43546"/>
    <cellStyle name="Comma 18 5 2 4 5" xfId="43547"/>
    <cellStyle name="Comma 18 5 2 5" xfId="43548"/>
    <cellStyle name="Comma 18 5 2 5 2" xfId="43549"/>
    <cellStyle name="Comma 18 5 2 5 3" xfId="43550"/>
    <cellStyle name="Comma 18 5 2 6" xfId="43551"/>
    <cellStyle name="Comma 18 5 2 6 2" xfId="43552"/>
    <cellStyle name="Comma 18 5 2 6 3" xfId="43553"/>
    <cellStyle name="Comma 18 5 2 7" xfId="43554"/>
    <cellStyle name="Comma 18 5 2 7 2" xfId="43555"/>
    <cellStyle name="Comma 18 5 2 8" xfId="43556"/>
    <cellStyle name="Comma 18 5 2 9" xfId="43557"/>
    <cellStyle name="Comma 18 5 3" xfId="43558"/>
    <cellStyle name="Comma 18 5 3 2" xfId="43559"/>
    <cellStyle name="Comma 18 5 3 2 2" xfId="43560"/>
    <cellStyle name="Comma 18 5 3 2 3" xfId="43561"/>
    <cellStyle name="Comma 18 5 3 3" xfId="43562"/>
    <cellStyle name="Comma 18 5 3 3 2" xfId="43563"/>
    <cellStyle name="Comma 18 5 3 3 3" xfId="43564"/>
    <cellStyle name="Comma 18 5 3 4" xfId="43565"/>
    <cellStyle name="Comma 18 5 3 4 2" xfId="43566"/>
    <cellStyle name="Comma 18 5 3 5" xfId="43567"/>
    <cellStyle name="Comma 18 5 3 6" xfId="43568"/>
    <cellStyle name="Comma 18 5 4" xfId="43569"/>
    <cellStyle name="Comma 18 5 4 2" xfId="43570"/>
    <cellStyle name="Comma 18 5 4 2 2" xfId="43571"/>
    <cellStyle name="Comma 18 5 4 2 3" xfId="43572"/>
    <cellStyle name="Comma 18 5 4 3" xfId="43573"/>
    <cellStyle name="Comma 18 5 4 3 2" xfId="43574"/>
    <cellStyle name="Comma 18 5 4 3 3" xfId="43575"/>
    <cellStyle name="Comma 18 5 4 4" xfId="43576"/>
    <cellStyle name="Comma 18 5 4 4 2" xfId="43577"/>
    <cellStyle name="Comma 18 5 4 5" xfId="43578"/>
    <cellStyle name="Comma 18 5 4 6" xfId="43579"/>
    <cellStyle name="Comma 18 5 5" xfId="43580"/>
    <cellStyle name="Comma 18 5 5 2" xfId="43581"/>
    <cellStyle name="Comma 18 5 5 2 2" xfId="43582"/>
    <cellStyle name="Comma 18 5 5 2 3" xfId="43583"/>
    <cellStyle name="Comma 18 5 5 3" xfId="43584"/>
    <cellStyle name="Comma 18 5 5 3 2" xfId="43585"/>
    <cellStyle name="Comma 18 5 5 4" xfId="43586"/>
    <cellStyle name="Comma 18 5 5 5" xfId="43587"/>
    <cellStyle name="Comma 18 5 6" xfId="43588"/>
    <cellStyle name="Comma 18 5 6 2" xfId="43589"/>
    <cellStyle name="Comma 18 5 6 3" xfId="43590"/>
    <cellStyle name="Comma 18 5 7" xfId="43591"/>
    <cellStyle name="Comma 18 5 7 2" xfId="43592"/>
    <cellStyle name="Comma 18 5 7 3" xfId="43593"/>
    <cellStyle name="Comma 18 5 8" xfId="43594"/>
    <cellStyle name="Comma 18 5 8 2" xfId="43595"/>
    <cellStyle name="Comma 18 5 9" xfId="43596"/>
    <cellStyle name="Comma 18 6" xfId="43597"/>
    <cellStyle name="Comma 18 6 2" xfId="43598"/>
    <cellStyle name="Comma 18 6 2 2" xfId="43599"/>
    <cellStyle name="Comma 18 6 2 2 2" xfId="43600"/>
    <cellStyle name="Comma 18 6 2 2 3" xfId="43601"/>
    <cellStyle name="Comma 18 6 2 3" xfId="43602"/>
    <cellStyle name="Comma 18 6 2 3 2" xfId="43603"/>
    <cellStyle name="Comma 18 6 2 3 3" xfId="43604"/>
    <cellStyle name="Comma 18 6 2 4" xfId="43605"/>
    <cellStyle name="Comma 18 6 2 4 2" xfId="43606"/>
    <cellStyle name="Comma 18 6 2 5" xfId="43607"/>
    <cellStyle name="Comma 18 6 2 6" xfId="43608"/>
    <cellStyle name="Comma 18 6 3" xfId="43609"/>
    <cellStyle name="Comma 18 6 3 2" xfId="43610"/>
    <cellStyle name="Comma 18 6 3 2 2" xfId="43611"/>
    <cellStyle name="Comma 18 6 3 2 3" xfId="43612"/>
    <cellStyle name="Comma 18 6 3 3" xfId="43613"/>
    <cellStyle name="Comma 18 6 3 3 2" xfId="43614"/>
    <cellStyle name="Comma 18 6 3 3 3" xfId="43615"/>
    <cellStyle name="Comma 18 6 3 4" xfId="43616"/>
    <cellStyle name="Comma 18 6 3 4 2" xfId="43617"/>
    <cellStyle name="Comma 18 6 3 5" xfId="43618"/>
    <cellStyle name="Comma 18 6 3 6" xfId="43619"/>
    <cellStyle name="Comma 18 6 4" xfId="43620"/>
    <cellStyle name="Comma 18 6 4 2" xfId="43621"/>
    <cellStyle name="Comma 18 6 4 2 2" xfId="43622"/>
    <cellStyle name="Comma 18 6 4 2 3" xfId="43623"/>
    <cellStyle name="Comma 18 6 4 3" xfId="43624"/>
    <cellStyle name="Comma 18 6 4 3 2" xfId="43625"/>
    <cellStyle name="Comma 18 6 4 4" xfId="43626"/>
    <cellStyle name="Comma 18 6 4 5" xfId="43627"/>
    <cellStyle name="Comma 18 6 5" xfId="43628"/>
    <cellStyle name="Comma 18 6 5 2" xfId="43629"/>
    <cellStyle name="Comma 18 6 5 3" xfId="43630"/>
    <cellStyle name="Comma 18 6 6" xfId="43631"/>
    <cellStyle name="Comma 18 6 6 2" xfId="43632"/>
    <cellStyle name="Comma 18 6 6 3" xfId="43633"/>
    <cellStyle name="Comma 18 6 7" xfId="43634"/>
    <cellStyle name="Comma 18 6 7 2" xfId="43635"/>
    <cellStyle name="Comma 18 6 8" xfId="43636"/>
    <cellStyle name="Comma 18 6 9" xfId="43637"/>
    <cellStyle name="Comma 18 7" xfId="43638"/>
    <cellStyle name="Comma 18 7 2" xfId="43639"/>
    <cellStyle name="Comma 18 7 2 2" xfId="43640"/>
    <cellStyle name="Comma 18 7 2 2 2" xfId="43641"/>
    <cellStyle name="Comma 18 7 2 2 3" xfId="43642"/>
    <cellStyle name="Comma 18 7 2 3" xfId="43643"/>
    <cellStyle name="Comma 18 7 2 3 2" xfId="43644"/>
    <cellStyle name="Comma 18 7 2 3 3" xfId="43645"/>
    <cellStyle name="Comma 18 7 2 4" xfId="43646"/>
    <cellStyle name="Comma 18 7 2 4 2" xfId="43647"/>
    <cellStyle name="Comma 18 7 2 5" xfId="43648"/>
    <cellStyle name="Comma 18 7 2 6" xfId="43649"/>
    <cellStyle name="Comma 18 7 3" xfId="43650"/>
    <cellStyle name="Comma 18 7 3 2" xfId="43651"/>
    <cellStyle name="Comma 18 7 3 2 2" xfId="43652"/>
    <cellStyle name="Comma 18 7 3 2 3" xfId="43653"/>
    <cellStyle name="Comma 18 7 3 3" xfId="43654"/>
    <cellStyle name="Comma 18 7 3 3 2" xfId="43655"/>
    <cellStyle name="Comma 18 7 3 3 3" xfId="43656"/>
    <cellStyle name="Comma 18 7 3 4" xfId="43657"/>
    <cellStyle name="Comma 18 7 3 4 2" xfId="43658"/>
    <cellStyle name="Comma 18 7 3 5" xfId="43659"/>
    <cellStyle name="Comma 18 7 3 6" xfId="43660"/>
    <cellStyle name="Comma 18 7 4" xfId="43661"/>
    <cellStyle name="Comma 18 7 4 2" xfId="43662"/>
    <cellStyle name="Comma 18 7 4 2 2" xfId="43663"/>
    <cellStyle name="Comma 18 7 4 2 3" xfId="43664"/>
    <cellStyle name="Comma 18 7 4 3" xfId="43665"/>
    <cellStyle name="Comma 18 7 4 3 2" xfId="43666"/>
    <cellStyle name="Comma 18 7 4 4" xfId="43667"/>
    <cellStyle name="Comma 18 7 4 5" xfId="43668"/>
    <cellStyle name="Comma 18 7 5" xfId="43669"/>
    <cellStyle name="Comma 18 7 5 2" xfId="43670"/>
    <cellStyle name="Comma 18 7 5 3" xfId="43671"/>
    <cellStyle name="Comma 18 7 6" xfId="43672"/>
    <cellStyle name="Comma 18 7 6 2" xfId="43673"/>
    <cellStyle name="Comma 18 7 6 3" xfId="43674"/>
    <cellStyle name="Comma 18 7 7" xfId="43675"/>
    <cellStyle name="Comma 18 7 7 2" xfId="43676"/>
    <cellStyle name="Comma 18 7 8" xfId="43677"/>
    <cellStyle name="Comma 18 7 9" xfId="43678"/>
    <cellStyle name="Comma 18 8" xfId="43679"/>
    <cellStyle name="Comma 18 8 2" xfId="43680"/>
    <cellStyle name="Comma 18 8 2 2" xfId="43681"/>
    <cellStyle name="Comma 18 8 2 3" xfId="43682"/>
    <cellStyle name="Comma 18 8 3" xfId="43683"/>
    <cellStyle name="Comma 18 8 3 2" xfId="43684"/>
    <cellStyle name="Comma 18 8 3 3" xfId="43685"/>
    <cellStyle name="Comma 18 8 4" xfId="43686"/>
    <cellStyle name="Comma 18 8 4 2" xfId="43687"/>
    <cellStyle name="Comma 18 8 5" xfId="43688"/>
    <cellStyle name="Comma 18 8 6" xfId="43689"/>
    <cellStyle name="Comma 18 9" xfId="43690"/>
    <cellStyle name="Comma 18 9 2" xfId="43691"/>
    <cellStyle name="Comma 18 9 2 2" xfId="43692"/>
    <cellStyle name="Comma 18 9 2 3" xfId="43693"/>
    <cellStyle name="Comma 18 9 3" xfId="43694"/>
    <cellStyle name="Comma 18 9 3 2" xfId="43695"/>
    <cellStyle name="Comma 18 9 3 3" xfId="43696"/>
    <cellStyle name="Comma 18 9 4" xfId="43697"/>
    <cellStyle name="Comma 18 9 4 2" xfId="43698"/>
    <cellStyle name="Comma 18 9 5" xfId="43699"/>
    <cellStyle name="Comma 18 9 6" xfId="43700"/>
    <cellStyle name="Comma 19" xfId="3249"/>
    <cellStyle name="Comma 19 2" xfId="3250"/>
    <cellStyle name="Comma 19 2 2" xfId="43701"/>
    <cellStyle name="Comma 19 2 2 2" xfId="43702"/>
    <cellStyle name="Comma 19 2 3" xfId="43703"/>
    <cellStyle name="Comma 19 3" xfId="43704"/>
    <cellStyle name="Comma 19 3 2" xfId="43705"/>
    <cellStyle name="Comma 19 4" xfId="43706"/>
    <cellStyle name="Comma 19 4 2" xfId="43707"/>
    <cellStyle name="Comma 19 5" xfId="43708"/>
    <cellStyle name="Comma 19 6" xfId="43709"/>
    <cellStyle name="Comma 2" xfId="3251"/>
    <cellStyle name="Comma 2 10" xfId="3252"/>
    <cellStyle name="Comma 2 10 2" xfId="3253"/>
    <cellStyle name="Comma 2 10 2 2" xfId="3254"/>
    <cellStyle name="Comma 2 10 2 2 2" xfId="58628"/>
    <cellStyle name="Comma 2 10 2 3" xfId="58629"/>
    <cellStyle name="Comma 2 10 2 4" xfId="58630"/>
    <cellStyle name="Comma 2 10 2 5" xfId="58631"/>
    <cellStyle name="Comma 2 10 3" xfId="3255"/>
    <cellStyle name="Comma 2 10 3 2" xfId="58632"/>
    <cellStyle name="Comma 2 10 3 2 2" xfId="58633"/>
    <cellStyle name="Comma 2 10 3 3" xfId="58634"/>
    <cellStyle name="Comma 2 10 3 4" xfId="58635"/>
    <cellStyle name="Comma 2 10 3 5" xfId="58636"/>
    <cellStyle name="Comma 2 10 4" xfId="58637"/>
    <cellStyle name="Comma 2 11" xfId="3256"/>
    <cellStyle name="Comma 2 11 2" xfId="3257"/>
    <cellStyle name="Comma 2 11 2 2" xfId="58638"/>
    <cellStyle name="Comma 2 11 2 2 2" xfId="58639"/>
    <cellStyle name="Comma 2 11 2 3" xfId="58640"/>
    <cellStyle name="Comma 2 11 2 4" xfId="58641"/>
    <cellStyle name="Comma 2 11 2 5" xfId="58642"/>
    <cellStyle name="Comma 2 11 2 6" xfId="58643"/>
    <cellStyle name="Comma 2 11 3" xfId="58644"/>
    <cellStyle name="Comma 2 12" xfId="3258"/>
    <cellStyle name="Comma 2 12 2" xfId="3259"/>
    <cellStyle name="Comma 2 12 3" xfId="58645"/>
    <cellStyle name="Comma 2 13" xfId="3260"/>
    <cellStyle name="Comma 2 13 2" xfId="58646"/>
    <cellStyle name="Comma 2 14" xfId="3261"/>
    <cellStyle name="Comma 2 14 2" xfId="58647"/>
    <cellStyle name="Comma 2 15" xfId="3262"/>
    <cellStyle name="Comma 2 15 2" xfId="58648"/>
    <cellStyle name="Comma 2 2" xfId="2"/>
    <cellStyle name="Comma 2 2 2" xfId="3263"/>
    <cellStyle name="Comma 2 2 2 2" xfId="3264"/>
    <cellStyle name="Comma 2 2 2 2 2" xfId="3265"/>
    <cellStyle name="Comma 2 2 2 2 2 2" xfId="58649"/>
    <cellStyle name="Comma 2 2 2 2 2 2 2" xfId="58650"/>
    <cellStyle name="Comma 2 2 2 2 2 3" xfId="58651"/>
    <cellStyle name="Comma 2 2 2 2 2 4" xfId="58652"/>
    <cellStyle name="Comma 2 2 2 2 3" xfId="43710"/>
    <cellStyle name="Comma 2 2 2 2 3 2" xfId="58653"/>
    <cellStyle name="Comma 2 2 2 2 4" xfId="58654"/>
    <cellStyle name="Comma 2 2 2 2 5" xfId="58655"/>
    <cellStyle name="Comma 2 2 2 2 6" xfId="58656"/>
    <cellStyle name="Comma 2 2 2 3" xfId="3266"/>
    <cellStyle name="Comma 2 2 2 3 2" xfId="43711"/>
    <cellStyle name="Comma 2 2 2 3 2 2" xfId="58657"/>
    <cellStyle name="Comma 2 2 2 3 3" xfId="58658"/>
    <cellStyle name="Comma 2 2 2 3 4" xfId="58659"/>
    <cellStyle name="Comma 2 2 2 4" xfId="3267"/>
    <cellStyle name="Comma 2 2 2 4 2" xfId="58660"/>
    <cellStyle name="Comma 2 2 2 5" xfId="43712"/>
    <cellStyle name="Comma 2 2 2 5 2" xfId="58661"/>
    <cellStyle name="Comma 2 2 2 6" xfId="57872"/>
    <cellStyle name="Comma 2 2 2 7" xfId="58662"/>
    <cellStyle name="Comma 2 2 2 8" xfId="58663"/>
    <cellStyle name="Comma 2 2 3" xfId="3268"/>
    <cellStyle name="Comma 2 2 3 2" xfId="8229"/>
    <cellStyle name="Comma 2 2 3 2 2" xfId="43713"/>
    <cellStyle name="Comma 2 2 3 3" xfId="43714"/>
    <cellStyle name="Comma 2 2 3 3 2" xfId="43715"/>
    <cellStyle name="Comma 2 2 4" xfId="43716"/>
    <cellStyle name="Comma 2 2 4 2" xfId="43717"/>
    <cellStyle name="Comma 2 2 4 2 2" xfId="43718"/>
    <cellStyle name="Comma 2 2 4 3" xfId="43719"/>
    <cellStyle name="Comma 2 2 5" xfId="43720"/>
    <cellStyle name="Comma 2 2 5 2" xfId="43721"/>
    <cellStyle name="Comma 2 2 6" xfId="43722"/>
    <cellStyle name="Comma 2 2 6 2" xfId="43723"/>
    <cellStyle name="Comma 2 2 7" xfId="57873"/>
    <cellStyle name="Comma 2 3" xfId="3269"/>
    <cellStyle name="Comma 2 3 2" xfId="3270"/>
    <cellStyle name="Comma 2 3 2 2" xfId="3271"/>
    <cellStyle name="Comma 2 3 2 2 2" xfId="3272"/>
    <cellStyle name="Comma 2 3 2 2 2 2" xfId="3273"/>
    <cellStyle name="Comma 2 3 2 2 2 2 2" xfId="3274"/>
    <cellStyle name="Comma 2 3 2 2 2 3" xfId="3275"/>
    <cellStyle name="Comma 2 3 2 2 3" xfId="3276"/>
    <cellStyle name="Comma 2 3 2 2 3 2" xfId="3277"/>
    <cellStyle name="Comma 2 3 2 2 4" xfId="3278"/>
    <cellStyle name="Comma 2 3 2 2 5" xfId="3279"/>
    <cellStyle name="Comma 2 3 2 2 6" xfId="58664"/>
    <cellStyle name="Comma 2 3 2 3" xfId="3280"/>
    <cellStyle name="Comma 2 3 2 3 2" xfId="3281"/>
    <cellStyle name="Comma 2 3 2 3 2 2" xfId="3282"/>
    <cellStyle name="Comma 2 3 2 3 3" xfId="3283"/>
    <cellStyle name="Comma 2 3 2 3 4" xfId="3284"/>
    <cellStyle name="Comma 2 3 2 4" xfId="3285"/>
    <cellStyle name="Comma 2 3 2 4 2" xfId="3286"/>
    <cellStyle name="Comma 2 3 2 5" xfId="3287"/>
    <cellStyle name="Comma 2 3 2 5 2" xfId="58665"/>
    <cellStyle name="Comma 2 3 2 6" xfId="3288"/>
    <cellStyle name="Comma 2 3 2 7" xfId="58666"/>
    <cellStyle name="Comma 2 3 2 8" xfId="58667"/>
    <cellStyle name="Comma 2 3 3" xfId="3289"/>
    <cellStyle name="Comma 2 3 3 2" xfId="3290"/>
    <cellStyle name="Comma 2 3 3 2 2" xfId="3291"/>
    <cellStyle name="Comma 2 3 3 2 2 2" xfId="3292"/>
    <cellStyle name="Comma 2 3 3 2 3" xfId="3293"/>
    <cellStyle name="Comma 2 3 3 3" xfId="3294"/>
    <cellStyle name="Comma 2 3 3 3 2" xfId="3295"/>
    <cellStyle name="Comma 2 3 3 4" xfId="3296"/>
    <cellStyle name="Comma 2 3 3 5" xfId="3297"/>
    <cellStyle name="Comma 2 3 3 6" xfId="58668"/>
    <cellStyle name="Comma 2 3 4" xfId="3298"/>
    <cellStyle name="Comma 2 3 4 2" xfId="3299"/>
    <cellStyle name="Comma 2 3 4 2 2" xfId="3300"/>
    <cellStyle name="Comma 2 3 4 3" xfId="3301"/>
    <cellStyle name="Comma 2 3 4 4" xfId="3302"/>
    <cellStyle name="Comma 2 3 5" xfId="3303"/>
    <cellStyle name="Comma 2 3 5 2" xfId="3304"/>
    <cellStyle name="Comma 2 3 6" xfId="3305"/>
    <cellStyle name="Comma 2 3 7" xfId="3306"/>
    <cellStyle name="Comma 2 3 8" xfId="9086"/>
    <cellStyle name="Comma 2 4" xfId="3307"/>
    <cellStyle name="Comma 2 4 2" xfId="3308"/>
    <cellStyle name="Comma 2 4 2 10" xfId="58669"/>
    <cellStyle name="Comma 2 4 2 2" xfId="3309"/>
    <cellStyle name="Comma 2 4 2 2 2" xfId="3310"/>
    <cellStyle name="Comma 2 4 2 2 2 2" xfId="3311"/>
    <cellStyle name="Comma 2 4 2 2 2 2 2" xfId="3312"/>
    <cellStyle name="Comma 2 4 2 2 2 2 2 2" xfId="8230"/>
    <cellStyle name="Comma 2 4 2 2 2 2 2 3" xfId="58670"/>
    <cellStyle name="Comma 2 4 2 2 2 2 3" xfId="8231"/>
    <cellStyle name="Comma 2 4 2 2 2 2 3 2" xfId="58671"/>
    <cellStyle name="Comma 2 4 2 2 2 2 4" xfId="58672"/>
    <cellStyle name="Comma 2 4 2 2 2 2 5" xfId="58673"/>
    <cellStyle name="Comma 2 4 2 2 2 3" xfId="3313"/>
    <cellStyle name="Comma 2 4 2 2 2 3 2" xfId="8232"/>
    <cellStyle name="Comma 2 4 2 2 2 3 3" xfId="58674"/>
    <cellStyle name="Comma 2 4 2 2 2 4" xfId="8233"/>
    <cellStyle name="Comma 2 4 2 2 2 4 2" xfId="58675"/>
    <cellStyle name="Comma 2 4 2 2 2 5" xfId="58676"/>
    <cellStyle name="Comma 2 4 2 2 2 6" xfId="58677"/>
    <cellStyle name="Comma 2 4 2 2 3" xfId="3314"/>
    <cellStyle name="Comma 2 4 2 2 3 2" xfId="3315"/>
    <cellStyle name="Comma 2 4 2 2 3 2 2" xfId="8234"/>
    <cellStyle name="Comma 2 4 2 2 3 2 2 2" xfId="58678"/>
    <cellStyle name="Comma 2 4 2 2 3 2 3" xfId="58679"/>
    <cellStyle name="Comma 2 4 2 2 3 2 4" xfId="58680"/>
    <cellStyle name="Comma 2 4 2 2 3 2 5" xfId="58681"/>
    <cellStyle name="Comma 2 4 2 2 3 3" xfId="8235"/>
    <cellStyle name="Comma 2 4 2 2 3 3 2" xfId="58682"/>
    <cellStyle name="Comma 2 4 2 2 3 4" xfId="58683"/>
    <cellStyle name="Comma 2 4 2 2 3 5" xfId="58684"/>
    <cellStyle name="Comma 2 4 2 2 3 6" xfId="58685"/>
    <cellStyle name="Comma 2 4 2 2 4" xfId="3316"/>
    <cellStyle name="Comma 2 4 2 2 4 2" xfId="8236"/>
    <cellStyle name="Comma 2 4 2 2 4 2 2" xfId="58686"/>
    <cellStyle name="Comma 2 4 2 2 4 3" xfId="58687"/>
    <cellStyle name="Comma 2 4 2 2 4 4" xfId="58688"/>
    <cellStyle name="Comma 2 4 2 2 4 5" xfId="58689"/>
    <cellStyle name="Comma 2 4 2 2 5" xfId="8237"/>
    <cellStyle name="Comma 2 4 2 2 5 2" xfId="8238"/>
    <cellStyle name="Comma 2 4 2 2 5 2 2" xfId="58690"/>
    <cellStyle name="Comma 2 4 2 2 5 3" xfId="58691"/>
    <cellStyle name="Comma 2 4 2 2 5 4" xfId="58692"/>
    <cellStyle name="Comma 2 4 2 2 5 5" xfId="58693"/>
    <cellStyle name="Comma 2 4 2 2 6" xfId="8239"/>
    <cellStyle name="Comma 2 4 2 2 6 2" xfId="58694"/>
    <cellStyle name="Comma 2 4 2 2 7" xfId="58695"/>
    <cellStyle name="Comma 2 4 2 2 8" xfId="58696"/>
    <cellStyle name="Comma 2 4 2 2 9" xfId="58697"/>
    <cellStyle name="Comma 2 4 2 3" xfId="3317"/>
    <cellStyle name="Comma 2 4 2 3 2" xfId="3318"/>
    <cellStyle name="Comma 2 4 2 3 2 2" xfId="3319"/>
    <cellStyle name="Comma 2 4 2 3 2 2 2" xfId="8240"/>
    <cellStyle name="Comma 2 4 2 3 2 2 3" xfId="58698"/>
    <cellStyle name="Comma 2 4 2 3 2 3" xfId="8241"/>
    <cellStyle name="Comma 2 4 2 3 2 3 2" xfId="58699"/>
    <cellStyle name="Comma 2 4 2 3 2 4" xfId="58700"/>
    <cellStyle name="Comma 2 4 2 3 2 5" xfId="58701"/>
    <cellStyle name="Comma 2 4 2 3 3" xfId="3320"/>
    <cellStyle name="Comma 2 4 2 3 3 2" xfId="8242"/>
    <cellStyle name="Comma 2 4 2 3 3 3" xfId="58702"/>
    <cellStyle name="Comma 2 4 2 3 4" xfId="8243"/>
    <cellStyle name="Comma 2 4 2 3 4 2" xfId="58703"/>
    <cellStyle name="Comma 2 4 2 3 5" xfId="58704"/>
    <cellStyle name="Comma 2 4 2 3 6" xfId="58705"/>
    <cellStyle name="Comma 2 4 2 4" xfId="3321"/>
    <cellStyle name="Comma 2 4 2 4 2" xfId="3322"/>
    <cellStyle name="Comma 2 4 2 4 2 2" xfId="8244"/>
    <cellStyle name="Comma 2 4 2 4 2 2 2" xfId="58706"/>
    <cellStyle name="Comma 2 4 2 4 2 3" xfId="58707"/>
    <cellStyle name="Comma 2 4 2 4 2 4" xfId="58708"/>
    <cellStyle name="Comma 2 4 2 4 2 5" xfId="58709"/>
    <cellStyle name="Comma 2 4 2 4 3" xfId="8245"/>
    <cellStyle name="Comma 2 4 2 4 3 2" xfId="58710"/>
    <cellStyle name="Comma 2 4 2 4 4" xfId="58711"/>
    <cellStyle name="Comma 2 4 2 4 5" xfId="58712"/>
    <cellStyle name="Comma 2 4 2 4 6" xfId="58713"/>
    <cellStyle name="Comma 2 4 2 5" xfId="3323"/>
    <cellStyle name="Comma 2 4 2 5 2" xfId="8246"/>
    <cellStyle name="Comma 2 4 2 5 2 2" xfId="58714"/>
    <cellStyle name="Comma 2 4 2 5 3" xfId="58715"/>
    <cellStyle name="Comma 2 4 2 5 4" xfId="58716"/>
    <cellStyle name="Comma 2 4 2 5 5" xfId="58717"/>
    <cellStyle name="Comma 2 4 2 6" xfId="8247"/>
    <cellStyle name="Comma 2 4 2 6 2" xfId="8248"/>
    <cellStyle name="Comma 2 4 2 6 2 2" xfId="58718"/>
    <cellStyle name="Comma 2 4 2 6 3" xfId="58719"/>
    <cellStyle name="Comma 2 4 2 6 4" xfId="58720"/>
    <cellStyle name="Comma 2 4 2 6 5" xfId="58721"/>
    <cellStyle name="Comma 2 4 2 7" xfId="8249"/>
    <cellStyle name="Comma 2 4 2 7 2" xfId="58722"/>
    <cellStyle name="Comma 2 4 2 8" xfId="43724"/>
    <cellStyle name="Comma 2 4 2 9" xfId="58723"/>
    <cellStyle name="Comma 2 4 3" xfId="3324"/>
    <cellStyle name="Comma 2 4 3 2" xfId="3325"/>
    <cellStyle name="Comma 2 4 3 2 2" xfId="3326"/>
    <cellStyle name="Comma 2 4 3 2 2 2" xfId="3327"/>
    <cellStyle name="Comma 2 4 3 2 2 2 2" xfId="8250"/>
    <cellStyle name="Comma 2 4 3 2 2 2 3" xfId="58724"/>
    <cellStyle name="Comma 2 4 3 2 2 3" xfId="8251"/>
    <cellStyle name="Comma 2 4 3 2 2 3 2" xfId="58725"/>
    <cellStyle name="Comma 2 4 3 2 2 4" xfId="58726"/>
    <cellStyle name="Comma 2 4 3 2 2 5" xfId="58727"/>
    <cellStyle name="Comma 2 4 3 2 3" xfId="3328"/>
    <cellStyle name="Comma 2 4 3 2 3 2" xfId="8252"/>
    <cellStyle name="Comma 2 4 3 2 3 3" xfId="58728"/>
    <cellStyle name="Comma 2 4 3 2 4" xfId="8253"/>
    <cellStyle name="Comma 2 4 3 2 4 2" xfId="58729"/>
    <cellStyle name="Comma 2 4 3 2 5" xfId="58730"/>
    <cellStyle name="Comma 2 4 3 2 6" xfId="58731"/>
    <cellStyle name="Comma 2 4 3 3" xfId="3329"/>
    <cellStyle name="Comma 2 4 3 3 2" xfId="3330"/>
    <cellStyle name="Comma 2 4 3 3 2 2" xfId="8254"/>
    <cellStyle name="Comma 2 4 3 3 2 2 2" xfId="58732"/>
    <cellStyle name="Comma 2 4 3 3 2 3" xfId="58733"/>
    <cellStyle name="Comma 2 4 3 3 2 4" xfId="58734"/>
    <cellStyle name="Comma 2 4 3 3 2 5" xfId="58735"/>
    <cellStyle name="Comma 2 4 3 3 3" xfId="8255"/>
    <cellStyle name="Comma 2 4 3 3 3 2" xfId="58736"/>
    <cellStyle name="Comma 2 4 3 3 4" xfId="58737"/>
    <cellStyle name="Comma 2 4 3 3 5" xfId="58738"/>
    <cellStyle name="Comma 2 4 3 3 6" xfId="58739"/>
    <cellStyle name="Comma 2 4 3 4" xfId="3331"/>
    <cellStyle name="Comma 2 4 3 4 2" xfId="8256"/>
    <cellStyle name="Comma 2 4 3 4 2 2" xfId="58740"/>
    <cellStyle name="Comma 2 4 3 4 3" xfId="58741"/>
    <cellStyle name="Comma 2 4 3 4 4" xfId="58742"/>
    <cellStyle name="Comma 2 4 3 4 5" xfId="58743"/>
    <cellStyle name="Comma 2 4 3 5" xfId="8257"/>
    <cellStyle name="Comma 2 4 3 5 2" xfId="8258"/>
    <cellStyle name="Comma 2 4 3 5 2 2" xfId="58744"/>
    <cellStyle name="Comma 2 4 3 5 3" xfId="58745"/>
    <cellStyle name="Comma 2 4 3 5 4" xfId="58746"/>
    <cellStyle name="Comma 2 4 3 5 5" xfId="58747"/>
    <cellStyle name="Comma 2 4 3 6" xfId="8259"/>
    <cellStyle name="Comma 2 4 3 6 2" xfId="58748"/>
    <cellStyle name="Comma 2 4 3 7" xfId="43725"/>
    <cellStyle name="Comma 2 4 3 8" xfId="58749"/>
    <cellStyle name="Comma 2 4 3 9" xfId="58750"/>
    <cellStyle name="Comma 2 4 4" xfId="3332"/>
    <cellStyle name="Comma 2 4 4 2" xfId="3333"/>
    <cellStyle name="Comma 2 4 4 2 2" xfId="3334"/>
    <cellStyle name="Comma 2 4 4 2 2 2" xfId="8260"/>
    <cellStyle name="Comma 2 4 4 2 2 3" xfId="58751"/>
    <cellStyle name="Comma 2 4 4 2 3" xfId="8261"/>
    <cellStyle name="Comma 2 4 4 2 3 2" xfId="58752"/>
    <cellStyle name="Comma 2 4 4 2 4" xfId="58753"/>
    <cellStyle name="Comma 2 4 4 2 5" xfId="58754"/>
    <cellStyle name="Comma 2 4 4 3" xfId="3335"/>
    <cellStyle name="Comma 2 4 4 3 2" xfId="8262"/>
    <cellStyle name="Comma 2 4 4 3 3" xfId="58755"/>
    <cellStyle name="Comma 2 4 4 4" xfId="8263"/>
    <cellStyle name="Comma 2 4 4 4 2" xfId="58756"/>
    <cellStyle name="Comma 2 4 4 5" xfId="58757"/>
    <cellStyle name="Comma 2 4 4 6" xfId="58758"/>
    <cellStyle name="Comma 2 4 5" xfId="3336"/>
    <cellStyle name="Comma 2 4 5 2" xfId="3337"/>
    <cellStyle name="Comma 2 4 5 2 2" xfId="8264"/>
    <cellStyle name="Comma 2 4 5 2 2 2" xfId="58759"/>
    <cellStyle name="Comma 2 4 5 2 3" xfId="58760"/>
    <cellStyle name="Comma 2 4 5 2 4" xfId="58761"/>
    <cellStyle name="Comma 2 4 5 2 5" xfId="58762"/>
    <cellStyle name="Comma 2 4 5 3" xfId="8265"/>
    <cellStyle name="Comma 2 4 5 3 2" xfId="58763"/>
    <cellStyle name="Comma 2 4 5 4" xfId="58764"/>
    <cellStyle name="Comma 2 4 5 5" xfId="58765"/>
    <cellStyle name="Comma 2 4 5 6" xfId="58766"/>
    <cellStyle name="Comma 2 4 6" xfId="3338"/>
    <cellStyle name="Comma 2 4 6 2" xfId="8266"/>
    <cellStyle name="Comma 2 4 6 2 2" xfId="58767"/>
    <cellStyle name="Comma 2 4 6 3" xfId="58768"/>
    <cellStyle name="Comma 2 4 6 4" xfId="58769"/>
    <cellStyle name="Comma 2 4 6 5" xfId="58770"/>
    <cellStyle name="Comma 2 4 7" xfId="8267"/>
    <cellStyle name="Comma 2 4 7 2" xfId="8268"/>
    <cellStyle name="Comma 2 4 7 2 2" xfId="58771"/>
    <cellStyle name="Comma 2 4 7 3" xfId="58772"/>
    <cellStyle name="Comma 2 4 7 4" xfId="58773"/>
    <cellStyle name="Comma 2 4 7 5" xfId="58774"/>
    <cellStyle name="Comma 2 4 8" xfId="8269"/>
    <cellStyle name="Comma 2 4 8 2" xfId="58775"/>
    <cellStyle name="Comma 2 4 8 2 2" xfId="58776"/>
    <cellStyle name="Comma 2 4 8 3" xfId="58777"/>
    <cellStyle name="Comma 2 4 8 4" xfId="58778"/>
    <cellStyle name="Comma 2 4 8 5" xfId="58779"/>
    <cellStyle name="Comma 2 4 9" xfId="58780"/>
    <cellStyle name="Comma 2 5" xfId="3339"/>
    <cellStyle name="Comma 2 5 2" xfId="3340"/>
    <cellStyle name="Comma 2 5 2 10" xfId="58781"/>
    <cellStyle name="Comma 2 5 2 2" xfId="3341"/>
    <cellStyle name="Comma 2 5 2 2 2" xfId="3342"/>
    <cellStyle name="Comma 2 5 2 2 2 2" xfId="3343"/>
    <cellStyle name="Comma 2 5 2 2 2 2 2" xfId="8270"/>
    <cellStyle name="Comma 2 5 2 2 2 2 2 2" xfId="8271"/>
    <cellStyle name="Comma 2 5 2 2 2 2 2 3" xfId="58782"/>
    <cellStyle name="Comma 2 5 2 2 2 2 3" xfId="8272"/>
    <cellStyle name="Comma 2 5 2 2 2 2 3 2" xfId="58783"/>
    <cellStyle name="Comma 2 5 2 2 2 2 4" xfId="58784"/>
    <cellStyle name="Comma 2 5 2 2 2 2 5" xfId="58785"/>
    <cellStyle name="Comma 2 5 2 2 2 3" xfId="8273"/>
    <cellStyle name="Comma 2 5 2 2 2 3 2" xfId="8274"/>
    <cellStyle name="Comma 2 5 2 2 2 3 3" xfId="58786"/>
    <cellStyle name="Comma 2 5 2 2 2 4" xfId="8275"/>
    <cellStyle name="Comma 2 5 2 2 2 4 2" xfId="58787"/>
    <cellStyle name="Comma 2 5 2 2 2 5" xfId="58788"/>
    <cellStyle name="Comma 2 5 2 2 2 6" xfId="58789"/>
    <cellStyle name="Comma 2 5 2 2 3" xfId="3344"/>
    <cellStyle name="Comma 2 5 2 2 3 2" xfId="8276"/>
    <cellStyle name="Comma 2 5 2 2 3 2 2" xfId="8277"/>
    <cellStyle name="Comma 2 5 2 2 3 2 2 2" xfId="58790"/>
    <cellStyle name="Comma 2 5 2 2 3 2 3" xfId="58791"/>
    <cellStyle name="Comma 2 5 2 2 3 2 4" xfId="58792"/>
    <cellStyle name="Comma 2 5 2 2 3 2 5" xfId="58793"/>
    <cellStyle name="Comma 2 5 2 2 3 3" xfId="8278"/>
    <cellStyle name="Comma 2 5 2 2 3 3 2" xfId="58794"/>
    <cellStyle name="Comma 2 5 2 2 3 4" xfId="58795"/>
    <cellStyle name="Comma 2 5 2 2 3 5" xfId="58796"/>
    <cellStyle name="Comma 2 5 2 2 3 6" xfId="58797"/>
    <cellStyle name="Comma 2 5 2 2 4" xfId="8279"/>
    <cellStyle name="Comma 2 5 2 2 4 2" xfId="8280"/>
    <cellStyle name="Comma 2 5 2 2 4 2 2" xfId="58798"/>
    <cellStyle name="Comma 2 5 2 2 4 3" xfId="58799"/>
    <cellStyle name="Comma 2 5 2 2 4 4" xfId="58800"/>
    <cellStyle name="Comma 2 5 2 2 4 5" xfId="58801"/>
    <cellStyle name="Comma 2 5 2 2 5" xfId="8281"/>
    <cellStyle name="Comma 2 5 2 2 5 2" xfId="8282"/>
    <cellStyle name="Comma 2 5 2 2 5 2 2" xfId="58802"/>
    <cellStyle name="Comma 2 5 2 2 5 3" xfId="58803"/>
    <cellStyle name="Comma 2 5 2 2 5 4" xfId="58804"/>
    <cellStyle name="Comma 2 5 2 2 5 5" xfId="58805"/>
    <cellStyle name="Comma 2 5 2 2 6" xfId="8283"/>
    <cellStyle name="Comma 2 5 2 2 6 2" xfId="58806"/>
    <cellStyle name="Comma 2 5 2 2 7" xfId="58807"/>
    <cellStyle name="Comma 2 5 2 2 8" xfId="58808"/>
    <cellStyle name="Comma 2 5 2 2 9" xfId="58809"/>
    <cellStyle name="Comma 2 5 2 3" xfId="3345"/>
    <cellStyle name="Comma 2 5 2 3 2" xfId="3346"/>
    <cellStyle name="Comma 2 5 2 3 2 2" xfId="8284"/>
    <cellStyle name="Comma 2 5 2 3 2 2 2" xfId="8285"/>
    <cellStyle name="Comma 2 5 2 3 2 2 3" xfId="58810"/>
    <cellStyle name="Comma 2 5 2 3 2 3" xfId="8286"/>
    <cellStyle name="Comma 2 5 2 3 2 3 2" xfId="58811"/>
    <cellStyle name="Comma 2 5 2 3 2 4" xfId="58812"/>
    <cellStyle name="Comma 2 5 2 3 2 5" xfId="58813"/>
    <cellStyle name="Comma 2 5 2 3 3" xfId="8287"/>
    <cellStyle name="Comma 2 5 2 3 3 2" xfId="8288"/>
    <cellStyle name="Comma 2 5 2 3 3 3" xfId="58814"/>
    <cellStyle name="Comma 2 5 2 3 4" xfId="8289"/>
    <cellStyle name="Comma 2 5 2 3 4 2" xfId="58815"/>
    <cellStyle name="Comma 2 5 2 3 5" xfId="58816"/>
    <cellStyle name="Comma 2 5 2 3 6" xfId="58817"/>
    <cellStyle name="Comma 2 5 2 4" xfId="3347"/>
    <cellStyle name="Comma 2 5 2 4 2" xfId="8290"/>
    <cellStyle name="Comma 2 5 2 4 2 2" xfId="8291"/>
    <cellStyle name="Comma 2 5 2 4 2 2 2" xfId="58818"/>
    <cellStyle name="Comma 2 5 2 4 2 3" xfId="58819"/>
    <cellStyle name="Comma 2 5 2 4 2 4" xfId="58820"/>
    <cellStyle name="Comma 2 5 2 4 2 5" xfId="58821"/>
    <cellStyle name="Comma 2 5 2 4 3" xfId="8292"/>
    <cellStyle name="Comma 2 5 2 4 3 2" xfId="58822"/>
    <cellStyle name="Comma 2 5 2 4 4" xfId="58823"/>
    <cellStyle name="Comma 2 5 2 4 5" xfId="58824"/>
    <cellStyle name="Comma 2 5 2 4 6" xfId="58825"/>
    <cellStyle name="Comma 2 5 2 5" xfId="8293"/>
    <cellStyle name="Comma 2 5 2 5 2" xfId="8294"/>
    <cellStyle name="Comma 2 5 2 5 2 2" xfId="58826"/>
    <cellStyle name="Comma 2 5 2 5 3" xfId="58827"/>
    <cellStyle name="Comma 2 5 2 5 4" xfId="58828"/>
    <cellStyle name="Comma 2 5 2 5 5" xfId="58829"/>
    <cellStyle name="Comma 2 5 2 6" xfId="8295"/>
    <cellStyle name="Comma 2 5 2 6 2" xfId="8296"/>
    <cellStyle name="Comma 2 5 2 6 2 2" xfId="58830"/>
    <cellStyle name="Comma 2 5 2 6 3" xfId="58831"/>
    <cellStyle name="Comma 2 5 2 6 4" xfId="58832"/>
    <cellStyle name="Comma 2 5 2 6 5" xfId="58833"/>
    <cellStyle name="Comma 2 5 2 7" xfId="8297"/>
    <cellStyle name="Comma 2 5 2 7 2" xfId="58834"/>
    <cellStyle name="Comma 2 5 2 8" xfId="43726"/>
    <cellStyle name="Comma 2 5 2 9" xfId="58835"/>
    <cellStyle name="Comma 2 5 3" xfId="3348"/>
    <cellStyle name="Comma 2 5 3 2" xfId="3349"/>
    <cellStyle name="Comma 2 5 3 2 2" xfId="3350"/>
    <cellStyle name="Comma 2 5 3 2 2 2" xfId="8298"/>
    <cellStyle name="Comma 2 5 3 2 2 2 2" xfId="8299"/>
    <cellStyle name="Comma 2 5 3 2 2 2 3" xfId="58836"/>
    <cellStyle name="Comma 2 5 3 2 2 3" xfId="8300"/>
    <cellStyle name="Comma 2 5 3 2 2 3 2" xfId="58837"/>
    <cellStyle name="Comma 2 5 3 2 2 4" xfId="58838"/>
    <cellStyle name="Comma 2 5 3 2 2 5" xfId="58839"/>
    <cellStyle name="Comma 2 5 3 2 3" xfId="8301"/>
    <cellStyle name="Comma 2 5 3 2 3 2" xfId="8302"/>
    <cellStyle name="Comma 2 5 3 2 3 3" xfId="58840"/>
    <cellStyle name="Comma 2 5 3 2 4" xfId="8303"/>
    <cellStyle name="Comma 2 5 3 2 4 2" xfId="58841"/>
    <cellStyle name="Comma 2 5 3 2 5" xfId="58842"/>
    <cellStyle name="Comma 2 5 3 2 6" xfId="58843"/>
    <cellStyle name="Comma 2 5 3 3" xfId="3351"/>
    <cellStyle name="Comma 2 5 3 3 2" xfId="8304"/>
    <cellStyle name="Comma 2 5 3 3 2 2" xfId="8305"/>
    <cellStyle name="Comma 2 5 3 3 2 2 2" xfId="58844"/>
    <cellStyle name="Comma 2 5 3 3 2 3" xfId="58845"/>
    <cellStyle name="Comma 2 5 3 3 2 4" xfId="58846"/>
    <cellStyle name="Comma 2 5 3 3 2 5" xfId="58847"/>
    <cellStyle name="Comma 2 5 3 3 3" xfId="8306"/>
    <cellStyle name="Comma 2 5 3 3 3 2" xfId="58848"/>
    <cellStyle name="Comma 2 5 3 3 4" xfId="58849"/>
    <cellStyle name="Comma 2 5 3 3 5" xfId="58850"/>
    <cellStyle name="Comma 2 5 3 3 6" xfId="58851"/>
    <cellStyle name="Comma 2 5 3 4" xfId="8307"/>
    <cellStyle name="Comma 2 5 3 4 2" xfId="8308"/>
    <cellStyle name="Comma 2 5 3 4 2 2" xfId="58852"/>
    <cellStyle name="Comma 2 5 3 4 3" xfId="58853"/>
    <cellStyle name="Comma 2 5 3 4 4" xfId="58854"/>
    <cellStyle name="Comma 2 5 3 4 5" xfId="58855"/>
    <cellStyle name="Comma 2 5 3 5" xfId="8309"/>
    <cellStyle name="Comma 2 5 3 5 2" xfId="8310"/>
    <cellStyle name="Comma 2 5 3 5 2 2" xfId="58856"/>
    <cellStyle name="Comma 2 5 3 5 3" xfId="58857"/>
    <cellStyle name="Comma 2 5 3 5 4" xfId="58858"/>
    <cellStyle name="Comma 2 5 3 5 5" xfId="58859"/>
    <cellStyle name="Comma 2 5 3 6" xfId="8311"/>
    <cellStyle name="Comma 2 5 3 6 2" xfId="58860"/>
    <cellStyle name="Comma 2 5 3 7" xfId="58861"/>
    <cellStyle name="Comma 2 5 3 8" xfId="58862"/>
    <cellStyle name="Comma 2 5 3 9" xfId="58863"/>
    <cellStyle name="Comma 2 5 4" xfId="3352"/>
    <cellStyle name="Comma 2 5 4 2" xfId="3353"/>
    <cellStyle name="Comma 2 5 4 2 2" xfId="8312"/>
    <cellStyle name="Comma 2 5 4 2 2 2" xfId="8313"/>
    <cellStyle name="Comma 2 5 4 2 2 3" xfId="58864"/>
    <cellStyle name="Comma 2 5 4 2 3" xfId="8314"/>
    <cellStyle name="Comma 2 5 4 2 3 2" xfId="58865"/>
    <cellStyle name="Comma 2 5 4 2 4" xfId="58866"/>
    <cellStyle name="Comma 2 5 4 2 5" xfId="58867"/>
    <cellStyle name="Comma 2 5 4 3" xfId="8315"/>
    <cellStyle name="Comma 2 5 4 3 2" xfId="8316"/>
    <cellStyle name="Comma 2 5 4 3 3" xfId="58868"/>
    <cellStyle name="Comma 2 5 4 4" xfId="8317"/>
    <cellStyle name="Comma 2 5 4 4 2" xfId="58869"/>
    <cellStyle name="Comma 2 5 4 5" xfId="58870"/>
    <cellStyle name="Comma 2 5 4 6" xfId="58871"/>
    <cellStyle name="Comma 2 5 5" xfId="3354"/>
    <cellStyle name="Comma 2 5 5 2" xfId="8318"/>
    <cellStyle name="Comma 2 5 5 2 2" xfId="8319"/>
    <cellStyle name="Comma 2 5 5 2 2 2" xfId="58872"/>
    <cellStyle name="Comma 2 5 5 2 3" xfId="58873"/>
    <cellStyle name="Comma 2 5 5 2 4" xfId="58874"/>
    <cellStyle name="Comma 2 5 5 2 5" xfId="58875"/>
    <cellStyle name="Comma 2 5 5 3" xfId="8320"/>
    <cellStyle name="Comma 2 5 5 3 2" xfId="58876"/>
    <cellStyle name="Comma 2 5 5 4" xfId="58877"/>
    <cellStyle name="Comma 2 5 5 5" xfId="58878"/>
    <cellStyle name="Comma 2 5 5 6" xfId="58879"/>
    <cellStyle name="Comma 2 5 6" xfId="8321"/>
    <cellStyle name="Comma 2 5 6 2" xfId="8322"/>
    <cellStyle name="Comma 2 5 6 2 2" xfId="58880"/>
    <cellStyle name="Comma 2 5 6 3" xfId="58881"/>
    <cellStyle name="Comma 2 5 6 4" xfId="58882"/>
    <cellStyle name="Comma 2 5 6 5" xfId="58883"/>
    <cellStyle name="Comma 2 5 7" xfId="8323"/>
    <cellStyle name="Comma 2 5 7 2" xfId="8324"/>
    <cellStyle name="Comma 2 5 7 2 2" xfId="58884"/>
    <cellStyle name="Comma 2 5 7 3" xfId="58885"/>
    <cellStyle name="Comma 2 5 7 4" xfId="58886"/>
    <cellStyle name="Comma 2 5 7 5" xfId="58887"/>
    <cellStyle name="Comma 2 5 8" xfId="8325"/>
    <cellStyle name="Comma 2 5 8 2" xfId="58888"/>
    <cellStyle name="Comma 2 5 8 2 2" xfId="58889"/>
    <cellStyle name="Comma 2 5 8 3" xfId="58890"/>
    <cellStyle name="Comma 2 5 8 4" xfId="58891"/>
    <cellStyle name="Comma 2 5 8 5" xfId="58892"/>
    <cellStyle name="Comma 2 5 9" xfId="43727"/>
    <cellStyle name="Comma 2 6" xfId="3355"/>
    <cellStyle name="Comma 2 6 2" xfId="3356"/>
    <cellStyle name="Comma 2 6 2 2" xfId="3357"/>
    <cellStyle name="Comma 2 6 2 2 2" xfId="3358"/>
    <cellStyle name="Comma 2 6 2 2 2 2" xfId="8326"/>
    <cellStyle name="Comma 2 6 2 2 2 2 2" xfId="8327"/>
    <cellStyle name="Comma 2 6 2 2 2 2 3" xfId="58893"/>
    <cellStyle name="Comma 2 6 2 2 2 3" xfId="8328"/>
    <cellStyle name="Comma 2 6 2 2 2 3 2" xfId="58894"/>
    <cellStyle name="Comma 2 6 2 2 2 4" xfId="58895"/>
    <cellStyle name="Comma 2 6 2 2 2 5" xfId="58896"/>
    <cellStyle name="Comma 2 6 2 2 3" xfId="8329"/>
    <cellStyle name="Comma 2 6 2 2 3 2" xfId="8330"/>
    <cellStyle name="Comma 2 6 2 2 3 3" xfId="58897"/>
    <cellStyle name="Comma 2 6 2 2 4" xfId="8331"/>
    <cellStyle name="Comma 2 6 2 2 4 2" xfId="58898"/>
    <cellStyle name="Comma 2 6 2 2 5" xfId="58899"/>
    <cellStyle name="Comma 2 6 2 2 6" xfId="58900"/>
    <cellStyle name="Comma 2 6 2 3" xfId="3359"/>
    <cellStyle name="Comma 2 6 2 3 2" xfId="8332"/>
    <cellStyle name="Comma 2 6 2 3 2 2" xfId="8333"/>
    <cellStyle name="Comma 2 6 2 3 2 2 2" xfId="58901"/>
    <cellStyle name="Comma 2 6 2 3 2 3" xfId="58902"/>
    <cellStyle name="Comma 2 6 2 3 2 4" xfId="58903"/>
    <cellStyle name="Comma 2 6 2 3 2 5" xfId="58904"/>
    <cellStyle name="Comma 2 6 2 3 3" xfId="8334"/>
    <cellStyle name="Comma 2 6 2 3 3 2" xfId="58905"/>
    <cellStyle name="Comma 2 6 2 3 4" xfId="58906"/>
    <cellStyle name="Comma 2 6 2 3 5" xfId="58907"/>
    <cellStyle name="Comma 2 6 2 3 6" xfId="58908"/>
    <cellStyle name="Comma 2 6 2 4" xfId="8335"/>
    <cellStyle name="Comma 2 6 2 4 2" xfId="8336"/>
    <cellStyle name="Comma 2 6 2 4 2 2" xfId="58909"/>
    <cellStyle name="Comma 2 6 2 4 3" xfId="58910"/>
    <cellStyle name="Comma 2 6 2 4 4" xfId="58911"/>
    <cellStyle name="Comma 2 6 2 4 5" xfId="58912"/>
    <cellStyle name="Comma 2 6 2 5" xfId="8337"/>
    <cellStyle name="Comma 2 6 2 5 2" xfId="8338"/>
    <cellStyle name="Comma 2 6 2 5 2 2" xfId="58913"/>
    <cellStyle name="Comma 2 6 2 5 3" xfId="58914"/>
    <cellStyle name="Comma 2 6 2 5 4" xfId="58915"/>
    <cellStyle name="Comma 2 6 2 5 5" xfId="58916"/>
    <cellStyle name="Comma 2 6 2 6" xfId="8339"/>
    <cellStyle name="Comma 2 6 2 6 2" xfId="58917"/>
    <cellStyle name="Comma 2 6 2 7" xfId="43728"/>
    <cellStyle name="Comma 2 6 2 8" xfId="58918"/>
    <cellStyle name="Comma 2 6 2 9" xfId="58919"/>
    <cellStyle name="Comma 2 6 3" xfId="3360"/>
    <cellStyle name="Comma 2 6 3 2" xfId="3361"/>
    <cellStyle name="Comma 2 6 3 2 2" xfId="8340"/>
    <cellStyle name="Comma 2 6 3 2 2 2" xfId="8341"/>
    <cellStyle name="Comma 2 6 3 2 2 3" xfId="58920"/>
    <cellStyle name="Comma 2 6 3 2 3" xfId="8342"/>
    <cellStyle name="Comma 2 6 3 2 3 2" xfId="58921"/>
    <cellStyle name="Comma 2 6 3 2 4" xfId="58922"/>
    <cellStyle name="Comma 2 6 3 2 5" xfId="58923"/>
    <cellStyle name="Comma 2 6 3 3" xfId="8343"/>
    <cellStyle name="Comma 2 6 3 3 2" xfId="8344"/>
    <cellStyle name="Comma 2 6 3 3 3" xfId="58924"/>
    <cellStyle name="Comma 2 6 3 4" xfId="8345"/>
    <cellStyle name="Comma 2 6 3 4 2" xfId="58925"/>
    <cellStyle name="Comma 2 6 3 5" xfId="58926"/>
    <cellStyle name="Comma 2 6 3 6" xfId="58927"/>
    <cellStyle name="Comma 2 6 4" xfId="3362"/>
    <cellStyle name="Comma 2 6 4 2" xfId="8346"/>
    <cellStyle name="Comma 2 6 4 2 2" xfId="8347"/>
    <cellStyle name="Comma 2 6 4 2 2 2" xfId="58928"/>
    <cellStyle name="Comma 2 6 4 2 3" xfId="58929"/>
    <cellStyle name="Comma 2 6 4 2 4" xfId="58930"/>
    <cellStyle name="Comma 2 6 4 2 5" xfId="58931"/>
    <cellStyle name="Comma 2 6 4 3" xfId="8348"/>
    <cellStyle name="Comma 2 6 4 3 2" xfId="58932"/>
    <cellStyle name="Comma 2 6 4 4" xfId="58933"/>
    <cellStyle name="Comma 2 6 4 5" xfId="58934"/>
    <cellStyle name="Comma 2 6 4 6" xfId="58935"/>
    <cellStyle name="Comma 2 6 5" xfId="8349"/>
    <cellStyle name="Comma 2 6 5 2" xfId="8350"/>
    <cellStyle name="Comma 2 6 5 2 2" xfId="58936"/>
    <cellStyle name="Comma 2 6 5 3" xfId="58937"/>
    <cellStyle name="Comma 2 6 5 4" xfId="58938"/>
    <cellStyle name="Comma 2 6 5 5" xfId="58939"/>
    <cellStyle name="Comma 2 6 6" xfId="8351"/>
    <cellStyle name="Comma 2 6 6 2" xfId="8352"/>
    <cellStyle name="Comma 2 6 6 2 2" xfId="58940"/>
    <cellStyle name="Comma 2 6 6 3" xfId="58941"/>
    <cellStyle name="Comma 2 6 6 4" xfId="58942"/>
    <cellStyle name="Comma 2 6 6 5" xfId="58943"/>
    <cellStyle name="Comma 2 6 7" xfId="8353"/>
    <cellStyle name="Comma 2 6 7 2" xfId="58944"/>
    <cellStyle name="Comma 2 6 7 2 2" xfId="58945"/>
    <cellStyle name="Comma 2 6 7 3" xfId="58946"/>
    <cellStyle name="Comma 2 6 7 4" xfId="58947"/>
    <cellStyle name="Comma 2 6 7 5" xfId="58948"/>
    <cellStyle name="Comma 2 6 8" xfId="43729"/>
    <cellStyle name="Comma 2 7" xfId="3363"/>
    <cellStyle name="Comma 2 7 2" xfId="3364"/>
    <cellStyle name="Comma 2 7 2 2" xfId="3365"/>
    <cellStyle name="Comma 2 7 2 2 2" xfId="3366"/>
    <cellStyle name="Comma 2 7 2 2 2 2" xfId="8354"/>
    <cellStyle name="Comma 2 7 2 2 2 3" xfId="58949"/>
    <cellStyle name="Comma 2 7 2 2 3" xfId="8355"/>
    <cellStyle name="Comma 2 7 2 2 3 2" xfId="58950"/>
    <cellStyle name="Comma 2 7 2 2 4" xfId="58951"/>
    <cellStyle name="Comma 2 7 2 2 5" xfId="58952"/>
    <cellStyle name="Comma 2 7 2 3" xfId="3367"/>
    <cellStyle name="Comma 2 7 2 3 2" xfId="8356"/>
    <cellStyle name="Comma 2 7 2 3 3" xfId="58953"/>
    <cellStyle name="Comma 2 7 2 4" xfId="8357"/>
    <cellStyle name="Comma 2 7 2 4 2" xfId="58954"/>
    <cellStyle name="Comma 2 7 2 5" xfId="58955"/>
    <cellStyle name="Comma 2 7 2 6" xfId="58956"/>
    <cellStyle name="Comma 2 7 3" xfId="3368"/>
    <cellStyle name="Comma 2 7 3 2" xfId="3369"/>
    <cellStyle name="Comma 2 7 3 2 2" xfId="8358"/>
    <cellStyle name="Comma 2 7 3 2 2 2" xfId="58957"/>
    <cellStyle name="Comma 2 7 3 2 3" xfId="58958"/>
    <cellStyle name="Comma 2 7 3 2 4" xfId="58959"/>
    <cellStyle name="Comma 2 7 3 2 5" xfId="58960"/>
    <cellStyle name="Comma 2 7 3 3" xfId="8359"/>
    <cellStyle name="Comma 2 7 3 3 2" xfId="58961"/>
    <cellStyle name="Comma 2 7 3 4" xfId="58962"/>
    <cellStyle name="Comma 2 7 3 5" xfId="58963"/>
    <cellStyle name="Comma 2 7 3 6" xfId="58964"/>
    <cellStyle name="Comma 2 7 4" xfId="3370"/>
    <cellStyle name="Comma 2 7 4 2" xfId="8360"/>
    <cellStyle name="Comma 2 7 4 2 2" xfId="58965"/>
    <cellStyle name="Comma 2 7 4 3" xfId="58966"/>
    <cellStyle name="Comma 2 7 4 4" xfId="58967"/>
    <cellStyle name="Comma 2 7 4 5" xfId="58968"/>
    <cellStyle name="Comma 2 7 5" xfId="8361"/>
    <cellStyle name="Comma 2 7 5 2" xfId="8362"/>
    <cellStyle name="Comma 2 7 5 2 2" xfId="58969"/>
    <cellStyle name="Comma 2 7 5 3" xfId="58970"/>
    <cellStyle name="Comma 2 7 5 4" xfId="58971"/>
    <cellStyle name="Comma 2 7 5 5" xfId="58972"/>
    <cellStyle name="Comma 2 7 6" xfId="8363"/>
    <cellStyle name="Comma 2 7 6 2" xfId="58973"/>
    <cellStyle name="Comma 2 7 6 2 2" xfId="58974"/>
    <cellStyle name="Comma 2 7 6 3" xfId="58975"/>
    <cellStyle name="Comma 2 7 6 4" xfId="58976"/>
    <cellStyle name="Comma 2 7 6 5" xfId="58977"/>
    <cellStyle name="Comma 2 7 7" xfId="43730"/>
    <cellStyle name="Comma 2 8" xfId="3371"/>
    <cellStyle name="Comma 2 8 2" xfId="3372"/>
    <cellStyle name="Comma 2 8 2 2" xfId="3373"/>
    <cellStyle name="Comma 2 8 2 2 2" xfId="3374"/>
    <cellStyle name="Comma 2 8 2 2 3" xfId="58978"/>
    <cellStyle name="Comma 2 8 2 3" xfId="3375"/>
    <cellStyle name="Comma 2 8 2 3 2" xfId="58979"/>
    <cellStyle name="Comma 2 8 2 4" xfId="58980"/>
    <cellStyle name="Comma 2 8 2 5" xfId="58981"/>
    <cellStyle name="Comma 2 8 3" xfId="3376"/>
    <cellStyle name="Comma 2 8 3 2" xfId="3377"/>
    <cellStyle name="Comma 2 8 3 2 2" xfId="58982"/>
    <cellStyle name="Comma 2 8 3 3" xfId="58983"/>
    <cellStyle name="Comma 2 8 3 4" xfId="58984"/>
    <cellStyle name="Comma 2 8 3 5" xfId="58985"/>
    <cellStyle name="Comma 2 8 4" xfId="3378"/>
    <cellStyle name="Comma 2 8 4 2" xfId="58986"/>
    <cellStyle name="Comma 2 8 4 2 2" xfId="58987"/>
    <cellStyle name="Comma 2 8 4 3" xfId="58988"/>
    <cellStyle name="Comma 2 8 4 4" xfId="58989"/>
    <cellStyle name="Comma 2 8 4 5" xfId="58990"/>
    <cellStyle name="Comma 2 8 5" xfId="43731"/>
    <cellStyle name="Comma 2 9" xfId="3379"/>
    <cellStyle name="Comma 2 9 2" xfId="3380"/>
    <cellStyle name="Comma 2 9 2 2" xfId="3381"/>
    <cellStyle name="Comma 2 9 2 2 2" xfId="58991"/>
    <cellStyle name="Comma 2 9 2 3" xfId="58992"/>
    <cellStyle name="Comma 2 9 2 4" xfId="58993"/>
    <cellStyle name="Comma 2 9 2 5" xfId="58994"/>
    <cellStyle name="Comma 2 9 3" xfId="3382"/>
    <cellStyle name="Comma 2 9 3 2" xfId="58995"/>
    <cellStyle name="Comma 2 9 3 2 2" xfId="58996"/>
    <cellStyle name="Comma 2 9 3 3" xfId="58997"/>
    <cellStyle name="Comma 2 9 3 4" xfId="58998"/>
    <cellStyle name="Comma 2 9 3 5" xfId="58999"/>
    <cellStyle name="Comma 2 9 4" xfId="59000"/>
    <cellStyle name="Comma 20" xfId="3383"/>
    <cellStyle name="Comma 20 2" xfId="43732"/>
    <cellStyle name="Comma 20 2 2" xfId="43733"/>
    <cellStyle name="Comma 20 3" xfId="43734"/>
    <cellStyle name="Comma 20 3 2" xfId="43735"/>
    <cellStyle name="Comma 20 4" xfId="43736"/>
    <cellStyle name="Comma 20 4 2" xfId="43737"/>
    <cellStyle name="Comma 20 5" xfId="43738"/>
    <cellStyle name="Comma 20 6" xfId="43739"/>
    <cellStyle name="Comma 20 7" xfId="43740"/>
    <cellStyle name="Comma 21" xfId="3384"/>
    <cellStyle name="Comma 21 2" xfId="43741"/>
    <cellStyle name="Comma 21 2 2" xfId="43742"/>
    <cellStyle name="Comma 21 2 3" xfId="43743"/>
    <cellStyle name="Comma 21 3" xfId="43744"/>
    <cellStyle name="Comma 21 3 2" xfId="43745"/>
    <cellStyle name="Comma 21 4" xfId="43746"/>
    <cellStyle name="Comma 21 5" xfId="43747"/>
    <cellStyle name="Comma 22" xfId="3385"/>
    <cellStyle name="Comma 22 2" xfId="43748"/>
    <cellStyle name="Comma 22 2 2" xfId="43749"/>
    <cellStyle name="Comma 22 3" xfId="43750"/>
    <cellStyle name="Comma 22 4" xfId="43751"/>
    <cellStyle name="Comma 23" xfId="3386"/>
    <cellStyle name="Comma 23 2" xfId="43752"/>
    <cellStyle name="Comma 23 3" xfId="43753"/>
    <cellStyle name="Comma 24" xfId="3387"/>
    <cellStyle name="Comma 24 10" xfId="43754"/>
    <cellStyle name="Comma 24 10 2" xfId="43755"/>
    <cellStyle name="Comma 24 11" xfId="43756"/>
    <cellStyle name="Comma 24 12" xfId="43757"/>
    <cellStyle name="Comma 24 13" xfId="43758"/>
    <cellStyle name="Comma 24 2" xfId="43759"/>
    <cellStyle name="Comma 24 2 10" xfId="43760"/>
    <cellStyle name="Comma 24 2 2" xfId="43761"/>
    <cellStyle name="Comma 24 2 2 2" xfId="43762"/>
    <cellStyle name="Comma 24 2 2 2 2" xfId="43763"/>
    <cellStyle name="Comma 24 2 2 2 2 2" xfId="43764"/>
    <cellStyle name="Comma 24 2 2 2 2 3" xfId="43765"/>
    <cellStyle name="Comma 24 2 2 2 3" xfId="43766"/>
    <cellStyle name="Comma 24 2 2 2 3 2" xfId="43767"/>
    <cellStyle name="Comma 24 2 2 2 3 3" xfId="43768"/>
    <cellStyle name="Comma 24 2 2 2 4" xfId="43769"/>
    <cellStyle name="Comma 24 2 2 2 4 2" xfId="43770"/>
    <cellStyle name="Comma 24 2 2 2 5" xfId="43771"/>
    <cellStyle name="Comma 24 2 2 2 6" xfId="43772"/>
    <cellStyle name="Comma 24 2 2 3" xfId="43773"/>
    <cellStyle name="Comma 24 2 2 3 2" xfId="43774"/>
    <cellStyle name="Comma 24 2 2 3 2 2" xfId="43775"/>
    <cellStyle name="Comma 24 2 2 3 2 3" xfId="43776"/>
    <cellStyle name="Comma 24 2 2 3 3" xfId="43777"/>
    <cellStyle name="Comma 24 2 2 3 3 2" xfId="43778"/>
    <cellStyle name="Comma 24 2 2 3 3 3" xfId="43779"/>
    <cellStyle name="Comma 24 2 2 3 4" xfId="43780"/>
    <cellStyle name="Comma 24 2 2 3 4 2" xfId="43781"/>
    <cellStyle name="Comma 24 2 2 3 5" xfId="43782"/>
    <cellStyle name="Comma 24 2 2 3 6" xfId="43783"/>
    <cellStyle name="Comma 24 2 2 4" xfId="43784"/>
    <cellStyle name="Comma 24 2 2 4 2" xfId="43785"/>
    <cellStyle name="Comma 24 2 2 4 2 2" xfId="43786"/>
    <cellStyle name="Comma 24 2 2 4 2 3" xfId="43787"/>
    <cellStyle name="Comma 24 2 2 4 3" xfId="43788"/>
    <cellStyle name="Comma 24 2 2 4 3 2" xfId="43789"/>
    <cellStyle name="Comma 24 2 2 4 4" xfId="43790"/>
    <cellStyle name="Comma 24 2 2 4 5" xfId="43791"/>
    <cellStyle name="Comma 24 2 2 5" xfId="43792"/>
    <cellStyle name="Comma 24 2 2 5 2" xfId="43793"/>
    <cellStyle name="Comma 24 2 2 5 3" xfId="43794"/>
    <cellStyle name="Comma 24 2 2 6" xfId="43795"/>
    <cellStyle name="Comma 24 2 2 6 2" xfId="43796"/>
    <cellStyle name="Comma 24 2 2 6 3" xfId="43797"/>
    <cellStyle name="Comma 24 2 2 7" xfId="43798"/>
    <cellStyle name="Comma 24 2 2 7 2" xfId="43799"/>
    <cellStyle name="Comma 24 2 2 8" xfId="43800"/>
    <cellStyle name="Comma 24 2 2 9" xfId="43801"/>
    <cellStyle name="Comma 24 2 3" xfId="43802"/>
    <cellStyle name="Comma 24 2 3 2" xfId="43803"/>
    <cellStyle name="Comma 24 2 3 2 2" xfId="43804"/>
    <cellStyle name="Comma 24 2 3 2 3" xfId="43805"/>
    <cellStyle name="Comma 24 2 3 3" xfId="43806"/>
    <cellStyle name="Comma 24 2 3 3 2" xfId="43807"/>
    <cellStyle name="Comma 24 2 3 3 3" xfId="43808"/>
    <cellStyle name="Comma 24 2 3 4" xfId="43809"/>
    <cellStyle name="Comma 24 2 3 4 2" xfId="43810"/>
    <cellStyle name="Comma 24 2 3 5" xfId="43811"/>
    <cellStyle name="Comma 24 2 3 6" xfId="43812"/>
    <cellStyle name="Comma 24 2 4" xfId="43813"/>
    <cellStyle name="Comma 24 2 4 2" xfId="43814"/>
    <cellStyle name="Comma 24 2 4 2 2" xfId="43815"/>
    <cellStyle name="Comma 24 2 4 2 3" xfId="43816"/>
    <cellStyle name="Comma 24 2 4 3" xfId="43817"/>
    <cellStyle name="Comma 24 2 4 3 2" xfId="43818"/>
    <cellStyle name="Comma 24 2 4 3 3" xfId="43819"/>
    <cellStyle name="Comma 24 2 4 4" xfId="43820"/>
    <cellStyle name="Comma 24 2 4 4 2" xfId="43821"/>
    <cellStyle name="Comma 24 2 4 5" xfId="43822"/>
    <cellStyle name="Comma 24 2 4 6" xfId="43823"/>
    <cellStyle name="Comma 24 2 5" xfId="43824"/>
    <cellStyle name="Comma 24 2 5 2" xfId="43825"/>
    <cellStyle name="Comma 24 2 5 2 2" xfId="43826"/>
    <cellStyle name="Comma 24 2 5 2 3" xfId="43827"/>
    <cellStyle name="Comma 24 2 5 3" xfId="43828"/>
    <cellStyle name="Comma 24 2 5 3 2" xfId="43829"/>
    <cellStyle name="Comma 24 2 5 4" xfId="43830"/>
    <cellStyle name="Comma 24 2 5 5" xfId="43831"/>
    <cellStyle name="Comma 24 2 6" xfId="43832"/>
    <cellStyle name="Comma 24 2 6 2" xfId="43833"/>
    <cellStyle name="Comma 24 2 6 3" xfId="43834"/>
    <cellStyle name="Comma 24 2 7" xfId="43835"/>
    <cellStyle name="Comma 24 2 7 2" xfId="43836"/>
    <cellStyle name="Comma 24 2 7 3" xfId="43837"/>
    <cellStyle name="Comma 24 2 8" xfId="43838"/>
    <cellStyle name="Comma 24 2 8 2" xfId="43839"/>
    <cellStyle name="Comma 24 2 9" xfId="43840"/>
    <cellStyle name="Comma 24 3" xfId="43841"/>
    <cellStyle name="Comma 24 3 2" xfId="43842"/>
    <cellStyle name="Comma 24 3 2 2" xfId="43843"/>
    <cellStyle name="Comma 24 3 2 2 2" xfId="43844"/>
    <cellStyle name="Comma 24 3 2 2 3" xfId="43845"/>
    <cellStyle name="Comma 24 3 2 3" xfId="43846"/>
    <cellStyle name="Comma 24 3 2 3 2" xfId="43847"/>
    <cellStyle name="Comma 24 3 2 3 3" xfId="43848"/>
    <cellStyle name="Comma 24 3 2 4" xfId="43849"/>
    <cellStyle name="Comma 24 3 2 4 2" xfId="43850"/>
    <cellStyle name="Comma 24 3 2 5" xfId="43851"/>
    <cellStyle name="Comma 24 3 2 6" xfId="43852"/>
    <cellStyle name="Comma 24 3 3" xfId="43853"/>
    <cellStyle name="Comma 24 3 3 2" xfId="43854"/>
    <cellStyle name="Comma 24 3 3 2 2" xfId="43855"/>
    <cellStyle name="Comma 24 3 3 2 3" xfId="43856"/>
    <cellStyle name="Comma 24 3 3 3" xfId="43857"/>
    <cellStyle name="Comma 24 3 3 3 2" xfId="43858"/>
    <cellStyle name="Comma 24 3 3 3 3" xfId="43859"/>
    <cellStyle name="Comma 24 3 3 4" xfId="43860"/>
    <cellStyle name="Comma 24 3 3 4 2" xfId="43861"/>
    <cellStyle name="Comma 24 3 3 5" xfId="43862"/>
    <cellStyle name="Comma 24 3 3 6" xfId="43863"/>
    <cellStyle name="Comma 24 3 4" xfId="43864"/>
    <cellStyle name="Comma 24 3 4 2" xfId="43865"/>
    <cellStyle name="Comma 24 3 4 2 2" xfId="43866"/>
    <cellStyle name="Comma 24 3 4 2 3" xfId="43867"/>
    <cellStyle name="Comma 24 3 4 3" xfId="43868"/>
    <cellStyle name="Comma 24 3 4 3 2" xfId="43869"/>
    <cellStyle name="Comma 24 3 4 4" xfId="43870"/>
    <cellStyle name="Comma 24 3 4 5" xfId="43871"/>
    <cellStyle name="Comma 24 3 5" xfId="43872"/>
    <cellStyle name="Comma 24 3 5 2" xfId="43873"/>
    <cellStyle name="Comma 24 3 5 3" xfId="43874"/>
    <cellStyle name="Comma 24 3 6" xfId="43875"/>
    <cellStyle name="Comma 24 3 6 2" xfId="43876"/>
    <cellStyle name="Comma 24 3 6 3" xfId="43877"/>
    <cellStyle name="Comma 24 3 7" xfId="43878"/>
    <cellStyle name="Comma 24 3 7 2" xfId="43879"/>
    <cellStyle name="Comma 24 3 8" xfId="43880"/>
    <cellStyle name="Comma 24 3 9" xfId="43881"/>
    <cellStyle name="Comma 24 4" xfId="43882"/>
    <cellStyle name="Comma 24 4 2" xfId="43883"/>
    <cellStyle name="Comma 24 4 2 2" xfId="43884"/>
    <cellStyle name="Comma 24 4 2 2 2" xfId="43885"/>
    <cellStyle name="Comma 24 4 2 2 3" xfId="43886"/>
    <cellStyle name="Comma 24 4 2 3" xfId="43887"/>
    <cellStyle name="Comma 24 4 2 3 2" xfId="43888"/>
    <cellStyle name="Comma 24 4 2 3 3" xfId="43889"/>
    <cellStyle name="Comma 24 4 2 4" xfId="43890"/>
    <cellStyle name="Comma 24 4 2 4 2" xfId="43891"/>
    <cellStyle name="Comma 24 4 2 5" xfId="43892"/>
    <cellStyle name="Comma 24 4 2 6" xfId="43893"/>
    <cellStyle name="Comma 24 4 3" xfId="43894"/>
    <cellStyle name="Comma 24 4 3 2" xfId="43895"/>
    <cellStyle name="Comma 24 4 3 2 2" xfId="43896"/>
    <cellStyle name="Comma 24 4 3 2 3" xfId="43897"/>
    <cellStyle name="Comma 24 4 3 3" xfId="43898"/>
    <cellStyle name="Comma 24 4 3 3 2" xfId="43899"/>
    <cellStyle name="Comma 24 4 3 3 3" xfId="43900"/>
    <cellStyle name="Comma 24 4 3 4" xfId="43901"/>
    <cellStyle name="Comma 24 4 3 4 2" xfId="43902"/>
    <cellStyle name="Comma 24 4 3 5" xfId="43903"/>
    <cellStyle name="Comma 24 4 3 6" xfId="43904"/>
    <cellStyle name="Comma 24 4 4" xfId="43905"/>
    <cellStyle name="Comma 24 4 4 2" xfId="43906"/>
    <cellStyle name="Comma 24 4 4 2 2" xfId="43907"/>
    <cellStyle name="Comma 24 4 4 2 3" xfId="43908"/>
    <cellStyle name="Comma 24 4 4 3" xfId="43909"/>
    <cellStyle name="Comma 24 4 4 3 2" xfId="43910"/>
    <cellStyle name="Comma 24 4 4 4" xfId="43911"/>
    <cellStyle name="Comma 24 4 4 5" xfId="43912"/>
    <cellStyle name="Comma 24 4 5" xfId="43913"/>
    <cellStyle name="Comma 24 4 5 2" xfId="43914"/>
    <cellStyle name="Comma 24 4 5 3" xfId="43915"/>
    <cellStyle name="Comma 24 4 6" xfId="43916"/>
    <cellStyle name="Comma 24 4 6 2" xfId="43917"/>
    <cellStyle name="Comma 24 4 6 3" xfId="43918"/>
    <cellStyle name="Comma 24 4 7" xfId="43919"/>
    <cellStyle name="Comma 24 4 7 2" xfId="43920"/>
    <cellStyle name="Comma 24 4 8" xfId="43921"/>
    <cellStyle name="Comma 24 4 9" xfId="43922"/>
    <cellStyle name="Comma 24 5" xfId="43923"/>
    <cellStyle name="Comma 24 5 2" xfId="43924"/>
    <cellStyle name="Comma 24 5 2 2" xfId="43925"/>
    <cellStyle name="Comma 24 5 2 3" xfId="43926"/>
    <cellStyle name="Comma 24 5 3" xfId="43927"/>
    <cellStyle name="Comma 24 5 3 2" xfId="43928"/>
    <cellStyle name="Comma 24 5 3 3" xfId="43929"/>
    <cellStyle name="Comma 24 5 4" xfId="43930"/>
    <cellStyle name="Comma 24 5 4 2" xfId="43931"/>
    <cellStyle name="Comma 24 5 5" xfId="43932"/>
    <cellStyle name="Comma 24 5 6" xfId="43933"/>
    <cellStyle name="Comma 24 6" xfId="43934"/>
    <cellStyle name="Comma 24 6 2" xfId="43935"/>
    <cellStyle name="Comma 24 6 2 2" xfId="43936"/>
    <cellStyle name="Comma 24 6 2 3" xfId="43937"/>
    <cellStyle name="Comma 24 6 3" xfId="43938"/>
    <cellStyle name="Comma 24 6 3 2" xfId="43939"/>
    <cellStyle name="Comma 24 6 3 3" xfId="43940"/>
    <cellStyle name="Comma 24 6 4" xfId="43941"/>
    <cellStyle name="Comma 24 6 4 2" xfId="43942"/>
    <cellStyle name="Comma 24 6 5" xfId="43943"/>
    <cellStyle name="Comma 24 6 6" xfId="43944"/>
    <cellStyle name="Comma 24 7" xfId="43945"/>
    <cellStyle name="Comma 24 7 2" xfId="43946"/>
    <cellStyle name="Comma 24 7 2 2" xfId="43947"/>
    <cellStyle name="Comma 24 7 2 3" xfId="43948"/>
    <cellStyle name="Comma 24 7 3" xfId="43949"/>
    <cellStyle name="Comma 24 7 3 2" xfId="43950"/>
    <cellStyle name="Comma 24 7 4" xfId="43951"/>
    <cellStyle name="Comma 24 7 5" xfId="43952"/>
    <cellStyle name="Comma 24 8" xfId="43953"/>
    <cellStyle name="Comma 24 8 2" xfId="43954"/>
    <cellStyle name="Comma 24 8 3" xfId="43955"/>
    <cellStyle name="Comma 24 9" xfId="43956"/>
    <cellStyle name="Comma 24 9 2" xfId="43957"/>
    <cellStyle name="Comma 24 9 3" xfId="43958"/>
    <cellStyle name="Comma 25" xfId="3388"/>
    <cellStyle name="Comma 25 2" xfId="43959"/>
    <cellStyle name="Comma 25 3" xfId="43960"/>
    <cellStyle name="Comma 26" xfId="3389"/>
    <cellStyle name="Comma 26 10" xfId="43961"/>
    <cellStyle name="Comma 26 10 2" xfId="43962"/>
    <cellStyle name="Comma 26 11" xfId="43963"/>
    <cellStyle name="Comma 26 12" xfId="43964"/>
    <cellStyle name="Comma 26 13" xfId="43965"/>
    <cellStyle name="Comma 26 2" xfId="43966"/>
    <cellStyle name="Comma 26 2 10" xfId="43967"/>
    <cellStyle name="Comma 26 2 2" xfId="43968"/>
    <cellStyle name="Comma 26 2 2 2" xfId="43969"/>
    <cellStyle name="Comma 26 2 2 2 2" xfId="43970"/>
    <cellStyle name="Comma 26 2 2 2 2 2" xfId="43971"/>
    <cellStyle name="Comma 26 2 2 2 2 3" xfId="43972"/>
    <cellStyle name="Comma 26 2 2 2 3" xfId="43973"/>
    <cellStyle name="Comma 26 2 2 2 3 2" xfId="43974"/>
    <cellStyle name="Comma 26 2 2 2 3 3" xfId="43975"/>
    <cellStyle name="Comma 26 2 2 2 4" xfId="43976"/>
    <cellStyle name="Comma 26 2 2 2 4 2" xfId="43977"/>
    <cellStyle name="Comma 26 2 2 2 5" xfId="43978"/>
    <cellStyle name="Comma 26 2 2 2 6" xfId="43979"/>
    <cellStyle name="Comma 26 2 2 3" xfId="43980"/>
    <cellStyle name="Comma 26 2 2 3 2" xfId="43981"/>
    <cellStyle name="Comma 26 2 2 3 2 2" xfId="43982"/>
    <cellStyle name="Comma 26 2 2 3 2 3" xfId="43983"/>
    <cellStyle name="Comma 26 2 2 3 3" xfId="43984"/>
    <cellStyle name="Comma 26 2 2 3 3 2" xfId="43985"/>
    <cellStyle name="Comma 26 2 2 3 3 3" xfId="43986"/>
    <cellStyle name="Comma 26 2 2 3 4" xfId="43987"/>
    <cellStyle name="Comma 26 2 2 3 4 2" xfId="43988"/>
    <cellStyle name="Comma 26 2 2 3 5" xfId="43989"/>
    <cellStyle name="Comma 26 2 2 3 6" xfId="43990"/>
    <cellStyle name="Comma 26 2 2 4" xfId="43991"/>
    <cellStyle name="Comma 26 2 2 4 2" xfId="43992"/>
    <cellStyle name="Comma 26 2 2 4 2 2" xfId="43993"/>
    <cellStyle name="Comma 26 2 2 4 2 3" xfId="43994"/>
    <cellStyle name="Comma 26 2 2 4 3" xfId="43995"/>
    <cellStyle name="Comma 26 2 2 4 3 2" xfId="43996"/>
    <cellStyle name="Comma 26 2 2 4 4" xfId="43997"/>
    <cellStyle name="Comma 26 2 2 4 5" xfId="43998"/>
    <cellStyle name="Comma 26 2 2 5" xfId="43999"/>
    <cellStyle name="Comma 26 2 2 5 2" xfId="44000"/>
    <cellStyle name="Comma 26 2 2 5 3" xfId="44001"/>
    <cellStyle name="Comma 26 2 2 6" xfId="44002"/>
    <cellStyle name="Comma 26 2 2 6 2" xfId="44003"/>
    <cellStyle name="Comma 26 2 2 6 3" xfId="44004"/>
    <cellStyle name="Comma 26 2 2 7" xfId="44005"/>
    <cellStyle name="Comma 26 2 2 7 2" xfId="44006"/>
    <cellStyle name="Comma 26 2 2 8" xfId="44007"/>
    <cellStyle name="Comma 26 2 2 9" xfId="44008"/>
    <cellStyle name="Comma 26 2 3" xfId="44009"/>
    <cellStyle name="Comma 26 2 3 2" xfId="44010"/>
    <cellStyle name="Comma 26 2 3 2 2" xfId="44011"/>
    <cellStyle name="Comma 26 2 3 2 3" xfId="44012"/>
    <cellStyle name="Comma 26 2 3 3" xfId="44013"/>
    <cellStyle name="Comma 26 2 3 3 2" xfId="44014"/>
    <cellStyle name="Comma 26 2 3 3 3" xfId="44015"/>
    <cellStyle name="Comma 26 2 3 4" xfId="44016"/>
    <cellStyle name="Comma 26 2 3 4 2" xfId="44017"/>
    <cellStyle name="Comma 26 2 3 5" xfId="44018"/>
    <cellStyle name="Comma 26 2 3 6" xfId="44019"/>
    <cellStyle name="Comma 26 2 4" xfId="44020"/>
    <cellStyle name="Comma 26 2 4 2" xfId="44021"/>
    <cellStyle name="Comma 26 2 4 2 2" xfId="44022"/>
    <cellStyle name="Comma 26 2 4 2 3" xfId="44023"/>
    <cellStyle name="Comma 26 2 4 3" xfId="44024"/>
    <cellStyle name="Comma 26 2 4 3 2" xfId="44025"/>
    <cellStyle name="Comma 26 2 4 3 3" xfId="44026"/>
    <cellStyle name="Comma 26 2 4 4" xfId="44027"/>
    <cellStyle name="Comma 26 2 4 4 2" xfId="44028"/>
    <cellStyle name="Comma 26 2 4 5" xfId="44029"/>
    <cellStyle name="Comma 26 2 4 6" xfId="44030"/>
    <cellStyle name="Comma 26 2 5" xfId="44031"/>
    <cellStyle name="Comma 26 2 5 2" xfId="44032"/>
    <cellStyle name="Comma 26 2 5 2 2" xfId="44033"/>
    <cellStyle name="Comma 26 2 5 2 3" xfId="44034"/>
    <cellStyle name="Comma 26 2 5 3" xfId="44035"/>
    <cellStyle name="Comma 26 2 5 3 2" xfId="44036"/>
    <cellStyle name="Comma 26 2 5 4" xfId="44037"/>
    <cellStyle name="Comma 26 2 5 5" xfId="44038"/>
    <cellStyle name="Comma 26 2 6" xfId="44039"/>
    <cellStyle name="Comma 26 2 6 2" xfId="44040"/>
    <cellStyle name="Comma 26 2 6 3" xfId="44041"/>
    <cellStyle name="Comma 26 2 7" xfId="44042"/>
    <cellStyle name="Comma 26 2 7 2" xfId="44043"/>
    <cellStyle name="Comma 26 2 7 3" xfId="44044"/>
    <cellStyle name="Comma 26 2 8" xfId="44045"/>
    <cellStyle name="Comma 26 2 8 2" xfId="44046"/>
    <cellStyle name="Comma 26 2 9" xfId="44047"/>
    <cellStyle name="Comma 26 3" xfId="44048"/>
    <cellStyle name="Comma 26 3 2" xfId="44049"/>
    <cellStyle name="Comma 26 3 2 2" xfId="44050"/>
    <cellStyle name="Comma 26 3 2 2 2" xfId="44051"/>
    <cellStyle name="Comma 26 3 2 2 3" xfId="44052"/>
    <cellStyle name="Comma 26 3 2 3" xfId="44053"/>
    <cellStyle name="Comma 26 3 2 3 2" xfId="44054"/>
    <cellStyle name="Comma 26 3 2 3 3" xfId="44055"/>
    <cellStyle name="Comma 26 3 2 4" xfId="44056"/>
    <cellStyle name="Comma 26 3 2 4 2" xfId="44057"/>
    <cellStyle name="Comma 26 3 2 5" xfId="44058"/>
    <cellStyle name="Comma 26 3 2 6" xfId="44059"/>
    <cellStyle name="Comma 26 3 3" xfId="44060"/>
    <cellStyle name="Comma 26 3 3 2" xfId="44061"/>
    <cellStyle name="Comma 26 3 3 2 2" xfId="44062"/>
    <cellStyle name="Comma 26 3 3 2 3" xfId="44063"/>
    <cellStyle name="Comma 26 3 3 3" xfId="44064"/>
    <cellStyle name="Comma 26 3 3 3 2" xfId="44065"/>
    <cellStyle name="Comma 26 3 3 3 3" xfId="44066"/>
    <cellStyle name="Comma 26 3 3 4" xfId="44067"/>
    <cellStyle name="Comma 26 3 3 4 2" xfId="44068"/>
    <cellStyle name="Comma 26 3 3 5" xfId="44069"/>
    <cellStyle name="Comma 26 3 3 6" xfId="44070"/>
    <cellStyle name="Comma 26 3 4" xfId="44071"/>
    <cellStyle name="Comma 26 3 4 2" xfId="44072"/>
    <cellStyle name="Comma 26 3 4 2 2" xfId="44073"/>
    <cellStyle name="Comma 26 3 4 2 3" xfId="44074"/>
    <cellStyle name="Comma 26 3 4 3" xfId="44075"/>
    <cellStyle name="Comma 26 3 4 3 2" xfId="44076"/>
    <cellStyle name="Comma 26 3 4 4" xfId="44077"/>
    <cellStyle name="Comma 26 3 4 5" xfId="44078"/>
    <cellStyle name="Comma 26 3 5" xfId="44079"/>
    <cellStyle name="Comma 26 3 5 2" xfId="44080"/>
    <cellStyle name="Comma 26 3 5 3" xfId="44081"/>
    <cellStyle name="Comma 26 3 6" xfId="44082"/>
    <cellStyle name="Comma 26 3 6 2" xfId="44083"/>
    <cellStyle name="Comma 26 3 6 3" xfId="44084"/>
    <cellStyle name="Comma 26 3 7" xfId="44085"/>
    <cellStyle name="Comma 26 3 7 2" xfId="44086"/>
    <cellStyle name="Comma 26 3 8" xfId="44087"/>
    <cellStyle name="Comma 26 3 9" xfId="44088"/>
    <cellStyle name="Comma 26 4" xfId="44089"/>
    <cellStyle name="Comma 26 4 2" xfId="44090"/>
    <cellStyle name="Comma 26 4 2 2" xfId="44091"/>
    <cellStyle name="Comma 26 4 2 2 2" xfId="44092"/>
    <cellStyle name="Comma 26 4 2 2 3" xfId="44093"/>
    <cellStyle name="Comma 26 4 2 3" xfId="44094"/>
    <cellStyle name="Comma 26 4 2 3 2" xfId="44095"/>
    <cellStyle name="Comma 26 4 2 3 3" xfId="44096"/>
    <cellStyle name="Comma 26 4 2 4" xfId="44097"/>
    <cellStyle name="Comma 26 4 2 4 2" xfId="44098"/>
    <cellStyle name="Comma 26 4 2 5" xfId="44099"/>
    <cellStyle name="Comma 26 4 2 6" xfId="44100"/>
    <cellStyle name="Comma 26 4 3" xfId="44101"/>
    <cellStyle name="Comma 26 4 3 2" xfId="44102"/>
    <cellStyle name="Comma 26 4 3 2 2" xfId="44103"/>
    <cellStyle name="Comma 26 4 3 2 3" xfId="44104"/>
    <cellStyle name="Comma 26 4 3 3" xfId="44105"/>
    <cellStyle name="Comma 26 4 3 3 2" xfId="44106"/>
    <cellStyle name="Comma 26 4 3 3 3" xfId="44107"/>
    <cellStyle name="Comma 26 4 3 4" xfId="44108"/>
    <cellStyle name="Comma 26 4 3 4 2" xfId="44109"/>
    <cellStyle name="Comma 26 4 3 5" xfId="44110"/>
    <cellStyle name="Comma 26 4 3 6" xfId="44111"/>
    <cellStyle name="Comma 26 4 4" xfId="44112"/>
    <cellStyle name="Comma 26 4 4 2" xfId="44113"/>
    <cellStyle name="Comma 26 4 4 2 2" xfId="44114"/>
    <cellStyle name="Comma 26 4 4 2 3" xfId="44115"/>
    <cellStyle name="Comma 26 4 4 3" xfId="44116"/>
    <cellStyle name="Comma 26 4 4 3 2" xfId="44117"/>
    <cellStyle name="Comma 26 4 4 4" xfId="44118"/>
    <cellStyle name="Comma 26 4 4 5" xfId="44119"/>
    <cellStyle name="Comma 26 4 5" xfId="44120"/>
    <cellStyle name="Comma 26 4 5 2" xfId="44121"/>
    <cellStyle name="Comma 26 4 5 3" xfId="44122"/>
    <cellStyle name="Comma 26 4 6" xfId="44123"/>
    <cellStyle name="Comma 26 4 6 2" xfId="44124"/>
    <cellStyle name="Comma 26 4 6 3" xfId="44125"/>
    <cellStyle name="Comma 26 4 7" xfId="44126"/>
    <cellStyle name="Comma 26 4 7 2" xfId="44127"/>
    <cellStyle name="Comma 26 4 8" xfId="44128"/>
    <cellStyle name="Comma 26 4 9" xfId="44129"/>
    <cellStyle name="Comma 26 5" xfId="44130"/>
    <cellStyle name="Comma 26 5 2" xfId="44131"/>
    <cellStyle name="Comma 26 5 2 2" xfId="44132"/>
    <cellStyle name="Comma 26 5 2 3" xfId="44133"/>
    <cellStyle name="Comma 26 5 3" xfId="44134"/>
    <cellStyle name="Comma 26 5 3 2" xfId="44135"/>
    <cellStyle name="Comma 26 5 3 3" xfId="44136"/>
    <cellStyle name="Comma 26 5 4" xfId="44137"/>
    <cellStyle name="Comma 26 5 4 2" xfId="44138"/>
    <cellStyle name="Comma 26 5 5" xfId="44139"/>
    <cellStyle name="Comma 26 5 6" xfId="44140"/>
    <cellStyle name="Comma 26 6" xfId="44141"/>
    <cellStyle name="Comma 26 6 2" xfId="44142"/>
    <cellStyle name="Comma 26 6 2 2" xfId="44143"/>
    <cellStyle name="Comma 26 6 2 3" xfId="44144"/>
    <cellStyle name="Comma 26 6 3" xfId="44145"/>
    <cellStyle name="Comma 26 6 3 2" xfId="44146"/>
    <cellStyle name="Comma 26 6 3 3" xfId="44147"/>
    <cellStyle name="Comma 26 6 4" xfId="44148"/>
    <cellStyle name="Comma 26 6 4 2" xfId="44149"/>
    <cellStyle name="Comma 26 6 5" xfId="44150"/>
    <cellStyle name="Comma 26 6 6" xfId="44151"/>
    <cellStyle name="Comma 26 7" xfId="44152"/>
    <cellStyle name="Comma 26 7 2" xfId="44153"/>
    <cellStyle name="Comma 26 7 2 2" xfId="44154"/>
    <cellStyle name="Comma 26 7 2 3" xfId="44155"/>
    <cellStyle name="Comma 26 7 3" xfId="44156"/>
    <cellStyle name="Comma 26 7 3 2" xfId="44157"/>
    <cellStyle name="Comma 26 7 4" xfId="44158"/>
    <cellStyle name="Comma 26 7 5" xfId="44159"/>
    <cellStyle name="Comma 26 8" xfId="44160"/>
    <cellStyle name="Comma 26 8 2" xfId="44161"/>
    <cellStyle name="Comma 26 8 3" xfId="44162"/>
    <cellStyle name="Comma 26 9" xfId="44163"/>
    <cellStyle name="Comma 26 9 2" xfId="44164"/>
    <cellStyle name="Comma 26 9 3" xfId="44165"/>
    <cellStyle name="Comma 27" xfId="3390"/>
    <cellStyle name="Comma 27 10" xfId="44166"/>
    <cellStyle name="Comma 27 10 2" xfId="44167"/>
    <cellStyle name="Comma 27 11" xfId="44168"/>
    <cellStyle name="Comma 27 12" xfId="44169"/>
    <cellStyle name="Comma 27 13" xfId="44170"/>
    <cellStyle name="Comma 27 2" xfId="44171"/>
    <cellStyle name="Comma 27 2 10" xfId="44172"/>
    <cellStyle name="Comma 27 2 2" xfId="44173"/>
    <cellStyle name="Comma 27 2 2 2" xfId="44174"/>
    <cellStyle name="Comma 27 2 2 2 2" xfId="44175"/>
    <cellStyle name="Comma 27 2 2 2 2 2" xfId="44176"/>
    <cellStyle name="Comma 27 2 2 2 2 3" xfId="44177"/>
    <cellStyle name="Comma 27 2 2 2 3" xfId="44178"/>
    <cellStyle name="Comma 27 2 2 2 3 2" xfId="44179"/>
    <cellStyle name="Comma 27 2 2 2 3 3" xfId="44180"/>
    <cellStyle name="Comma 27 2 2 2 4" xfId="44181"/>
    <cellStyle name="Comma 27 2 2 2 4 2" xfId="44182"/>
    <cellStyle name="Comma 27 2 2 2 5" xfId="44183"/>
    <cellStyle name="Comma 27 2 2 2 6" xfId="44184"/>
    <cellStyle name="Comma 27 2 2 3" xfId="44185"/>
    <cellStyle name="Comma 27 2 2 3 2" xfId="44186"/>
    <cellStyle name="Comma 27 2 2 3 2 2" xfId="44187"/>
    <cellStyle name="Comma 27 2 2 3 2 3" xfId="44188"/>
    <cellStyle name="Comma 27 2 2 3 3" xfId="44189"/>
    <cellStyle name="Comma 27 2 2 3 3 2" xfId="44190"/>
    <cellStyle name="Comma 27 2 2 3 3 3" xfId="44191"/>
    <cellStyle name="Comma 27 2 2 3 4" xfId="44192"/>
    <cellStyle name="Comma 27 2 2 3 4 2" xfId="44193"/>
    <cellStyle name="Comma 27 2 2 3 5" xfId="44194"/>
    <cellStyle name="Comma 27 2 2 3 6" xfId="44195"/>
    <cellStyle name="Comma 27 2 2 4" xfId="44196"/>
    <cellStyle name="Comma 27 2 2 4 2" xfId="44197"/>
    <cellStyle name="Comma 27 2 2 4 2 2" xfId="44198"/>
    <cellStyle name="Comma 27 2 2 4 2 3" xfId="44199"/>
    <cellStyle name="Comma 27 2 2 4 3" xfId="44200"/>
    <cellStyle name="Comma 27 2 2 4 3 2" xfId="44201"/>
    <cellStyle name="Comma 27 2 2 4 4" xfId="44202"/>
    <cellStyle name="Comma 27 2 2 4 5" xfId="44203"/>
    <cellStyle name="Comma 27 2 2 5" xfId="44204"/>
    <cellStyle name="Comma 27 2 2 5 2" xfId="44205"/>
    <cellStyle name="Comma 27 2 2 5 3" xfId="44206"/>
    <cellStyle name="Comma 27 2 2 6" xfId="44207"/>
    <cellStyle name="Comma 27 2 2 6 2" xfId="44208"/>
    <cellStyle name="Comma 27 2 2 6 3" xfId="44209"/>
    <cellStyle name="Comma 27 2 2 7" xfId="44210"/>
    <cellStyle name="Comma 27 2 2 7 2" xfId="44211"/>
    <cellStyle name="Comma 27 2 2 8" xfId="44212"/>
    <cellStyle name="Comma 27 2 2 9" xfId="44213"/>
    <cellStyle name="Comma 27 2 3" xfId="44214"/>
    <cellStyle name="Comma 27 2 3 2" xfId="44215"/>
    <cellStyle name="Comma 27 2 3 2 2" xfId="44216"/>
    <cellStyle name="Comma 27 2 3 2 3" xfId="44217"/>
    <cellStyle name="Comma 27 2 3 3" xfId="44218"/>
    <cellStyle name="Comma 27 2 3 3 2" xfId="44219"/>
    <cellStyle name="Comma 27 2 3 3 3" xfId="44220"/>
    <cellStyle name="Comma 27 2 3 4" xfId="44221"/>
    <cellStyle name="Comma 27 2 3 4 2" xfId="44222"/>
    <cellStyle name="Comma 27 2 3 5" xfId="44223"/>
    <cellStyle name="Comma 27 2 3 6" xfId="44224"/>
    <cellStyle name="Comma 27 2 4" xfId="44225"/>
    <cellStyle name="Comma 27 2 4 2" xfId="44226"/>
    <cellStyle name="Comma 27 2 4 2 2" xfId="44227"/>
    <cellStyle name="Comma 27 2 4 2 3" xfId="44228"/>
    <cellStyle name="Comma 27 2 4 3" xfId="44229"/>
    <cellStyle name="Comma 27 2 4 3 2" xfId="44230"/>
    <cellStyle name="Comma 27 2 4 3 3" xfId="44231"/>
    <cellStyle name="Comma 27 2 4 4" xfId="44232"/>
    <cellStyle name="Comma 27 2 4 4 2" xfId="44233"/>
    <cellStyle name="Comma 27 2 4 5" xfId="44234"/>
    <cellStyle name="Comma 27 2 4 6" xfId="44235"/>
    <cellStyle name="Comma 27 2 5" xfId="44236"/>
    <cellStyle name="Comma 27 2 5 2" xfId="44237"/>
    <cellStyle name="Comma 27 2 5 2 2" xfId="44238"/>
    <cellStyle name="Comma 27 2 5 2 3" xfId="44239"/>
    <cellStyle name="Comma 27 2 5 3" xfId="44240"/>
    <cellStyle name="Comma 27 2 5 3 2" xfId="44241"/>
    <cellStyle name="Comma 27 2 5 4" xfId="44242"/>
    <cellStyle name="Comma 27 2 5 5" xfId="44243"/>
    <cellStyle name="Comma 27 2 6" xfId="44244"/>
    <cellStyle name="Comma 27 2 6 2" xfId="44245"/>
    <cellStyle name="Comma 27 2 6 3" xfId="44246"/>
    <cellStyle name="Comma 27 2 7" xfId="44247"/>
    <cellStyle name="Comma 27 2 7 2" xfId="44248"/>
    <cellStyle name="Comma 27 2 7 3" xfId="44249"/>
    <cellStyle name="Comma 27 2 8" xfId="44250"/>
    <cellStyle name="Comma 27 2 8 2" xfId="44251"/>
    <cellStyle name="Comma 27 2 9" xfId="44252"/>
    <cellStyle name="Comma 27 3" xfId="44253"/>
    <cellStyle name="Comma 27 3 2" xfId="44254"/>
    <cellStyle name="Comma 27 3 2 2" xfId="44255"/>
    <cellStyle name="Comma 27 3 2 2 2" xfId="44256"/>
    <cellStyle name="Comma 27 3 2 2 3" xfId="44257"/>
    <cellStyle name="Comma 27 3 2 3" xfId="44258"/>
    <cellStyle name="Comma 27 3 2 3 2" xfId="44259"/>
    <cellStyle name="Comma 27 3 2 3 3" xfId="44260"/>
    <cellStyle name="Comma 27 3 2 4" xfId="44261"/>
    <cellStyle name="Comma 27 3 2 4 2" xfId="44262"/>
    <cellStyle name="Comma 27 3 2 5" xfId="44263"/>
    <cellStyle name="Comma 27 3 2 6" xfId="44264"/>
    <cellStyle name="Comma 27 3 3" xfId="44265"/>
    <cellStyle name="Comma 27 3 3 2" xfId="44266"/>
    <cellStyle name="Comma 27 3 3 2 2" xfId="44267"/>
    <cellStyle name="Comma 27 3 3 2 3" xfId="44268"/>
    <cellStyle name="Comma 27 3 3 3" xfId="44269"/>
    <cellStyle name="Comma 27 3 3 3 2" xfId="44270"/>
    <cellStyle name="Comma 27 3 3 3 3" xfId="44271"/>
    <cellStyle name="Comma 27 3 3 4" xfId="44272"/>
    <cellStyle name="Comma 27 3 3 4 2" xfId="44273"/>
    <cellStyle name="Comma 27 3 3 5" xfId="44274"/>
    <cellStyle name="Comma 27 3 3 6" xfId="44275"/>
    <cellStyle name="Comma 27 3 4" xfId="44276"/>
    <cellStyle name="Comma 27 3 4 2" xfId="44277"/>
    <cellStyle name="Comma 27 3 4 2 2" xfId="44278"/>
    <cellStyle name="Comma 27 3 4 2 3" xfId="44279"/>
    <cellStyle name="Comma 27 3 4 3" xfId="44280"/>
    <cellStyle name="Comma 27 3 4 3 2" xfId="44281"/>
    <cellStyle name="Comma 27 3 4 4" xfId="44282"/>
    <cellStyle name="Comma 27 3 4 5" xfId="44283"/>
    <cellStyle name="Comma 27 3 5" xfId="44284"/>
    <cellStyle name="Comma 27 3 5 2" xfId="44285"/>
    <cellStyle name="Comma 27 3 5 3" xfId="44286"/>
    <cellStyle name="Comma 27 3 6" xfId="44287"/>
    <cellStyle name="Comma 27 3 6 2" xfId="44288"/>
    <cellStyle name="Comma 27 3 6 3" xfId="44289"/>
    <cellStyle name="Comma 27 3 7" xfId="44290"/>
    <cellStyle name="Comma 27 3 7 2" xfId="44291"/>
    <cellStyle name="Comma 27 3 8" xfId="44292"/>
    <cellStyle name="Comma 27 3 9" xfId="44293"/>
    <cellStyle name="Comma 27 4" xfId="44294"/>
    <cellStyle name="Comma 27 4 2" xfId="44295"/>
    <cellStyle name="Comma 27 4 2 2" xfId="44296"/>
    <cellStyle name="Comma 27 4 2 2 2" xfId="44297"/>
    <cellStyle name="Comma 27 4 2 2 3" xfId="44298"/>
    <cellStyle name="Comma 27 4 2 3" xfId="44299"/>
    <cellStyle name="Comma 27 4 2 3 2" xfId="44300"/>
    <cellStyle name="Comma 27 4 2 3 3" xfId="44301"/>
    <cellStyle name="Comma 27 4 2 4" xfId="44302"/>
    <cellStyle name="Comma 27 4 2 4 2" xfId="44303"/>
    <cellStyle name="Comma 27 4 2 5" xfId="44304"/>
    <cellStyle name="Comma 27 4 2 6" xfId="44305"/>
    <cellStyle name="Comma 27 4 3" xfId="44306"/>
    <cellStyle name="Comma 27 4 3 2" xfId="44307"/>
    <cellStyle name="Comma 27 4 3 2 2" xfId="44308"/>
    <cellStyle name="Comma 27 4 3 2 3" xfId="44309"/>
    <cellStyle name="Comma 27 4 3 3" xfId="44310"/>
    <cellStyle name="Comma 27 4 3 3 2" xfId="44311"/>
    <cellStyle name="Comma 27 4 3 3 3" xfId="44312"/>
    <cellStyle name="Comma 27 4 3 4" xfId="44313"/>
    <cellStyle name="Comma 27 4 3 4 2" xfId="44314"/>
    <cellStyle name="Comma 27 4 3 5" xfId="44315"/>
    <cellStyle name="Comma 27 4 3 6" xfId="44316"/>
    <cellStyle name="Comma 27 4 4" xfId="44317"/>
    <cellStyle name="Comma 27 4 4 2" xfId="44318"/>
    <cellStyle name="Comma 27 4 4 2 2" xfId="44319"/>
    <cellStyle name="Comma 27 4 4 2 3" xfId="44320"/>
    <cellStyle name="Comma 27 4 4 3" xfId="44321"/>
    <cellStyle name="Comma 27 4 4 3 2" xfId="44322"/>
    <cellStyle name="Comma 27 4 4 4" xfId="44323"/>
    <cellStyle name="Comma 27 4 4 5" xfId="44324"/>
    <cellStyle name="Comma 27 4 5" xfId="44325"/>
    <cellStyle name="Comma 27 4 5 2" xfId="44326"/>
    <cellStyle name="Comma 27 4 5 3" xfId="44327"/>
    <cellStyle name="Comma 27 4 6" xfId="44328"/>
    <cellStyle name="Comma 27 4 6 2" xfId="44329"/>
    <cellStyle name="Comma 27 4 6 3" xfId="44330"/>
    <cellStyle name="Comma 27 4 7" xfId="44331"/>
    <cellStyle name="Comma 27 4 7 2" xfId="44332"/>
    <cellStyle name="Comma 27 4 8" xfId="44333"/>
    <cellStyle name="Comma 27 4 9" xfId="44334"/>
    <cellStyle name="Comma 27 5" xfId="44335"/>
    <cellStyle name="Comma 27 5 2" xfId="44336"/>
    <cellStyle name="Comma 27 5 2 2" xfId="44337"/>
    <cellStyle name="Comma 27 5 2 3" xfId="44338"/>
    <cellStyle name="Comma 27 5 3" xfId="44339"/>
    <cellStyle name="Comma 27 5 3 2" xfId="44340"/>
    <cellStyle name="Comma 27 5 3 3" xfId="44341"/>
    <cellStyle name="Comma 27 5 4" xfId="44342"/>
    <cellStyle name="Comma 27 5 4 2" xfId="44343"/>
    <cellStyle name="Comma 27 5 5" xfId="44344"/>
    <cellStyle name="Comma 27 5 6" xfId="44345"/>
    <cellStyle name="Comma 27 6" xfId="44346"/>
    <cellStyle name="Comma 27 6 2" xfId="44347"/>
    <cellStyle name="Comma 27 6 2 2" xfId="44348"/>
    <cellStyle name="Comma 27 6 2 3" xfId="44349"/>
    <cellStyle name="Comma 27 6 3" xfId="44350"/>
    <cellStyle name="Comma 27 6 3 2" xfId="44351"/>
    <cellStyle name="Comma 27 6 3 3" xfId="44352"/>
    <cellStyle name="Comma 27 6 4" xfId="44353"/>
    <cellStyle name="Comma 27 6 4 2" xfId="44354"/>
    <cellStyle name="Comma 27 6 5" xfId="44355"/>
    <cellStyle name="Comma 27 6 6" xfId="44356"/>
    <cellStyle name="Comma 27 7" xfId="44357"/>
    <cellStyle name="Comma 27 7 2" xfId="44358"/>
    <cellStyle name="Comma 27 7 2 2" xfId="44359"/>
    <cellStyle name="Comma 27 7 2 3" xfId="44360"/>
    <cellStyle name="Comma 27 7 3" xfId="44361"/>
    <cellStyle name="Comma 27 7 3 2" xfId="44362"/>
    <cellStyle name="Comma 27 7 4" xfId="44363"/>
    <cellStyle name="Comma 27 7 5" xfId="44364"/>
    <cellStyle name="Comma 27 8" xfId="44365"/>
    <cellStyle name="Comma 27 8 2" xfId="44366"/>
    <cellStyle name="Comma 27 8 3" xfId="44367"/>
    <cellStyle name="Comma 27 9" xfId="44368"/>
    <cellStyle name="Comma 27 9 2" xfId="44369"/>
    <cellStyle name="Comma 27 9 3" xfId="44370"/>
    <cellStyle name="Comma 28" xfId="3391"/>
    <cellStyle name="Comma 28 2" xfId="44371"/>
    <cellStyle name="Comma 28 3" xfId="44372"/>
    <cellStyle name="Comma 29" xfId="3392"/>
    <cellStyle name="Comma 29 2" xfId="44373"/>
    <cellStyle name="Comma 3" xfId="5"/>
    <cellStyle name="Comma 3 10" xfId="3393"/>
    <cellStyle name="Comma 3 11" xfId="3394"/>
    <cellStyle name="Comma 3 12" xfId="8766"/>
    <cellStyle name="Comma 3 2" xfId="3395"/>
    <cellStyle name="Comma 3 2 2" xfId="3396"/>
    <cellStyle name="Comma 3 2 2 2" xfId="3397"/>
    <cellStyle name="Comma 3 2 2 2 2" xfId="3398"/>
    <cellStyle name="Comma 3 2 2 2 2 2" xfId="3399"/>
    <cellStyle name="Comma 3 2 2 2 2 2 2" xfId="3400"/>
    <cellStyle name="Comma 3 2 2 2 2 2 2 2" xfId="3401"/>
    <cellStyle name="Comma 3 2 2 2 2 2 3" xfId="3402"/>
    <cellStyle name="Comma 3 2 2 2 2 3" xfId="3403"/>
    <cellStyle name="Comma 3 2 2 2 2 3 2" xfId="3404"/>
    <cellStyle name="Comma 3 2 2 2 2 4" xfId="3405"/>
    <cellStyle name="Comma 3 2 2 2 2 5" xfId="9087"/>
    <cellStyle name="Comma 3 2 2 2 3" xfId="3406"/>
    <cellStyle name="Comma 3 2 2 2 3 2" xfId="3407"/>
    <cellStyle name="Comma 3 2 2 2 3 2 2" xfId="3408"/>
    <cellStyle name="Comma 3 2 2 2 3 3" xfId="3409"/>
    <cellStyle name="Comma 3 2 2 2 4" xfId="3410"/>
    <cellStyle name="Comma 3 2 2 2 4 2" xfId="3411"/>
    <cellStyle name="Comma 3 2 2 2 5" xfId="3412"/>
    <cellStyle name="Comma 3 2 2 2 6" xfId="3413"/>
    <cellStyle name="Comma 3 2 2 2 7" xfId="9088"/>
    <cellStyle name="Comma 3 2 2 3" xfId="3414"/>
    <cellStyle name="Comma 3 2 2 3 2" xfId="3415"/>
    <cellStyle name="Comma 3 2 2 3 2 2" xfId="3416"/>
    <cellStyle name="Comma 3 2 2 3 2 2 2" xfId="3417"/>
    <cellStyle name="Comma 3 2 2 3 2 3" xfId="3418"/>
    <cellStyle name="Comma 3 2 2 3 3" xfId="3419"/>
    <cellStyle name="Comma 3 2 2 3 3 2" xfId="3420"/>
    <cellStyle name="Comma 3 2 2 3 4" xfId="3421"/>
    <cellStyle name="Comma 3 2 2 3 5" xfId="9089"/>
    <cellStyle name="Comma 3 2 2 4" xfId="3422"/>
    <cellStyle name="Comma 3 2 2 4 2" xfId="3423"/>
    <cellStyle name="Comma 3 2 2 4 2 2" xfId="3424"/>
    <cellStyle name="Comma 3 2 2 4 3" xfId="3425"/>
    <cellStyle name="Comma 3 2 2 5" xfId="3426"/>
    <cellStyle name="Comma 3 2 2 5 2" xfId="3427"/>
    <cellStyle name="Comma 3 2 2 6" xfId="3428"/>
    <cellStyle name="Comma 3 2 2 7" xfId="3429"/>
    <cellStyle name="Comma 3 2 2 8" xfId="9090"/>
    <cellStyle name="Comma 3 2 3" xfId="3430"/>
    <cellStyle name="Comma 3 2 3 2" xfId="3431"/>
    <cellStyle name="Comma 3 2 3 2 2" xfId="3432"/>
    <cellStyle name="Comma 3 2 3 2 2 2" xfId="3433"/>
    <cellStyle name="Comma 3 2 3 2 2 2 2" xfId="3434"/>
    <cellStyle name="Comma 3 2 3 2 2 3" xfId="3435"/>
    <cellStyle name="Comma 3 2 3 2 3" xfId="3436"/>
    <cellStyle name="Comma 3 2 3 2 3 2" xfId="3437"/>
    <cellStyle name="Comma 3 2 3 2 4" xfId="3438"/>
    <cellStyle name="Comma 3 2 3 2 5" xfId="9091"/>
    <cellStyle name="Comma 3 2 3 3" xfId="3439"/>
    <cellStyle name="Comma 3 2 3 3 2" xfId="3440"/>
    <cellStyle name="Comma 3 2 3 3 2 2" xfId="3441"/>
    <cellStyle name="Comma 3 2 3 3 3" xfId="3442"/>
    <cellStyle name="Comma 3 2 3 4" xfId="3443"/>
    <cellStyle name="Comma 3 2 3 4 2" xfId="3444"/>
    <cellStyle name="Comma 3 2 3 5" xfId="3445"/>
    <cellStyle name="Comma 3 2 3 6" xfId="3446"/>
    <cellStyle name="Comma 3 2 3 7" xfId="9092"/>
    <cellStyle name="Comma 3 2 4" xfId="3447"/>
    <cellStyle name="Comma 3 2 4 2" xfId="3448"/>
    <cellStyle name="Comma 3 2 4 2 2" xfId="3449"/>
    <cellStyle name="Comma 3 2 4 2 2 2" xfId="3450"/>
    <cellStyle name="Comma 3 2 4 2 2 2 2" xfId="3451"/>
    <cellStyle name="Comma 3 2 4 2 2 3" xfId="3452"/>
    <cellStyle name="Comma 3 2 4 2 3" xfId="3453"/>
    <cellStyle name="Comma 3 2 4 2 3 2" xfId="3454"/>
    <cellStyle name="Comma 3 2 4 2 4" xfId="3455"/>
    <cellStyle name="Comma 3 2 4 3" xfId="3456"/>
    <cellStyle name="Comma 3 2 4 3 2" xfId="3457"/>
    <cellStyle name="Comma 3 2 4 3 2 2" xfId="3458"/>
    <cellStyle name="Comma 3 2 4 3 3" xfId="3459"/>
    <cellStyle name="Comma 3 2 4 4" xfId="3460"/>
    <cellStyle name="Comma 3 2 4 4 2" xfId="3461"/>
    <cellStyle name="Comma 3 2 4 5" xfId="3462"/>
    <cellStyle name="Comma 3 2 4 6" xfId="9093"/>
    <cellStyle name="Comma 3 2 5" xfId="3463"/>
    <cellStyle name="Comma 3 2 5 2" xfId="3464"/>
    <cellStyle name="Comma 3 2 5 2 2" xfId="3465"/>
    <cellStyle name="Comma 3 2 5 2 2 2" xfId="3466"/>
    <cellStyle name="Comma 3 2 5 2 3" xfId="3467"/>
    <cellStyle name="Comma 3 2 5 3" xfId="3468"/>
    <cellStyle name="Comma 3 2 5 3 2" xfId="3469"/>
    <cellStyle name="Comma 3 2 5 4" xfId="3470"/>
    <cellStyle name="Comma 3 2 6" xfId="3471"/>
    <cellStyle name="Comma 3 2 6 2" xfId="3472"/>
    <cellStyle name="Comma 3 2 6 2 2" xfId="3473"/>
    <cellStyle name="Comma 3 2 6 3" xfId="3474"/>
    <cellStyle name="Comma 3 2 7" xfId="3475"/>
    <cellStyle name="Comma 3 2 7 2" xfId="3476"/>
    <cellStyle name="Comma 3 2 8" xfId="3477"/>
    <cellStyle name="Comma 3 2 9" xfId="8767"/>
    <cellStyle name="Comma 3 3" xfId="3478"/>
    <cellStyle name="Comma 3 3 2" xfId="3479"/>
    <cellStyle name="Comma 3 3 2 2" xfId="3480"/>
    <cellStyle name="Comma 3 3 2 2 2" xfId="3481"/>
    <cellStyle name="Comma 3 3 2 2 2 2" xfId="3482"/>
    <cellStyle name="Comma 3 3 2 2 2 2 2" xfId="3483"/>
    <cellStyle name="Comma 3 3 2 2 2 3" xfId="3484"/>
    <cellStyle name="Comma 3 3 2 2 2 4" xfId="9094"/>
    <cellStyle name="Comma 3 3 2 2 3" xfId="3485"/>
    <cellStyle name="Comma 3 3 2 2 3 2" xfId="3486"/>
    <cellStyle name="Comma 3 3 2 2 4" xfId="3487"/>
    <cellStyle name="Comma 3 3 2 2 5" xfId="3488"/>
    <cellStyle name="Comma 3 3 2 2 6" xfId="9095"/>
    <cellStyle name="Comma 3 3 2 3" xfId="3489"/>
    <cellStyle name="Comma 3 3 2 3 2" xfId="3490"/>
    <cellStyle name="Comma 3 3 2 3 2 2" xfId="3491"/>
    <cellStyle name="Comma 3 3 2 3 3" xfId="3492"/>
    <cellStyle name="Comma 3 3 2 3 4" xfId="9096"/>
    <cellStyle name="Comma 3 3 2 4" xfId="3493"/>
    <cellStyle name="Comma 3 3 2 4 2" xfId="3494"/>
    <cellStyle name="Comma 3 3 2 5" xfId="3495"/>
    <cellStyle name="Comma 3 3 2 6" xfId="3496"/>
    <cellStyle name="Comma 3 3 2 7" xfId="9097"/>
    <cellStyle name="Comma 3 3 3" xfId="3497"/>
    <cellStyle name="Comma 3 3 3 2" xfId="3498"/>
    <cellStyle name="Comma 3 3 3 2 2" xfId="3499"/>
    <cellStyle name="Comma 3 3 3 2 2 2" xfId="3500"/>
    <cellStyle name="Comma 3 3 3 2 3" xfId="3501"/>
    <cellStyle name="Comma 3 3 3 2 4" xfId="9098"/>
    <cellStyle name="Comma 3 3 3 3" xfId="3502"/>
    <cellStyle name="Comma 3 3 3 3 2" xfId="3503"/>
    <cellStyle name="Comma 3 3 3 4" xfId="3504"/>
    <cellStyle name="Comma 3 3 3 5" xfId="3505"/>
    <cellStyle name="Comma 3 3 3 6" xfId="9099"/>
    <cellStyle name="Comma 3 3 4" xfId="3506"/>
    <cellStyle name="Comma 3 3 4 2" xfId="3507"/>
    <cellStyle name="Comma 3 3 4 2 2" xfId="3508"/>
    <cellStyle name="Comma 3 3 4 3" xfId="3509"/>
    <cellStyle name="Comma 3 3 4 4" xfId="9100"/>
    <cellStyle name="Comma 3 3 5" xfId="3510"/>
    <cellStyle name="Comma 3 3 5 2" xfId="3511"/>
    <cellStyle name="Comma 3 3 6" xfId="3512"/>
    <cellStyle name="Comma 3 3 7" xfId="3513"/>
    <cellStyle name="Comma 3 3 8" xfId="8768"/>
    <cellStyle name="Comma 3 4" xfId="3514"/>
    <cellStyle name="Comma 3 4 2" xfId="3515"/>
    <cellStyle name="Comma 3 4 2 2" xfId="3516"/>
    <cellStyle name="Comma 3 4 2 2 2" xfId="3517"/>
    <cellStyle name="Comma 3 4 2 2 2 2" xfId="3518"/>
    <cellStyle name="Comma 3 4 2 2 2 3" xfId="9101"/>
    <cellStyle name="Comma 3 4 2 2 3" xfId="3519"/>
    <cellStyle name="Comma 3 4 2 2 4" xfId="3520"/>
    <cellStyle name="Comma 3 4 2 2 5" xfId="9102"/>
    <cellStyle name="Comma 3 4 2 3" xfId="3521"/>
    <cellStyle name="Comma 3 4 2 3 2" xfId="3522"/>
    <cellStyle name="Comma 3 4 2 3 3" xfId="9103"/>
    <cellStyle name="Comma 3 4 2 4" xfId="3523"/>
    <cellStyle name="Comma 3 4 2 5" xfId="3524"/>
    <cellStyle name="Comma 3 4 2 6" xfId="9104"/>
    <cellStyle name="Comma 3 4 3" xfId="3525"/>
    <cellStyle name="Comma 3 4 3 2" xfId="3526"/>
    <cellStyle name="Comma 3 4 3 2 2" xfId="3527"/>
    <cellStyle name="Comma 3 4 3 2 3" xfId="9105"/>
    <cellStyle name="Comma 3 4 3 3" xfId="3528"/>
    <cellStyle name="Comma 3 4 3 4" xfId="3529"/>
    <cellStyle name="Comma 3 4 3 5" xfId="9106"/>
    <cellStyle name="Comma 3 4 4" xfId="3530"/>
    <cellStyle name="Comma 3 4 4 2" xfId="3531"/>
    <cellStyle name="Comma 3 4 4 3" xfId="9107"/>
    <cellStyle name="Comma 3 4 5" xfId="3532"/>
    <cellStyle name="Comma 3 4 5 2" xfId="59001"/>
    <cellStyle name="Comma 3 4 6" xfId="3533"/>
    <cellStyle name="Comma 3 4 7" xfId="9108"/>
    <cellStyle name="Comma 3 4 8" xfId="59002"/>
    <cellStyle name="Comma 3 5" xfId="3534"/>
    <cellStyle name="Comma 3 5 2" xfId="3535"/>
    <cellStyle name="Comma 3 5 2 2" xfId="3536"/>
    <cellStyle name="Comma 3 5 2 2 2" xfId="3537"/>
    <cellStyle name="Comma 3 5 2 2 2 2" xfId="3538"/>
    <cellStyle name="Comma 3 5 2 2 3" xfId="3539"/>
    <cellStyle name="Comma 3 5 2 2 4" xfId="9109"/>
    <cellStyle name="Comma 3 5 2 3" xfId="3540"/>
    <cellStyle name="Comma 3 5 2 3 2" xfId="3541"/>
    <cellStyle name="Comma 3 5 2 4" xfId="3542"/>
    <cellStyle name="Comma 3 5 2 5" xfId="3543"/>
    <cellStyle name="Comma 3 5 2 6" xfId="9110"/>
    <cellStyle name="Comma 3 5 3" xfId="3544"/>
    <cellStyle name="Comma 3 5 3 2" xfId="3545"/>
    <cellStyle name="Comma 3 5 3 2 2" xfId="3546"/>
    <cellStyle name="Comma 3 5 3 3" xfId="3547"/>
    <cellStyle name="Comma 3 5 3 4" xfId="9111"/>
    <cellStyle name="Comma 3 5 4" xfId="3548"/>
    <cellStyle name="Comma 3 5 4 2" xfId="3549"/>
    <cellStyle name="Comma 3 5 5" xfId="3550"/>
    <cellStyle name="Comma 3 5 6" xfId="3551"/>
    <cellStyle name="Comma 3 5 7" xfId="9112"/>
    <cellStyle name="Comma 3 6" xfId="3552"/>
    <cellStyle name="Comma 3 6 2" xfId="3553"/>
    <cellStyle name="Comma 3 6 2 2" xfId="3554"/>
    <cellStyle name="Comma 3 6 2 2 2" xfId="3555"/>
    <cellStyle name="Comma 3 6 2 3" xfId="3556"/>
    <cellStyle name="Comma 3 6 2 4" xfId="3557"/>
    <cellStyle name="Comma 3 6 2 5" xfId="9113"/>
    <cellStyle name="Comma 3 6 3" xfId="3558"/>
    <cellStyle name="Comma 3 6 3 2" xfId="3559"/>
    <cellStyle name="Comma 3 6 4" xfId="3560"/>
    <cellStyle name="Comma 3 6 5" xfId="3561"/>
    <cellStyle name="Comma 3 6 6" xfId="9114"/>
    <cellStyle name="Comma 3 7" xfId="3562"/>
    <cellStyle name="Comma 3 7 2" xfId="3563"/>
    <cellStyle name="Comma 3 7 2 2" xfId="3564"/>
    <cellStyle name="Comma 3 7 3" xfId="3565"/>
    <cellStyle name="Comma 3 7 4" xfId="3566"/>
    <cellStyle name="Comma 3 7 5" xfId="9115"/>
    <cellStyle name="Comma 3 8" xfId="3567"/>
    <cellStyle name="Comma 3 8 2" xfId="3568"/>
    <cellStyle name="Comma 3 8 2 2" xfId="3569"/>
    <cellStyle name="Comma 3 8 3" xfId="3570"/>
    <cellStyle name="Comma 3 9" xfId="3571"/>
    <cellStyle name="Comma 3 9 2" xfId="3572"/>
    <cellStyle name="Comma 30" xfId="3573"/>
    <cellStyle name="Comma 30 2" xfId="3574"/>
    <cellStyle name="Comma 30 2 2" xfId="3575"/>
    <cellStyle name="Comma 30 2 2 2" xfId="3576"/>
    <cellStyle name="Comma 30 2 3" xfId="3577"/>
    <cellStyle name="Comma 30 3" xfId="3578"/>
    <cellStyle name="Comma 30 3 2" xfId="3579"/>
    <cellStyle name="Comma 30 4" xfId="3580"/>
    <cellStyle name="Comma 30 5" xfId="59003"/>
    <cellStyle name="Comma 31" xfId="3581"/>
    <cellStyle name="Comma 31 2" xfId="44374"/>
    <cellStyle name="Comma 32" xfId="3582"/>
    <cellStyle name="Comma 33" xfId="3583"/>
    <cellStyle name="Comma 33 2" xfId="59004"/>
    <cellStyle name="Comma 34" xfId="3584"/>
    <cellStyle name="Comma 34 2" xfId="59005"/>
    <cellStyle name="Comma 35" xfId="3585"/>
    <cellStyle name="Comma 35 2" xfId="59006"/>
    <cellStyle name="Comma 36" xfId="3586"/>
    <cellStyle name="Comma 36 2" xfId="59007"/>
    <cellStyle name="Comma 37" xfId="3587"/>
    <cellStyle name="Comma 37 2" xfId="59008"/>
    <cellStyle name="Comma 38" xfId="3588"/>
    <cellStyle name="Comma 39" xfId="3589"/>
    <cellStyle name="Comma 4" xfId="3590"/>
    <cellStyle name="Comma 4 10" xfId="9116"/>
    <cellStyle name="Comma 4 2" xfId="3591"/>
    <cellStyle name="Comma 4 2 2" xfId="3592"/>
    <cellStyle name="Comma 4 2 2 2" xfId="3593"/>
    <cellStyle name="Comma 4 2 2 2 2" xfId="9117"/>
    <cellStyle name="Comma 4 2 2 2 2 2" xfId="59009"/>
    <cellStyle name="Comma 4 2 2 2 3" xfId="9118"/>
    <cellStyle name="Comma 4 2 2 2 4" xfId="59010"/>
    <cellStyle name="Comma 4 2 2 2 5" xfId="59011"/>
    <cellStyle name="Comma 4 2 2 3" xfId="9119"/>
    <cellStyle name="Comma 4 2 2 3 2" xfId="59012"/>
    <cellStyle name="Comma 4 2 2 4" xfId="9120"/>
    <cellStyle name="Comma 4 2 2 4 2" xfId="59013"/>
    <cellStyle name="Comma 4 2 2 5" xfId="59014"/>
    <cellStyle name="Comma 4 2 2 6" xfId="59015"/>
    <cellStyle name="Comma 4 2 3" xfId="3594"/>
    <cellStyle name="Comma 4 2 3 2" xfId="9121"/>
    <cellStyle name="Comma 4 2 3 2 2" xfId="59016"/>
    <cellStyle name="Comma 4 2 3 3" xfId="9122"/>
    <cellStyle name="Comma 4 2 3 3 2" xfId="59017"/>
    <cellStyle name="Comma 4 2 3 4" xfId="59018"/>
    <cellStyle name="Comma 4 2 3 5" xfId="59019"/>
    <cellStyle name="Comma 4 2 4" xfId="3595"/>
    <cellStyle name="Comma 4 2 4 2" xfId="9123"/>
    <cellStyle name="Comma 4 2 4 3" xfId="59020"/>
    <cellStyle name="Comma 4 2 4 4" xfId="59021"/>
    <cellStyle name="Comma 4 2 5" xfId="8769"/>
    <cellStyle name="Comma 4 2 5 2" xfId="59022"/>
    <cellStyle name="Comma 4 2 6" xfId="57874"/>
    <cellStyle name="Comma 4 2 7" xfId="59023"/>
    <cellStyle name="Comma 4 2 8" xfId="59024"/>
    <cellStyle name="Comma 4 2 9" xfId="59025"/>
    <cellStyle name="Comma 4 3" xfId="3596"/>
    <cellStyle name="Comma 4 3 2" xfId="3597"/>
    <cellStyle name="Comma 4 3 2 2" xfId="3598"/>
    <cellStyle name="Comma 4 3 2 2 2" xfId="3599"/>
    <cellStyle name="Comma 4 3 2 2 2 2" xfId="3600"/>
    <cellStyle name="Comma 4 3 2 2 2 2 2" xfId="3601"/>
    <cellStyle name="Comma 4 3 2 2 2 3" xfId="3602"/>
    <cellStyle name="Comma 4 3 2 2 3" xfId="3603"/>
    <cellStyle name="Comma 4 3 2 2 3 2" xfId="3604"/>
    <cellStyle name="Comma 4 3 2 2 4" xfId="3605"/>
    <cellStyle name="Comma 4 3 2 2 5" xfId="59026"/>
    <cellStyle name="Comma 4 3 2 3" xfId="3606"/>
    <cellStyle name="Comma 4 3 2 3 2" xfId="3607"/>
    <cellStyle name="Comma 4 3 2 3 2 2" xfId="3608"/>
    <cellStyle name="Comma 4 3 2 3 3" xfId="3609"/>
    <cellStyle name="Comma 4 3 2 4" xfId="3610"/>
    <cellStyle name="Comma 4 3 2 4 2" xfId="3611"/>
    <cellStyle name="Comma 4 3 2 5" xfId="3612"/>
    <cellStyle name="Comma 4 3 2 6" xfId="3613"/>
    <cellStyle name="Comma 4 3 2 7" xfId="59027"/>
    <cellStyle name="Comma 4 3 3" xfId="3614"/>
    <cellStyle name="Comma 4 3 3 2" xfId="3615"/>
    <cellStyle name="Comma 4 3 3 2 2" xfId="3616"/>
    <cellStyle name="Comma 4 3 3 2 2 2" xfId="3617"/>
    <cellStyle name="Comma 4 3 3 2 3" xfId="3618"/>
    <cellStyle name="Comma 4 3 3 3" xfId="3619"/>
    <cellStyle name="Comma 4 3 3 3 2" xfId="3620"/>
    <cellStyle name="Comma 4 3 3 4" xfId="3621"/>
    <cellStyle name="Comma 4 3 3 5" xfId="59028"/>
    <cellStyle name="Comma 4 3 4" xfId="3622"/>
    <cellStyle name="Comma 4 3 4 2" xfId="3623"/>
    <cellStyle name="Comma 4 3 4 2 2" xfId="3624"/>
    <cellStyle name="Comma 4 3 4 3" xfId="3625"/>
    <cellStyle name="Comma 4 3 5" xfId="3626"/>
    <cellStyle name="Comma 4 3 5 2" xfId="3627"/>
    <cellStyle name="Comma 4 3 6" xfId="3628"/>
    <cellStyle name="Comma 4 3 7" xfId="3629"/>
    <cellStyle name="Comma 4 3 8" xfId="9124"/>
    <cellStyle name="Comma 4 4" xfId="3630"/>
    <cellStyle name="Comma 4 4 2" xfId="3631"/>
    <cellStyle name="Comma 4 4 2 2" xfId="3632"/>
    <cellStyle name="Comma 4 4 2 2 2" xfId="3633"/>
    <cellStyle name="Comma 4 4 2 2 2 2" xfId="3634"/>
    <cellStyle name="Comma 4 4 2 2 3" xfId="3635"/>
    <cellStyle name="Comma 4 4 2 2 4" xfId="9125"/>
    <cellStyle name="Comma 4 4 2 3" xfId="3636"/>
    <cellStyle name="Comma 4 4 2 3 2" xfId="3637"/>
    <cellStyle name="Comma 4 4 2 4" xfId="3638"/>
    <cellStyle name="Comma 4 4 2 5" xfId="9126"/>
    <cellStyle name="Comma 4 4 3" xfId="3639"/>
    <cellStyle name="Comma 4 4 3 2" xfId="3640"/>
    <cellStyle name="Comma 4 4 3 2 2" xfId="3641"/>
    <cellStyle name="Comma 4 4 3 3" xfId="3642"/>
    <cellStyle name="Comma 4 4 3 4" xfId="9127"/>
    <cellStyle name="Comma 4 4 4" xfId="3643"/>
    <cellStyle name="Comma 4 4 4 2" xfId="3644"/>
    <cellStyle name="Comma 4 4 5" xfId="3645"/>
    <cellStyle name="Comma 4 4 6" xfId="3646"/>
    <cellStyle name="Comma 4 4 7" xfId="9128"/>
    <cellStyle name="Comma 4 5" xfId="3647"/>
    <cellStyle name="Comma 4 5 2" xfId="3648"/>
    <cellStyle name="Comma 4 5 2 2" xfId="3649"/>
    <cellStyle name="Comma 4 5 2 2 2" xfId="3650"/>
    <cellStyle name="Comma 4 5 2 3" xfId="3651"/>
    <cellStyle name="Comma 4 5 2 4" xfId="9129"/>
    <cellStyle name="Comma 4 5 3" xfId="3652"/>
    <cellStyle name="Comma 4 5 3 2" xfId="3653"/>
    <cellStyle name="Comma 4 5 4" xfId="3654"/>
    <cellStyle name="Comma 4 5 5" xfId="9130"/>
    <cellStyle name="Comma 4 6" xfId="3655"/>
    <cellStyle name="Comma 4 6 2" xfId="3656"/>
    <cellStyle name="Comma 4 6 2 2" xfId="3657"/>
    <cellStyle name="Comma 4 6 3" xfId="3658"/>
    <cellStyle name="Comma 4 6 4" xfId="9131"/>
    <cellStyle name="Comma 4 7" xfId="3659"/>
    <cellStyle name="Comma 4 7 2" xfId="3660"/>
    <cellStyle name="Comma 4 8" xfId="3661"/>
    <cellStyle name="Comma 4 9" xfId="3662"/>
    <cellStyle name="Comma 4_183302" xfId="8770"/>
    <cellStyle name="Comma 40" xfId="3663"/>
    <cellStyle name="Comma 41" xfId="3664"/>
    <cellStyle name="Comma 42" xfId="3665"/>
    <cellStyle name="Comma 43" xfId="3666"/>
    <cellStyle name="Comma 44" xfId="3667"/>
    <cellStyle name="Comma 45" xfId="3668"/>
    <cellStyle name="Comma 46" xfId="3669"/>
    <cellStyle name="Comma 47" xfId="3670"/>
    <cellStyle name="Comma 48" xfId="3671"/>
    <cellStyle name="Comma 49" xfId="3672"/>
    <cellStyle name="Comma 5" xfId="3673"/>
    <cellStyle name="Comma 5 2" xfId="3674"/>
    <cellStyle name="Comma 5 2 2" xfId="3675"/>
    <cellStyle name="Comma 5 2 3" xfId="3676"/>
    <cellStyle name="Comma 5 3" xfId="44375"/>
    <cellStyle name="Comma 5 3 2" xfId="44376"/>
    <cellStyle name="Comma 5 4" xfId="57875"/>
    <cellStyle name="Comma 50" xfId="3677"/>
    <cellStyle name="Comma 50 2" xfId="59029"/>
    <cellStyle name="Comma 51" xfId="3678"/>
    <cellStyle name="Comma 52" xfId="3679"/>
    <cellStyle name="Comma 53" xfId="3680"/>
    <cellStyle name="Comma 54" xfId="3681"/>
    <cellStyle name="Comma 55" xfId="3682"/>
    <cellStyle name="Comma 56" xfId="3683"/>
    <cellStyle name="Comma 57" xfId="3684"/>
    <cellStyle name="Comma 58" xfId="3685"/>
    <cellStyle name="Comma 59" xfId="3686"/>
    <cellStyle name="Comma 6" xfId="3687"/>
    <cellStyle name="Comma 6 10" xfId="44377"/>
    <cellStyle name="Comma 6 10 2" xfId="44378"/>
    <cellStyle name="Comma 6 10 2 2" xfId="44379"/>
    <cellStyle name="Comma 6 10 2 3" xfId="44380"/>
    <cellStyle name="Comma 6 10 3" xfId="44381"/>
    <cellStyle name="Comma 6 10 3 2" xfId="44382"/>
    <cellStyle name="Comma 6 10 4" xfId="44383"/>
    <cellStyle name="Comma 6 10 5" xfId="44384"/>
    <cellStyle name="Comma 6 11" xfId="44385"/>
    <cellStyle name="Comma 6 11 2" xfId="44386"/>
    <cellStyle name="Comma 6 11 3" xfId="44387"/>
    <cellStyle name="Comma 6 12" xfId="44388"/>
    <cellStyle name="Comma 6 12 2" xfId="44389"/>
    <cellStyle name="Comma 6 12 3" xfId="44390"/>
    <cellStyle name="Comma 6 13" xfId="44391"/>
    <cellStyle name="Comma 6 13 2" xfId="44392"/>
    <cellStyle name="Comma 6 14" xfId="44393"/>
    <cellStyle name="Comma 6 15" xfId="44394"/>
    <cellStyle name="Comma 6 16" xfId="44395"/>
    <cellStyle name="Comma 6 2" xfId="3688"/>
    <cellStyle name="Comma 6 2 10" xfId="44396"/>
    <cellStyle name="Comma 6 2 10 2" xfId="44397"/>
    <cellStyle name="Comma 6 2 10 3" xfId="44398"/>
    <cellStyle name="Comma 6 2 11" xfId="44399"/>
    <cellStyle name="Comma 6 2 11 2" xfId="44400"/>
    <cellStyle name="Comma 6 2 11 3" xfId="44401"/>
    <cellStyle name="Comma 6 2 12" xfId="44402"/>
    <cellStyle name="Comma 6 2 12 2" xfId="44403"/>
    <cellStyle name="Comma 6 2 13" xfId="44404"/>
    <cellStyle name="Comma 6 2 14" xfId="44405"/>
    <cellStyle name="Comma 6 2 15" xfId="44406"/>
    <cellStyle name="Comma 6 2 2" xfId="8364"/>
    <cellStyle name="Comma 6 2 2 10" xfId="44407"/>
    <cellStyle name="Comma 6 2 2 10 2" xfId="44408"/>
    <cellStyle name="Comma 6 2 2 10 3" xfId="44409"/>
    <cellStyle name="Comma 6 2 2 11" xfId="44410"/>
    <cellStyle name="Comma 6 2 2 11 2" xfId="44411"/>
    <cellStyle name="Comma 6 2 2 12" xfId="44412"/>
    <cellStyle name="Comma 6 2 2 13" xfId="44413"/>
    <cellStyle name="Comma 6 2 2 14" xfId="44414"/>
    <cellStyle name="Comma 6 2 2 2" xfId="44415"/>
    <cellStyle name="Comma 6 2 2 2 10" xfId="44416"/>
    <cellStyle name="Comma 6 2 2 2 10 2" xfId="44417"/>
    <cellStyle name="Comma 6 2 2 2 11" xfId="44418"/>
    <cellStyle name="Comma 6 2 2 2 12" xfId="44419"/>
    <cellStyle name="Comma 6 2 2 2 13" xfId="44420"/>
    <cellStyle name="Comma 6 2 2 2 2" xfId="44421"/>
    <cellStyle name="Comma 6 2 2 2 2 10" xfId="44422"/>
    <cellStyle name="Comma 6 2 2 2 2 2" xfId="44423"/>
    <cellStyle name="Comma 6 2 2 2 2 2 2" xfId="44424"/>
    <cellStyle name="Comma 6 2 2 2 2 2 2 2" xfId="44425"/>
    <cellStyle name="Comma 6 2 2 2 2 2 2 2 2" xfId="44426"/>
    <cellStyle name="Comma 6 2 2 2 2 2 2 2 3" xfId="44427"/>
    <cellStyle name="Comma 6 2 2 2 2 2 2 3" xfId="44428"/>
    <cellStyle name="Comma 6 2 2 2 2 2 2 3 2" xfId="44429"/>
    <cellStyle name="Comma 6 2 2 2 2 2 2 3 3" xfId="44430"/>
    <cellStyle name="Comma 6 2 2 2 2 2 2 4" xfId="44431"/>
    <cellStyle name="Comma 6 2 2 2 2 2 2 4 2" xfId="44432"/>
    <cellStyle name="Comma 6 2 2 2 2 2 2 5" xfId="44433"/>
    <cellStyle name="Comma 6 2 2 2 2 2 2 6" xfId="44434"/>
    <cellStyle name="Comma 6 2 2 2 2 2 3" xfId="44435"/>
    <cellStyle name="Comma 6 2 2 2 2 2 3 2" xfId="44436"/>
    <cellStyle name="Comma 6 2 2 2 2 2 3 2 2" xfId="44437"/>
    <cellStyle name="Comma 6 2 2 2 2 2 3 2 3" xfId="44438"/>
    <cellStyle name="Comma 6 2 2 2 2 2 3 3" xfId="44439"/>
    <cellStyle name="Comma 6 2 2 2 2 2 3 3 2" xfId="44440"/>
    <cellStyle name="Comma 6 2 2 2 2 2 3 3 3" xfId="44441"/>
    <cellStyle name="Comma 6 2 2 2 2 2 3 4" xfId="44442"/>
    <cellStyle name="Comma 6 2 2 2 2 2 3 4 2" xfId="44443"/>
    <cellStyle name="Comma 6 2 2 2 2 2 3 5" xfId="44444"/>
    <cellStyle name="Comma 6 2 2 2 2 2 3 6" xfId="44445"/>
    <cellStyle name="Comma 6 2 2 2 2 2 4" xfId="44446"/>
    <cellStyle name="Comma 6 2 2 2 2 2 4 2" xfId="44447"/>
    <cellStyle name="Comma 6 2 2 2 2 2 4 2 2" xfId="44448"/>
    <cellStyle name="Comma 6 2 2 2 2 2 4 2 3" xfId="44449"/>
    <cellStyle name="Comma 6 2 2 2 2 2 4 3" xfId="44450"/>
    <cellStyle name="Comma 6 2 2 2 2 2 4 3 2" xfId="44451"/>
    <cellStyle name="Comma 6 2 2 2 2 2 4 4" xfId="44452"/>
    <cellStyle name="Comma 6 2 2 2 2 2 4 5" xfId="44453"/>
    <cellStyle name="Comma 6 2 2 2 2 2 5" xfId="44454"/>
    <cellStyle name="Comma 6 2 2 2 2 2 5 2" xfId="44455"/>
    <cellStyle name="Comma 6 2 2 2 2 2 5 3" xfId="44456"/>
    <cellStyle name="Comma 6 2 2 2 2 2 6" xfId="44457"/>
    <cellStyle name="Comma 6 2 2 2 2 2 6 2" xfId="44458"/>
    <cellStyle name="Comma 6 2 2 2 2 2 6 3" xfId="44459"/>
    <cellStyle name="Comma 6 2 2 2 2 2 7" xfId="44460"/>
    <cellStyle name="Comma 6 2 2 2 2 2 7 2" xfId="44461"/>
    <cellStyle name="Comma 6 2 2 2 2 2 8" xfId="44462"/>
    <cellStyle name="Comma 6 2 2 2 2 2 9" xfId="44463"/>
    <cellStyle name="Comma 6 2 2 2 2 3" xfId="44464"/>
    <cellStyle name="Comma 6 2 2 2 2 3 2" xfId="44465"/>
    <cellStyle name="Comma 6 2 2 2 2 3 2 2" xfId="44466"/>
    <cellStyle name="Comma 6 2 2 2 2 3 2 3" xfId="44467"/>
    <cellStyle name="Comma 6 2 2 2 2 3 3" xfId="44468"/>
    <cellStyle name="Comma 6 2 2 2 2 3 3 2" xfId="44469"/>
    <cellStyle name="Comma 6 2 2 2 2 3 3 3" xfId="44470"/>
    <cellStyle name="Comma 6 2 2 2 2 3 4" xfId="44471"/>
    <cellStyle name="Comma 6 2 2 2 2 3 4 2" xfId="44472"/>
    <cellStyle name="Comma 6 2 2 2 2 3 5" xfId="44473"/>
    <cellStyle name="Comma 6 2 2 2 2 3 6" xfId="44474"/>
    <cellStyle name="Comma 6 2 2 2 2 4" xfId="44475"/>
    <cellStyle name="Comma 6 2 2 2 2 4 2" xfId="44476"/>
    <cellStyle name="Comma 6 2 2 2 2 4 2 2" xfId="44477"/>
    <cellStyle name="Comma 6 2 2 2 2 4 2 3" xfId="44478"/>
    <cellStyle name="Comma 6 2 2 2 2 4 3" xfId="44479"/>
    <cellStyle name="Comma 6 2 2 2 2 4 3 2" xfId="44480"/>
    <cellStyle name="Comma 6 2 2 2 2 4 3 3" xfId="44481"/>
    <cellStyle name="Comma 6 2 2 2 2 4 4" xfId="44482"/>
    <cellStyle name="Comma 6 2 2 2 2 4 4 2" xfId="44483"/>
    <cellStyle name="Comma 6 2 2 2 2 4 5" xfId="44484"/>
    <cellStyle name="Comma 6 2 2 2 2 4 6" xfId="44485"/>
    <cellStyle name="Comma 6 2 2 2 2 5" xfId="44486"/>
    <cellStyle name="Comma 6 2 2 2 2 5 2" xfId="44487"/>
    <cellStyle name="Comma 6 2 2 2 2 5 2 2" xfId="44488"/>
    <cellStyle name="Comma 6 2 2 2 2 5 2 3" xfId="44489"/>
    <cellStyle name="Comma 6 2 2 2 2 5 3" xfId="44490"/>
    <cellStyle name="Comma 6 2 2 2 2 5 3 2" xfId="44491"/>
    <cellStyle name="Comma 6 2 2 2 2 5 4" xfId="44492"/>
    <cellStyle name="Comma 6 2 2 2 2 5 5" xfId="44493"/>
    <cellStyle name="Comma 6 2 2 2 2 6" xfId="44494"/>
    <cellStyle name="Comma 6 2 2 2 2 6 2" xfId="44495"/>
    <cellStyle name="Comma 6 2 2 2 2 6 3" xfId="44496"/>
    <cellStyle name="Comma 6 2 2 2 2 7" xfId="44497"/>
    <cellStyle name="Comma 6 2 2 2 2 7 2" xfId="44498"/>
    <cellStyle name="Comma 6 2 2 2 2 7 3" xfId="44499"/>
    <cellStyle name="Comma 6 2 2 2 2 8" xfId="44500"/>
    <cellStyle name="Comma 6 2 2 2 2 8 2" xfId="44501"/>
    <cellStyle name="Comma 6 2 2 2 2 9" xfId="44502"/>
    <cellStyle name="Comma 6 2 2 2 3" xfId="44503"/>
    <cellStyle name="Comma 6 2 2 2 3 2" xfId="44504"/>
    <cellStyle name="Comma 6 2 2 2 3 2 2" xfId="44505"/>
    <cellStyle name="Comma 6 2 2 2 3 2 2 2" xfId="44506"/>
    <cellStyle name="Comma 6 2 2 2 3 2 2 3" xfId="44507"/>
    <cellStyle name="Comma 6 2 2 2 3 2 3" xfId="44508"/>
    <cellStyle name="Comma 6 2 2 2 3 2 3 2" xfId="44509"/>
    <cellStyle name="Comma 6 2 2 2 3 2 3 3" xfId="44510"/>
    <cellStyle name="Comma 6 2 2 2 3 2 4" xfId="44511"/>
    <cellStyle name="Comma 6 2 2 2 3 2 4 2" xfId="44512"/>
    <cellStyle name="Comma 6 2 2 2 3 2 5" xfId="44513"/>
    <cellStyle name="Comma 6 2 2 2 3 2 6" xfId="44514"/>
    <cellStyle name="Comma 6 2 2 2 3 3" xfId="44515"/>
    <cellStyle name="Comma 6 2 2 2 3 3 2" xfId="44516"/>
    <cellStyle name="Comma 6 2 2 2 3 3 2 2" xfId="44517"/>
    <cellStyle name="Comma 6 2 2 2 3 3 2 3" xfId="44518"/>
    <cellStyle name="Comma 6 2 2 2 3 3 3" xfId="44519"/>
    <cellStyle name="Comma 6 2 2 2 3 3 3 2" xfId="44520"/>
    <cellStyle name="Comma 6 2 2 2 3 3 3 3" xfId="44521"/>
    <cellStyle name="Comma 6 2 2 2 3 3 4" xfId="44522"/>
    <cellStyle name="Comma 6 2 2 2 3 3 4 2" xfId="44523"/>
    <cellStyle name="Comma 6 2 2 2 3 3 5" xfId="44524"/>
    <cellStyle name="Comma 6 2 2 2 3 3 6" xfId="44525"/>
    <cellStyle name="Comma 6 2 2 2 3 4" xfId="44526"/>
    <cellStyle name="Comma 6 2 2 2 3 4 2" xfId="44527"/>
    <cellStyle name="Comma 6 2 2 2 3 4 2 2" xfId="44528"/>
    <cellStyle name="Comma 6 2 2 2 3 4 2 3" xfId="44529"/>
    <cellStyle name="Comma 6 2 2 2 3 4 3" xfId="44530"/>
    <cellStyle name="Comma 6 2 2 2 3 4 3 2" xfId="44531"/>
    <cellStyle name="Comma 6 2 2 2 3 4 4" xfId="44532"/>
    <cellStyle name="Comma 6 2 2 2 3 4 5" xfId="44533"/>
    <cellStyle name="Comma 6 2 2 2 3 5" xfId="44534"/>
    <cellStyle name="Comma 6 2 2 2 3 5 2" xfId="44535"/>
    <cellStyle name="Comma 6 2 2 2 3 5 3" xfId="44536"/>
    <cellStyle name="Comma 6 2 2 2 3 6" xfId="44537"/>
    <cellStyle name="Comma 6 2 2 2 3 6 2" xfId="44538"/>
    <cellStyle name="Comma 6 2 2 2 3 6 3" xfId="44539"/>
    <cellStyle name="Comma 6 2 2 2 3 7" xfId="44540"/>
    <cellStyle name="Comma 6 2 2 2 3 7 2" xfId="44541"/>
    <cellStyle name="Comma 6 2 2 2 3 8" xfId="44542"/>
    <cellStyle name="Comma 6 2 2 2 3 9" xfId="44543"/>
    <cellStyle name="Comma 6 2 2 2 4" xfId="44544"/>
    <cellStyle name="Comma 6 2 2 2 4 2" xfId="44545"/>
    <cellStyle name="Comma 6 2 2 2 4 2 2" xfId="44546"/>
    <cellStyle name="Comma 6 2 2 2 4 2 2 2" xfId="44547"/>
    <cellStyle name="Comma 6 2 2 2 4 2 2 3" xfId="44548"/>
    <cellStyle name="Comma 6 2 2 2 4 2 3" xfId="44549"/>
    <cellStyle name="Comma 6 2 2 2 4 2 3 2" xfId="44550"/>
    <cellStyle name="Comma 6 2 2 2 4 2 3 3" xfId="44551"/>
    <cellStyle name="Comma 6 2 2 2 4 2 4" xfId="44552"/>
    <cellStyle name="Comma 6 2 2 2 4 2 4 2" xfId="44553"/>
    <cellStyle name="Comma 6 2 2 2 4 2 5" xfId="44554"/>
    <cellStyle name="Comma 6 2 2 2 4 2 6" xfId="44555"/>
    <cellStyle name="Comma 6 2 2 2 4 3" xfId="44556"/>
    <cellStyle name="Comma 6 2 2 2 4 3 2" xfId="44557"/>
    <cellStyle name="Comma 6 2 2 2 4 3 2 2" xfId="44558"/>
    <cellStyle name="Comma 6 2 2 2 4 3 2 3" xfId="44559"/>
    <cellStyle name="Comma 6 2 2 2 4 3 3" xfId="44560"/>
    <cellStyle name="Comma 6 2 2 2 4 3 3 2" xfId="44561"/>
    <cellStyle name="Comma 6 2 2 2 4 3 3 3" xfId="44562"/>
    <cellStyle name="Comma 6 2 2 2 4 3 4" xfId="44563"/>
    <cellStyle name="Comma 6 2 2 2 4 3 4 2" xfId="44564"/>
    <cellStyle name="Comma 6 2 2 2 4 3 5" xfId="44565"/>
    <cellStyle name="Comma 6 2 2 2 4 3 6" xfId="44566"/>
    <cellStyle name="Comma 6 2 2 2 4 4" xfId="44567"/>
    <cellStyle name="Comma 6 2 2 2 4 4 2" xfId="44568"/>
    <cellStyle name="Comma 6 2 2 2 4 4 2 2" xfId="44569"/>
    <cellStyle name="Comma 6 2 2 2 4 4 2 3" xfId="44570"/>
    <cellStyle name="Comma 6 2 2 2 4 4 3" xfId="44571"/>
    <cellStyle name="Comma 6 2 2 2 4 4 3 2" xfId="44572"/>
    <cellStyle name="Comma 6 2 2 2 4 4 4" xfId="44573"/>
    <cellStyle name="Comma 6 2 2 2 4 4 5" xfId="44574"/>
    <cellStyle name="Comma 6 2 2 2 4 5" xfId="44575"/>
    <cellStyle name="Comma 6 2 2 2 4 5 2" xfId="44576"/>
    <cellStyle name="Comma 6 2 2 2 4 5 3" xfId="44577"/>
    <cellStyle name="Comma 6 2 2 2 4 6" xfId="44578"/>
    <cellStyle name="Comma 6 2 2 2 4 6 2" xfId="44579"/>
    <cellStyle name="Comma 6 2 2 2 4 6 3" xfId="44580"/>
    <cellStyle name="Comma 6 2 2 2 4 7" xfId="44581"/>
    <cellStyle name="Comma 6 2 2 2 4 7 2" xfId="44582"/>
    <cellStyle name="Comma 6 2 2 2 4 8" xfId="44583"/>
    <cellStyle name="Comma 6 2 2 2 4 9" xfId="44584"/>
    <cellStyle name="Comma 6 2 2 2 5" xfId="44585"/>
    <cellStyle name="Comma 6 2 2 2 5 2" xfId="44586"/>
    <cellStyle name="Comma 6 2 2 2 5 2 2" xfId="44587"/>
    <cellStyle name="Comma 6 2 2 2 5 2 3" xfId="44588"/>
    <cellStyle name="Comma 6 2 2 2 5 3" xfId="44589"/>
    <cellStyle name="Comma 6 2 2 2 5 3 2" xfId="44590"/>
    <cellStyle name="Comma 6 2 2 2 5 3 3" xfId="44591"/>
    <cellStyle name="Comma 6 2 2 2 5 4" xfId="44592"/>
    <cellStyle name="Comma 6 2 2 2 5 4 2" xfId="44593"/>
    <cellStyle name="Comma 6 2 2 2 5 5" xfId="44594"/>
    <cellStyle name="Comma 6 2 2 2 5 6" xfId="44595"/>
    <cellStyle name="Comma 6 2 2 2 6" xfId="44596"/>
    <cellStyle name="Comma 6 2 2 2 6 2" xfId="44597"/>
    <cellStyle name="Comma 6 2 2 2 6 2 2" xfId="44598"/>
    <cellStyle name="Comma 6 2 2 2 6 2 3" xfId="44599"/>
    <cellStyle name="Comma 6 2 2 2 6 3" xfId="44600"/>
    <cellStyle name="Comma 6 2 2 2 6 3 2" xfId="44601"/>
    <cellStyle name="Comma 6 2 2 2 6 3 3" xfId="44602"/>
    <cellStyle name="Comma 6 2 2 2 6 4" xfId="44603"/>
    <cellStyle name="Comma 6 2 2 2 6 4 2" xfId="44604"/>
    <cellStyle name="Comma 6 2 2 2 6 5" xfId="44605"/>
    <cellStyle name="Comma 6 2 2 2 6 6" xfId="44606"/>
    <cellStyle name="Comma 6 2 2 2 7" xfId="44607"/>
    <cellStyle name="Comma 6 2 2 2 7 2" xfId="44608"/>
    <cellStyle name="Comma 6 2 2 2 7 2 2" xfId="44609"/>
    <cellStyle name="Comma 6 2 2 2 7 2 3" xfId="44610"/>
    <cellStyle name="Comma 6 2 2 2 7 3" xfId="44611"/>
    <cellStyle name="Comma 6 2 2 2 7 3 2" xfId="44612"/>
    <cellStyle name="Comma 6 2 2 2 7 4" xfId="44613"/>
    <cellStyle name="Comma 6 2 2 2 7 5" xfId="44614"/>
    <cellStyle name="Comma 6 2 2 2 8" xfId="44615"/>
    <cellStyle name="Comma 6 2 2 2 8 2" xfId="44616"/>
    <cellStyle name="Comma 6 2 2 2 8 3" xfId="44617"/>
    <cellStyle name="Comma 6 2 2 2 9" xfId="44618"/>
    <cellStyle name="Comma 6 2 2 2 9 2" xfId="44619"/>
    <cellStyle name="Comma 6 2 2 2 9 3" xfId="44620"/>
    <cellStyle name="Comma 6 2 2 3" xfId="44621"/>
    <cellStyle name="Comma 6 2 2 3 10" xfId="44622"/>
    <cellStyle name="Comma 6 2 2 3 2" xfId="44623"/>
    <cellStyle name="Comma 6 2 2 3 2 2" xfId="44624"/>
    <cellStyle name="Comma 6 2 2 3 2 2 2" xfId="44625"/>
    <cellStyle name="Comma 6 2 2 3 2 2 2 2" xfId="44626"/>
    <cellStyle name="Comma 6 2 2 3 2 2 2 3" xfId="44627"/>
    <cellStyle name="Comma 6 2 2 3 2 2 3" xfId="44628"/>
    <cellStyle name="Comma 6 2 2 3 2 2 3 2" xfId="44629"/>
    <cellStyle name="Comma 6 2 2 3 2 2 3 3" xfId="44630"/>
    <cellStyle name="Comma 6 2 2 3 2 2 4" xfId="44631"/>
    <cellStyle name="Comma 6 2 2 3 2 2 4 2" xfId="44632"/>
    <cellStyle name="Comma 6 2 2 3 2 2 5" xfId="44633"/>
    <cellStyle name="Comma 6 2 2 3 2 2 6" xfId="44634"/>
    <cellStyle name="Comma 6 2 2 3 2 3" xfId="44635"/>
    <cellStyle name="Comma 6 2 2 3 2 3 2" xfId="44636"/>
    <cellStyle name="Comma 6 2 2 3 2 3 2 2" xfId="44637"/>
    <cellStyle name="Comma 6 2 2 3 2 3 2 3" xfId="44638"/>
    <cellStyle name="Comma 6 2 2 3 2 3 3" xfId="44639"/>
    <cellStyle name="Comma 6 2 2 3 2 3 3 2" xfId="44640"/>
    <cellStyle name="Comma 6 2 2 3 2 3 3 3" xfId="44641"/>
    <cellStyle name="Comma 6 2 2 3 2 3 4" xfId="44642"/>
    <cellStyle name="Comma 6 2 2 3 2 3 4 2" xfId="44643"/>
    <cellStyle name="Comma 6 2 2 3 2 3 5" xfId="44644"/>
    <cellStyle name="Comma 6 2 2 3 2 3 6" xfId="44645"/>
    <cellStyle name="Comma 6 2 2 3 2 4" xfId="44646"/>
    <cellStyle name="Comma 6 2 2 3 2 4 2" xfId="44647"/>
    <cellStyle name="Comma 6 2 2 3 2 4 2 2" xfId="44648"/>
    <cellStyle name="Comma 6 2 2 3 2 4 2 3" xfId="44649"/>
    <cellStyle name="Comma 6 2 2 3 2 4 3" xfId="44650"/>
    <cellStyle name="Comma 6 2 2 3 2 4 3 2" xfId="44651"/>
    <cellStyle name="Comma 6 2 2 3 2 4 4" xfId="44652"/>
    <cellStyle name="Comma 6 2 2 3 2 4 5" xfId="44653"/>
    <cellStyle name="Comma 6 2 2 3 2 5" xfId="44654"/>
    <cellStyle name="Comma 6 2 2 3 2 5 2" xfId="44655"/>
    <cellStyle name="Comma 6 2 2 3 2 5 3" xfId="44656"/>
    <cellStyle name="Comma 6 2 2 3 2 6" xfId="44657"/>
    <cellStyle name="Comma 6 2 2 3 2 6 2" xfId="44658"/>
    <cellStyle name="Comma 6 2 2 3 2 6 3" xfId="44659"/>
    <cellStyle name="Comma 6 2 2 3 2 7" xfId="44660"/>
    <cellStyle name="Comma 6 2 2 3 2 7 2" xfId="44661"/>
    <cellStyle name="Comma 6 2 2 3 2 8" xfId="44662"/>
    <cellStyle name="Comma 6 2 2 3 2 9" xfId="44663"/>
    <cellStyle name="Comma 6 2 2 3 3" xfId="44664"/>
    <cellStyle name="Comma 6 2 2 3 3 2" xfId="44665"/>
    <cellStyle name="Comma 6 2 2 3 3 2 2" xfId="44666"/>
    <cellStyle name="Comma 6 2 2 3 3 2 3" xfId="44667"/>
    <cellStyle name="Comma 6 2 2 3 3 3" xfId="44668"/>
    <cellStyle name="Comma 6 2 2 3 3 3 2" xfId="44669"/>
    <cellStyle name="Comma 6 2 2 3 3 3 3" xfId="44670"/>
    <cellStyle name="Comma 6 2 2 3 3 4" xfId="44671"/>
    <cellStyle name="Comma 6 2 2 3 3 4 2" xfId="44672"/>
    <cellStyle name="Comma 6 2 2 3 3 5" xfId="44673"/>
    <cellStyle name="Comma 6 2 2 3 3 6" xfId="44674"/>
    <cellStyle name="Comma 6 2 2 3 4" xfId="44675"/>
    <cellStyle name="Comma 6 2 2 3 4 2" xfId="44676"/>
    <cellStyle name="Comma 6 2 2 3 4 2 2" xfId="44677"/>
    <cellStyle name="Comma 6 2 2 3 4 2 3" xfId="44678"/>
    <cellStyle name="Comma 6 2 2 3 4 3" xfId="44679"/>
    <cellStyle name="Comma 6 2 2 3 4 3 2" xfId="44680"/>
    <cellStyle name="Comma 6 2 2 3 4 3 3" xfId="44681"/>
    <cellStyle name="Comma 6 2 2 3 4 4" xfId="44682"/>
    <cellStyle name="Comma 6 2 2 3 4 4 2" xfId="44683"/>
    <cellStyle name="Comma 6 2 2 3 4 5" xfId="44684"/>
    <cellStyle name="Comma 6 2 2 3 4 6" xfId="44685"/>
    <cellStyle name="Comma 6 2 2 3 5" xfId="44686"/>
    <cellStyle name="Comma 6 2 2 3 5 2" xfId="44687"/>
    <cellStyle name="Comma 6 2 2 3 5 2 2" xfId="44688"/>
    <cellStyle name="Comma 6 2 2 3 5 2 3" xfId="44689"/>
    <cellStyle name="Comma 6 2 2 3 5 3" xfId="44690"/>
    <cellStyle name="Comma 6 2 2 3 5 3 2" xfId="44691"/>
    <cellStyle name="Comma 6 2 2 3 5 4" xfId="44692"/>
    <cellStyle name="Comma 6 2 2 3 5 5" xfId="44693"/>
    <cellStyle name="Comma 6 2 2 3 6" xfId="44694"/>
    <cellStyle name="Comma 6 2 2 3 6 2" xfId="44695"/>
    <cellStyle name="Comma 6 2 2 3 6 3" xfId="44696"/>
    <cellStyle name="Comma 6 2 2 3 7" xfId="44697"/>
    <cellStyle name="Comma 6 2 2 3 7 2" xfId="44698"/>
    <cellStyle name="Comma 6 2 2 3 7 3" xfId="44699"/>
    <cellStyle name="Comma 6 2 2 3 8" xfId="44700"/>
    <cellStyle name="Comma 6 2 2 3 8 2" xfId="44701"/>
    <cellStyle name="Comma 6 2 2 3 9" xfId="44702"/>
    <cellStyle name="Comma 6 2 2 4" xfId="44703"/>
    <cellStyle name="Comma 6 2 2 4 2" xfId="44704"/>
    <cellStyle name="Comma 6 2 2 4 2 2" xfId="44705"/>
    <cellStyle name="Comma 6 2 2 4 2 2 2" xfId="44706"/>
    <cellStyle name="Comma 6 2 2 4 2 2 3" xfId="44707"/>
    <cellStyle name="Comma 6 2 2 4 2 3" xfId="44708"/>
    <cellStyle name="Comma 6 2 2 4 2 3 2" xfId="44709"/>
    <cellStyle name="Comma 6 2 2 4 2 3 3" xfId="44710"/>
    <cellStyle name="Comma 6 2 2 4 2 4" xfId="44711"/>
    <cellStyle name="Comma 6 2 2 4 2 4 2" xfId="44712"/>
    <cellStyle name="Comma 6 2 2 4 2 5" xfId="44713"/>
    <cellStyle name="Comma 6 2 2 4 2 6" xfId="44714"/>
    <cellStyle name="Comma 6 2 2 4 3" xfId="44715"/>
    <cellStyle name="Comma 6 2 2 4 3 2" xfId="44716"/>
    <cellStyle name="Comma 6 2 2 4 3 2 2" xfId="44717"/>
    <cellStyle name="Comma 6 2 2 4 3 2 3" xfId="44718"/>
    <cellStyle name="Comma 6 2 2 4 3 3" xfId="44719"/>
    <cellStyle name="Comma 6 2 2 4 3 3 2" xfId="44720"/>
    <cellStyle name="Comma 6 2 2 4 3 3 3" xfId="44721"/>
    <cellStyle name="Comma 6 2 2 4 3 4" xfId="44722"/>
    <cellStyle name="Comma 6 2 2 4 3 4 2" xfId="44723"/>
    <cellStyle name="Comma 6 2 2 4 3 5" xfId="44724"/>
    <cellStyle name="Comma 6 2 2 4 3 6" xfId="44725"/>
    <cellStyle name="Comma 6 2 2 4 4" xfId="44726"/>
    <cellStyle name="Comma 6 2 2 4 4 2" xfId="44727"/>
    <cellStyle name="Comma 6 2 2 4 4 2 2" xfId="44728"/>
    <cellStyle name="Comma 6 2 2 4 4 2 3" xfId="44729"/>
    <cellStyle name="Comma 6 2 2 4 4 3" xfId="44730"/>
    <cellStyle name="Comma 6 2 2 4 4 3 2" xfId="44731"/>
    <cellStyle name="Comma 6 2 2 4 4 4" xfId="44732"/>
    <cellStyle name="Comma 6 2 2 4 4 5" xfId="44733"/>
    <cellStyle name="Comma 6 2 2 4 5" xfId="44734"/>
    <cellStyle name="Comma 6 2 2 4 5 2" xfId="44735"/>
    <cellStyle name="Comma 6 2 2 4 5 3" xfId="44736"/>
    <cellStyle name="Comma 6 2 2 4 6" xfId="44737"/>
    <cellStyle name="Comma 6 2 2 4 6 2" xfId="44738"/>
    <cellStyle name="Comma 6 2 2 4 6 3" xfId="44739"/>
    <cellStyle name="Comma 6 2 2 4 7" xfId="44740"/>
    <cellStyle name="Comma 6 2 2 4 7 2" xfId="44741"/>
    <cellStyle name="Comma 6 2 2 4 8" xfId="44742"/>
    <cellStyle name="Comma 6 2 2 4 9" xfId="44743"/>
    <cellStyle name="Comma 6 2 2 5" xfId="44744"/>
    <cellStyle name="Comma 6 2 2 5 2" xfId="44745"/>
    <cellStyle name="Comma 6 2 2 5 2 2" xfId="44746"/>
    <cellStyle name="Comma 6 2 2 5 2 2 2" xfId="44747"/>
    <cellStyle name="Comma 6 2 2 5 2 2 3" xfId="44748"/>
    <cellStyle name="Comma 6 2 2 5 2 3" xfId="44749"/>
    <cellStyle name="Comma 6 2 2 5 2 3 2" xfId="44750"/>
    <cellStyle name="Comma 6 2 2 5 2 3 3" xfId="44751"/>
    <cellStyle name="Comma 6 2 2 5 2 4" xfId="44752"/>
    <cellStyle name="Comma 6 2 2 5 2 4 2" xfId="44753"/>
    <cellStyle name="Comma 6 2 2 5 2 5" xfId="44754"/>
    <cellStyle name="Comma 6 2 2 5 2 6" xfId="44755"/>
    <cellStyle name="Comma 6 2 2 5 3" xfId="44756"/>
    <cellStyle name="Comma 6 2 2 5 3 2" xfId="44757"/>
    <cellStyle name="Comma 6 2 2 5 3 2 2" xfId="44758"/>
    <cellStyle name="Comma 6 2 2 5 3 2 3" xfId="44759"/>
    <cellStyle name="Comma 6 2 2 5 3 3" xfId="44760"/>
    <cellStyle name="Comma 6 2 2 5 3 3 2" xfId="44761"/>
    <cellStyle name="Comma 6 2 2 5 3 3 3" xfId="44762"/>
    <cellStyle name="Comma 6 2 2 5 3 4" xfId="44763"/>
    <cellStyle name="Comma 6 2 2 5 3 4 2" xfId="44764"/>
    <cellStyle name="Comma 6 2 2 5 3 5" xfId="44765"/>
    <cellStyle name="Comma 6 2 2 5 3 6" xfId="44766"/>
    <cellStyle name="Comma 6 2 2 5 4" xfId="44767"/>
    <cellStyle name="Comma 6 2 2 5 4 2" xfId="44768"/>
    <cellStyle name="Comma 6 2 2 5 4 2 2" xfId="44769"/>
    <cellStyle name="Comma 6 2 2 5 4 2 3" xfId="44770"/>
    <cellStyle name="Comma 6 2 2 5 4 3" xfId="44771"/>
    <cellStyle name="Comma 6 2 2 5 4 3 2" xfId="44772"/>
    <cellStyle name="Comma 6 2 2 5 4 4" xfId="44773"/>
    <cellStyle name="Comma 6 2 2 5 4 5" xfId="44774"/>
    <cellStyle name="Comma 6 2 2 5 5" xfId="44775"/>
    <cellStyle name="Comma 6 2 2 5 5 2" xfId="44776"/>
    <cellStyle name="Comma 6 2 2 5 5 3" xfId="44777"/>
    <cellStyle name="Comma 6 2 2 5 6" xfId="44778"/>
    <cellStyle name="Comma 6 2 2 5 6 2" xfId="44779"/>
    <cellStyle name="Comma 6 2 2 5 6 3" xfId="44780"/>
    <cellStyle name="Comma 6 2 2 5 7" xfId="44781"/>
    <cellStyle name="Comma 6 2 2 5 7 2" xfId="44782"/>
    <cellStyle name="Comma 6 2 2 5 8" xfId="44783"/>
    <cellStyle name="Comma 6 2 2 5 9" xfId="44784"/>
    <cellStyle name="Comma 6 2 2 6" xfId="44785"/>
    <cellStyle name="Comma 6 2 2 6 2" xfId="44786"/>
    <cellStyle name="Comma 6 2 2 6 2 2" xfId="44787"/>
    <cellStyle name="Comma 6 2 2 6 2 3" xfId="44788"/>
    <cellStyle name="Comma 6 2 2 6 3" xfId="44789"/>
    <cellStyle name="Comma 6 2 2 6 3 2" xfId="44790"/>
    <cellStyle name="Comma 6 2 2 6 3 3" xfId="44791"/>
    <cellStyle name="Comma 6 2 2 6 4" xfId="44792"/>
    <cellStyle name="Comma 6 2 2 6 4 2" xfId="44793"/>
    <cellStyle name="Comma 6 2 2 6 5" xfId="44794"/>
    <cellStyle name="Comma 6 2 2 6 6" xfId="44795"/>
    <cellStyle name="Comma 6 2 2 7" xfId="44796"/>
    <cellStyle name="Comma 6 2 2 7 2" xfId="44797"/>
    <cellStyle name="Comma 6 2 2 7 2 2" xfId="44798"/>
    <cellStyle name="Comma 6 2 2 7 2 3" xfId="44799"/>
    <cellStyle name="Comma 6 2 2 7 3" xfId="44800"/>
    <cellStyle name="Comma 6 2 2 7 3 2" xfId="44801"/>
    <cellStyle name="Comma 6 2 2 7 3 3" xfId="44802"/>
    <cellStyle name="Comma 6 2 2 7 4" xfId="44803"/>
    <cellStyle name="Comma 6 2 2 7 4 2" xfId="44804"/>
    <cellStyle name="Comma 6 2 2 7 5" xfId="44805"/>
    <cellStyle name="Comma 6 2 2 7 6" xfId="44806"/>
    <cellStyle name="Comma 6 2 2 8" xfId="44807"/>
    <cellStyle name="Comma 6 2 2 8 2" xfId="44808"/>
    <cellStyle name="Comma 6 2 2 8 2 2" xfId="44809"/>
    <cellStyle name="Comma 6 2 2 8 2 3" xfId="44810"/>
    <cellStyle name="Comma 6 2 2 8 3" xfId="44811"/>
    <cellStyle name="Comma 6 2 2 8 3 2" xfId="44812"/>
    <cellStyle name="Comma 6 2 2 8 4" xfId="44813"/>
    <cellStyle name="Comma 6 2 2 8 5" xfId="44814"/>
    <cellStyle name="Comma 6 2 2 9" xfId="44815"/>
    <cellStyle name="Comma 6 2 2 9 2" xfId="44816"/>
    <cellStyle name="Comma 6 2 2 9 3" xfId="44817"/>
    <cellStyle name="Comma 6 2 3" xfId="44818"/>
    <cellStyle name="Comma 6 2 3 10" xfId="44819"/>
    <cellStyle name="Comma 6 2 3 10 2" xfId="44820"/>
    <cellStyle name="Comma 6 2 3 11" xfId="44821"/>
    <cellStyle name="Comma 6 2 3 12" xfId="44822"/>
    <cellStyle name="Comma 6 2 3 13" xfId="44823"/>
    <cellStyle name="Comma 6 2 3 2" xfId="44824"/>
    <cellStyle name="Comma 6 2 3 2 10" xfId="44825"/>
    <cellStyle name="Comma 6 2 3 2 2" xfId="44826"/>
    <cellStyle name="Comma 6 2 3 2 2 2" xfId="44827"/>
    <cellStyle name="Comma 6 2 3 2 2 2 2" xfId="44828"/>
    <cellStyle name="Comma 6 2 3 2 2 2 2 2" xfId="44829"/>
    <cellStyle name="Comma 6 2 3 2 2 2 2 3" xfId="44830"/>
    <cellStyle name="Comma 6 2 3 2 2 2 3" xfId="44831"/>
    <cellStyle name="Comma 6 2 3 2 2 2 3 2" xfId="44832"/>
    <cellStyle name="Comma 6 2 3 2 2 2 3 3" xfId="44833"/>
    <cellStyle name="Comma 6 2 3 2 2 2 4" xfId="44834"/>
    <cellStyle name="Comma 6 2 3 2 2 2 4 2" xfId="44835"/>
    <cellStyle name="Comma 6 2 3 2 2 2 5" xfId="44836"/>
    <cellStyle name="Comma 6 2 3 2 2 2 6" xfId="44837"/>
    <cellStyle name="Comma 6 2 3 2 2 3" xfId="44838"/>
    <cellStyle name="Comma 6 2 3 2 2 3 2" xfId="44839"/>
    <cellStyle name="Comma 6 2 3 2 2 3 2 2" xfId="44840"/>
    <cellStyle name="Comma 6 2 3 2 2 3 2 3" xfId="44841"/>
    <cellStyle name="Comma 6 2 3 2 2 3 3" xfId="44842"/>
    <cellStyle name="Comma 6 2 3 2 2 3 3 2" xfId="44843"/>
    <cellStyle name="Comma 6 2 3 2 2 3 3 3" xfId="44844"/>
    <cellStyle name="Comma 6 2 3 2 2 3 4" xfId="44845"/>
    <cellStyle name="Comma 6 2 3 2 2 3 4 2" xfId="44846"/>
    <cellStyle name="Comma 6 2 3 2 2 3 5" xfId="44847"/>
    <cellStyle name="Comma 6 2 3 2 2 3 6" xfId="44848"/>
    <cellStyle name="Comma 6 2 3 2 2 4" xfId="44849"/>
    <cellStyle name="Comma 6 2 3 2 2 4 2" xfId="44850"/>
    <cellStyle name="Comma 6 2 3 2 2 4 2 2" xfId="44851"/>
    <cellStyle name="Comma 6 2 3 2 2 4 2 3" xfId="44852"/>
    <cellStyle name="Comma 6 2 3 2 2 4 3" xfId="44853"/>
    <cellStyle name="Comma 6 2 3 2 2 4 3 2" xfId="44854"/>
    <cellStyle name="Comma 6 2 3 2 2 4 4" xfId="44855"/>
    <cellStyle name="Comma 6 2 3 2 2 4 5" xfId="44856"/>
    <cellStyle name="Comma 6 2 3 2 2 5" xfId="44857"/>
    <cellStyle name="Comma 6 2 3 2 2 5 2" xfId="44858"/>
    <cellStyle name="Comma 6 2 3 2 2 5 3" xfId="44859"/>
    <cellStyle name="Comma 6 2 3 2 2 6" xfId="44860"/>
    <cellStyle name="Comma 6 2 3 2 2 6 2" xfId="44861"/>
    <cellStyle name="Comma 6 2 3 2 2 6 3" xfId="44862"/>
    <cellStyle name="Comma 6 2 3 2 2 7" xfId="44863"/>
    <cellStyle name="Comma 6 2 3 2 2 7 2" xfId="44864"/>
    <cellStyle name="Comma 6 2 3 2 2 8" xfId="44865"/>
    <cellStyle name="Comma 6 2 3 2 2 9" xfId="44866"/>
    <cellStyle name="Comma 6 2 3 2 3" xfId="44867"/>
    <cellStyle name="Comma 6 2 3 2 3 2" xfId="44868"/>
    <cellStyle name="Comma 6 2 3 2 3 2 2" xfId="44869"/>
    <cellStyle name="Comma 6 2 3 2 3 2 3" xfId="44870"/>
    <cellStyle name="Comma 6 2 3 2 3 3" xfId="44871"/>
    <cellStyle name="Comma 6 2 3 2 3 3 2" xfId="44872"/>
    <cellStyle name="Comma 6 2 3 2 3 3 3" xfId="44873"/>
    <cellStyle name="Comma 6 2 3 2 3 4" xfId="44874"/>
    <cellStyle name="Comma 6 2 3 2 3 4 2" xfId="44875"/>
    <cellStyle name="Comma 6 2 3 2 3 5" xfId="44876"/>
    <cellStyle name="Comma 6 2 3 2 3 6" xfId="44877"/>
    <cellStyle name="Comma 6 2 3 2 4" xfId="44878"/>
    <cellStyle name="Comma 6 2 3 2 4 2" xfId="44879"/>
    <cellStyle name="Comma 6 2 3 2 4 2 2" xfId="44880"/>
    <cellStyle name="Comma 6 2 3 2 4 2 3" xfId="44881"/>
    <cellStyle name="Comma 6 2 3 2 4 3" xfId="44882"/>
    <cellStyle name="Comma 6 2 3 2 4 3 2" xfId="44883"/>
    <cellStyle name="Comma 6 2 3 2 4 3 3" xfId="44884"/>
    <cellStyle name="Comma 6 2 3 2 4 4" xfId="44885"/>
    <cellStyle name="Comma 6 2 3 2 4 4 2" xfId="44886"/>
    <cellStyle name="Comma 6 2 3 2 4 5" xfId="44887"/>
    <cellStyle name="Comma 6 2 3 2 4 6" xfId="44888"/>
    <cellStyle name="Comma 6 2 3 2 5" xfId="44889"/>
    <cellStyle name="Comma 6 2 3 2 5 2" xfId="44890"/>
    <cellStyle name="Comma 6 2 3 2 5 2 2" xfId="44891"/>
    <cellStyle name="Comma 6 2 3 2 5 2 3" xfId="44892"/>
    <cellStyle name="Comma 6 2 3 2 5 3" xfId="44893"/>
    <cellStyle name="Comma 6 2 3 2 5 3 2" xfId="44894"/>
    <cellStyle name="Comma 6 2 3 2 5 4" xfId="44895"/>
    <cellStyle name="Comma 6 2 3 2 5 5" xfId="44896"/>
    <cellStyle name="Comma 6 2 3 2 6" xfId="44897"/>
    <cellStyle name="Comma 6 2 3 2 6 2" xfId="44898"/>
    <cellStyle name="Comma 6 2 3 2 6 3" xfId="44899"/>
    <cellStyle name="Comma 6 2 3 2 7" xfId="44900"/>
    <cellStyle name="Comma 6 2 3 2 7 2" xfId="44901"/>
    <cellStyle name="Comma 6 2 3 2 7 3" xfId="44902"/>
    <cellStyle name="Comma 6 2 3 2 8" xfId="44903"/>
    <cellStyle name="Comma 6 2 3 2 8 2" xfId="44904"/>
    <cellStyle name="Comma 6 2 3 2 9" xfId="44905"/>
    <cellStyle name="Comma 6 2 3 3" xfId="44906"/>
    <cellStyle name="Comma 6 2 3 3 2" xfId="44907"/>
    <cellStyle name="Comma 6 2 3 3 2 2" xfId="44908"/>
    <cellStyle name="Comma 6 2 3 3 2 2 2" xfId="44909"/>
    <cellStyle name="Comma 6 2 3 3 2 2 3" xfId="44910"/>
    <cellStyle name="Comma 6 2 3 3 2 3" xfId="44911"/>
    <cellStyle name="Comma 6 2 3 3 2 3 2" xfId="44912"/>
    <cellStyle name="Comma 6 2 3 3 2 3 3" xfId="44913"/>
    <cellStyle name="Comma 6 2 3 3 2 4" xfId="44914"/>
    <cellStyle name="Comma 6 2 3 3 2 4 2" xfId="44915"/>
    <cellStyle name="Comma 6 2 3 3 2 5" xfId="44916"/>
    <cellStyle name="Comma 6 2 3 3 2 6" xfId="44917"/>
    <cellStyle name="Comma 6 2 3 3 3" xfId="44918"/>
    <cellStyle name="Comma 6 2 3 3 3 2" xfId="44919"/>
    <cellStyle name="Comma 6 2 3 3 3 2 2" xfId="44920"/>
    <cellStyle name="Comma 6 2 3 3 3 2 3" xfId="44921"/>
    <cellStyle name="Comma 6 2 3 3 3 3" xfId="44922"/>
    <cellStyle name="Comma 6 2 3 3 3 3 2" xfId="44923"/>
    <cellStyle name="Comma 6 2 3 3 3 3 3" xfId="44924"/>
    <cellStyle name="Comma 6 2 3 3 3 4" xfId="44925"/>
    <cellStyle name="Comma 6 2 3 3 3 4 2" xfId="44926"/>
    <cellStyle name="Comma 6 2 3 3 3 5" xfId="44927"/>
    <cellStyle name="Comma 6 2 3 3 3 6" xfId="44928"/>
    <cellStyle name="Comma 6 2 3 3 4" xfId="44929"/>
    <cellStyle name="Comma 6 2 3 3 4 2" xfId="44930"/>
    <cellStyle name="Comma 6 2 3 3 4 2 2" xfId="44931"/>
    <cellStyle name="Comma 6 2 3 3 4 2 3" xfId="44932"/>
    <cellStyle name="Comma 6 2 3 3 4 3" xfId="44933"/>
    <cellStyle name="Comma 6 2 3 3 4 3 2" xfId="44934"/>
    <cellStyle name="Comma 6 2 3 3 4 4" xfId="44935"/>
    <cellStyle name="Comma 6 2 3 3 4 5" xfId="44936"/>
    <cellStyle name="Comma 6 2 3 3 5" xfId="44937"/>
    <cellStyle name="Comma 6 2 3 3 5 2" xfId="44938"/>
    <cellStyle name="Comma 6 2 3 3 5 3" xfId="44939"/>
    <cellStyle name="Comma 6 2 3 3 6" xfId="44940"/>
    <cellStyle name="Comma 6 2 3 3 6 2" xfId="44941"/>
    <cellStyle name="Comma 6 2 3 3 6 3" xfId="44942"/>
    <cellStyle name="Comma 6 2 3 3 7" xfId="44943"/>
    <cellStyle name="Comma 6 2 3 3 7 2" xfId="44944"/>
    <cellStyle name="Comma 6 2 3 3 8" xfId="44945"/>
    <cellStyle name="Comma 6 2 3 3 9" xfId="44946"/>
    <cellStyle name="Comma 6 2 3 4" xfId="44947"/>
    <cellStyle name="Comma 6 2 3 4 2" xfId="44948"/>
    <cellStyle name="Comma 6 2 3 4 2 2" xfId="44949"/>
    <cellStyle name="Comma 6 2 3 4 2 2 2" xfId="44950"/>
    <cellStyle name="Comma 6 2 3 4 2 2 3" xfId="44951"/>
    <cellStyle name="Comma 6 2 3 4 2 3" xfId="44952"/>
    <cellStyle name="Comma 6 2 3 4 2 3 2" xfId="44953"/>
    <cellStyle name="Comma 6 2 3 4 2 3 3" xfId="44954"/>
    <cellStyle name="Comma 6 2 3 4 2 4" xfId="44955"/>
    <cellStyle name="Comma 6 2 3 4 2 4 2" xfId="44956"/>
    <cellStyle name="Comma 6 2 3 4 2 5" xfId="44957"/>
    <cellStyle name="Comma 6 2 3 4 2 6" xfId="44958"/>
    <cellStyle name="Comma 6 2 3 4 3" xfId="44959"/>
    <cellStyle name="Comma 6 2 3 4 3 2" xfId="44960"/>
    <cellStyle name="Comma 6 2 3 4 3 2 2" xfId="44961"/>
    <cellStyle name="Comma 6 2 3 4 3 2 3" xfId="44962"/>
    <cellStyle name="Comma 6 2 3 4 3 3" xfId="44963"/>
    <cellStyle name="Comma 6 2 3 4 3 3 2" xfId="44964"/>
    <cellStyle name="Comma 6 2 3 4 3 3 3" xfId="44965"/>
    <cellStyle name="Comma 6 2 3 4 3 4" xfId="44966"/>
    <cellStyle name="Comma 6 2 3 4 3 4 2" xfId="44967"/>
    <cellStyle name="Comma 6 2 3 4 3 5" xfId="44968"/>
    <cellStyle name="Comma 6 2 3 4 3 6" xfId="44969"/>
    <cellStyle name="Comma 6 2 3 4 4" xfId="44970"/>
    <cellStyle name="Comma 6 2 3 4 4 2" xfId="44971"/>
    <cellStyle name="Comma 6 2 3 4 4 2 2" xfId="44972"/>
    <cellStyle name="Comma 6 2 3 4 4 2 3" xfId="44973"/>
    <cellStyle name="Comma 6 2 3 4 4 3" xfId="44974"/>
    <cellStyle name="Comma 6 2 3 4 4 3 2" xfId="44975"/>
    <cellStyle name="Comma 6 2 3 4 4 4" xfId="44976"/>
    <cellStyle name="Comma 6 2 3 4 4 5" xfId="44977"/>
    <cellStyle name="Comma 6 2 3 4 5" xfId="44978"/>
    <cellStyle name="Comma 6 2 3 4 5 2" xfId="44979"/>
    <cellStyle name="Comma 6 2 3 4 5 3" xfId="44980"/>
    <cellStyle name="Comma 6 2 3 4 6" xfId="44981"/>
    <cellStyle name="Comma 6 2 3 4 6 2" xfId="44982"/>
    <cellStyle name="Comma 6 2 3 4 6 3" xfId="44983"/>
    <cellStyle name="Comma 6 2 3 4 7" xfId="44984"/>
    <cellStyle name="Comma 6 2 3 4 7 2" xfId="44985"/>
    <cellStyle name="Comma 6 2 3 4 8" xfId="44986"/>
    <cellStyle name="Comma 6 2 3 4 9" xfId="44987"/>
    <cellStyle name="Comma 6 2 3 5" xfId="44988"/>
    <cellStyle name="Comma 6 2 3 5 2" xfId="44989"/>
    <cellStyle name="Comma 6 2 3 5 2 2" xfId="44990"/>
    <cellStyle name="Comma 6 2 3 5 2 3" xfId="44991"/>
    <cellStyle name="Comma 6 2 3 5 3" xfId="44992"/>
    <cellStyle name="Comma 6 2 3 5 3 2" xfId="44993"/>
    <cellStyle name="Comma 6 2 3 5 3 3" xfId="44994"/>
    <cellStyle name="Comma 6 2 3 5 4" xfId="44995"/>
    <cellStyle name="Comma 6 2 3 5 4 2" xfId="44996"/>
    <cellStyle name="Comma 6 2 3 5 5" xfId="44997"/>
    <cellStyle name="Comma 6 2 3 5 6" xfId="44998"/>
    <cellStyle name="Comma 6 2 3 6" xfId="44999"/>
    <cellStyle name="Comma 6 2 3 6 2" xfId="45000"/>
    <cellStyle name="Comma 6 2 3 6 2 2" xfId="45001"/>
    <cellStyle name="Comma 6 2 3 6 2 3" xfId="45002"/>
    <cellStyle name="Comma 6 2 3 6 3" xfId="45003"/>
    <cellStyle name="Comma 6 2 3 6 3 2" xfId="45004"/>
    <cellStyle name="Comma 6 2 3 6 3 3" xfId="45005"/>
    <cellStyle name="Comma 6 2 3 6 4" xfId="45006"/>
    <cellStyle name="Comma 6 2 3 6 4 2" xfId="45007"/>
    <cellStyle name="Comma 6 2 3 6 5" xfId="45008"/>
    <cellStyle name="Comma 6 2 3 6 6" xfId="45009"/>
    <cellStyle name="Comma 6 2 3 7" xfId="45010"/>
    <cellStyle name="Comma 6 2 3 7 2" xfId="45011"/>
    <cellStyle name="Comma 6 2 3 7 2 2" xfId="45012"/>
    <cellStyle name="Comma 6 2 3 7 2 3" xfId="45013"/>
    <cellStyle name="Comma 6 2 3 7 3" xfId="45014"/>
    <cellStyle name="Comma 6 2 3 7 3 2" xfId="45015"/>
    <cellStyle name="Comma 6 2 3 7 4" xfId="45016"/>
    <cellStyle name="Comma 6 2 3 7 5" xfId="45017"/>
    <cellStyle name="Comma 6 2 3 8" xfId="45018"/>
    <cellStyle name="Comma 6 2 3 8 2" xfId="45019"/>
    <cellStyle name="Comma 6 2 3 8 3" xfId="45020"/>
    <cellStyle name="Comma 6 2 3 9" xfId="45021"/>
    <cellStyle name="Comma 6 2 3 9 2" xfId="45022"/>
    <cellStyle name="Comma 6 2 3 9 3" xfId="45023"/>
    <cellStyle name="Comma 6 2 4" xfId="45024"/>
    <cellStyle name="Comma 6 2 4 10" xfId="45025"/>
    <cellStyle name="Comma 6 2 4 2" xfId="45026"/>
    <cellStyle name="Comma 6 2 4 2 2" xfId="45027"/>
    <cellStyle name="Comma 6 2 4 2 2 2" xfId="45028"/>
    <cellStyle name="Comma 6 2 4 2 2 2 2" xfId="45029"/>
    <cellStyle name="Comma 6 2 4 2 2 2 3" xfId="45030"/>
    <cellStyle name="Comma 6 2 4 2 2 3" xfId="45031"/>
    <cellStyle name="Comma 6 2 4 2 2 3 2" xfId="45032"/>
    <cellStyle name="Comma 6 2 4 2 2 3 3" xfId="45033"/>
    <cellStyle name="Comma 6 2 4 2 2 4" xfId="45034"/>
    <cellStyle name="Comma 6 2 4 2 2 4 2" xfId="45035"/>
    <cellStyle name="Comma 6 2 4 2 2 5" xfId="45036"/>
    <cellStyle name="Comma 6 2 4 2 2 6" xfId="45037"/>
    <cellStyle name="Comma 6 2 4 2 3" xfId="45038"/>
    <cellStyle name="Comma 6 2 4 2 3 2" xfId="45039"/>
    <cellStyle name="Comma 6 2 4 2 3 2 2" xfId="45040"/>
    <cellStyle name="Comma 6 2 4 2 3 2 3" xfId="45041"/>
    <cellStyle name="Comma 6 2 4 2 3 3" xfId="45042"/>
    <cellStyle name="Comma 6 2 4 2 3 3 2" xfId="45043"/>
    <cellStyle name="Comma 6 2 4 2 3 3 3" xfId="45044"/>
    <cellStyle name="Comma 6 2 4 2 3 4" xfId="45045"/>
    <cellStyle name="Comma 6 2 4 2 3 4 2" xfId="45046"/>
    <cellStyle name="Comma 6 2 4 2 3 5" xfId="45047"/>
    <cellStyle name="Comma 6 2 4 2 3 6" xfId="45048"/>
    <cellStyle name="Comma 6 2 4 2 4" xfId="45049"/>
    <cellStyle name="Comma 6 2 4 2 4 2" xfId="45050"/>
    <cellStyle name="Comma 6 2 4 2 4 2 2" xfId="45051"/>
    <cellStyle name="Comma 6 2 4 2 4 2 3" xfId="45052"/>
    <cellStyle name="Comma 6 2 4 2 4 3" xfId="45053"/>
    <cellStyle name="Comma 6 2 4 2 4 3 2" xfId="45054"/>
    <cellStyle name="Comma 6 2 4 2 4 4" xfId="45055"/>
    <cellStyle name="Comma 6 2 4 2 4 5" xfId="45056"/>
    <cellStyle name="Comma 6 2 4 2 5" xfId="45057"/>
    <cellStyle name="Comma 6 2 4 2 5 2" xfId="45058"/>
    <cellStyle name="Comma 6 2 4 2 5 3" xfId="45059"/>
    <cellStyle name="Comma 6 2 4 2 6" xfId="45060"/>
    <cellStyle name="Comma 6 2 4 2 6 2" xfId="45061"/>
    <cellStyle name="Comma 6 2 4 2 6 3" xfId="45062"/>
    <cellStyle name="Comma 6 2 4 2 7" xfId="45063"/>
    <cellStyle name="Comma 6 2 4 2 7 2" xfId="45064"/>
    <cellStyle name="Comma 6 2 4 2 8" xfId="45065"/>
    <cellStyle name="Comma 6 2 4 2 9" xfId="45066"/>
    <cellStyle name="Comma 6 2 4 3" xfId="45067"/>
    <cellStyle name="Comma 6 2 4 3 2" xfId="45068"/>
    <cellStyle name="Comma 6 2 4 3 2 2" xfId="45069"/>
    <cellStyle name="Comma 6 2 4 3 2 3" xfId="45070"/>
    <cellStyle name="Comma 6 2 4 3 3" xfId="45071"/>
    <cellStyle name="Comma 6 2 4 3 3 2" xfId="45072"/>
    <cellStyle name="Comma 6 2 4 3 3 3" xfId="45073"/>
    <cellStyle name="Comma 6 2 4 3 4" xfId="45074"/>
    <cellStyle name="Comma 6 2 4 3 4 2" xfId="45075"/>
    <cellStyle name="Comma 6 2 4 3 5" xfId="45076"/>
    <cellStyle name="Comma 6 2 4 3 6" xfId="45077"/>
    <cellStyle name="Comma 6 2 4 4" xfId="45078"/>
    <cellStyle name="Comma 6 2 4 4 2" xfId="45079"/>
    <cellStyle name="Comma 6 2 4 4 2 2" xfId="45080"/>
    <cellStyle name="Comma 6 2 4 4 2 3" xfId="45081"/>
    <cellStyle name="Comma 6 2 4 4 3" xfId="45082"/>
    <cellStyle name="Comma 6 2 4 4 3 2" xfId="45083"/>
    <cellStyle name="Comma 6 2 4 4 3 3" xfId="45084"/>
    <cellStyle name="Comma 6 2 4 4 4" xfId="45085"/>
    <cellStyle name="Comma 6 2 4 4 4 2" xfId="45086"/>
    <cellStyle name="Comma 6 2 4 4 5" xfId="45087"/>
    <cellStyle name="Comma 6 2 4 4 6" xfId="45088"/>
    <cellStyle name="Comma 6 2 4 5" xfId="45089"/>
    <cellStyle name="Comma 6 2 4 5 2" xfId="45090"/>
    <cellStyle name="Comma 6 2 4 5 2 2" xfId="45091"/>
    <cellStyle name="Comma 6 2 4 5 2 3" xfId="45092"/>
    <cellStyle name="Comma 6 2 4 5 3" xfId="45093"/>
    <cellStyle name="Comma 6 2 4 5 3 2" xfId="45094"/>
    <cellStyle name="Comma 6 2 4 5 4" xfId="45095"/>
    <cellStyle name="Comma 6 2 4 5 5" xfId="45096"/>
    <cellStyle name="Comma 6 2 4 6" xfId="45097"/>
    <cellStyle name="Comma 6 2 4 6 2" xfId="45098"/>
    <cellStyle name="Comma 6 2 4 6 3" xfId="45099"/>
    <cellStyle name="Comma 6 2 4 7" xfId="45100"/>
    <cellStyle name="Comma 6 2 4 7 2" xfId="45101"/>
    <cellStyle name="Comma 6 2 4 7 3" xfId="45102"/>
    <cellStyle name="Comma 6 2 4 8" xfId="45103"/>
    <cellStyle name="Comma 6 2 4 8 2" xfId="45104"/>
    <cellStyle name="Comma 6 2 4 9" xfId="45105"/>
    <cellStyle name="Comma 6 2 5" xfId="45106"/>
    <cellStyle name="Comma 6 2 5 2" xfId="45107"/>
    <cellStyle name="Comma 6 2 5 2 2" xfId="45108"/>
    <cellStyle name="Comma 6 2 5 2 2 2" xfId="45109"/>
    <cellStyle name="Comma 6 2 5 2 2 3" xfId="45110"/>
    <cellStyle name="Comma 6 2 5 2 3" xfId="45111"/>
    <cellStyle name="Comma 6 2 5 2 3 2" xfId="45112"/>
    <cellStyle name="Comma 6 2 5 2 3 3" xfId="45113"/>
    <cellStyle name="Comma 6 2 5 2 4" xfId="45114"/>
    <cellStyle name="Comma 6 2 5 2 4 2" xfId="45115"/>
    <cellStyle name="Comma 6 2 5 2 5" xfId="45116"/>
    <cellStyle name="Comma 6 2 5 2 6" xfId="45117"/>
    <cellStyle name="Comma 6 2 5 3" xfId="45118"/>
    <cellStyle name="Comma 6 2 5 3 2" xfId="45119"/>
    <cellStyle name="Comma 6 2 5 3 2 2" xfId="45120"/>
    <cellStyle name="Comma 6 2 5 3 2 3" xfId="45121"/>
    <cellStyle name="Comma 6 2 5 3 3" xfId="45122"/>
    <cellStyle name="Comma 6 2 5 3 3 2" xfId="45123"/>
    <cellStyle name="Comma 6 2 5 3 3 3" xfId="45124"/>
    <cellStyle name="Comma 6 2 5 3 4" xfId="45125"/>
    <cellStyle name="Comma 6 2 5 3 4 2" xfId="45126"/>
    <cellStyle name="Comma 6 2 5 3 5" xfId="45127"/>
    <cellStyle name="Comma 6 2 5 3 6" xfId="45128"/>
    <cellStyle name="Comma 6 2 5 4" xfId="45129"/>
    <cellStyle name="Comma 6 2 5 4 2" xfId="45130"/>
    <cellStyle name="Comma 6 2 5 4 2 2" xfId="45131"/>
    <cellStyle name="Comma 6 2 5 4 2 3" xfId="45132"/>
    <cellStyle name="Comma 6 2 5 4 3" xfId="45133"/>
    <cellStyle name="Comma 6 2 5 4 3 2" xfId="45134"/>
    <cellStyle name="Comma 6 2 5 4 4" xfId="45135"/>
    <cellStyle name="Comma 6 2 5 4 5" xfId="45136"/>
    <cellStyle name="Comma 6 2 5 5" xfId="45137"/>
    <cellStyle name="Comma 6 2 5 5 2" xfId="45138"/>
    <cellStyle name="Comma 6 2 5 5 3" xfId="45139"/>
    <cellStyle name="Comma 6 2 5 6" xfId="45140"/>
    <cellStyle name="Comma 6 2 5 6 2" xfId="45141"/>
    <cellStyle name="Comma 6 2 5 6 3" xfId="45142"/>
    <cellStyle name="Comma 6 2 5 7" xfId="45143"/>
    <cellStyle name="Comma 6 2 5 7 2" xfId="45144"/>
    <cellStyle name="Comma 6 2 5 8" xfId="45145"/>
    <cellStyle name="Comma 6 2 5 9" xfId="45146"/>
    <cellStyle name="Comma 6 2 6" xfId="45147"/>
    <cellStyle name="Comma 6 2 6 2" xfId="45148"/>
    <cellStyle name="Comma 6 2 6 2 2" xfId="45149"/>
    <cellStyle name="Comma 6 2 6 2 2 2" xfId="45150"/>
    <cellStyle name="Comma 6 2 6 2 2 3" xfId="45151"/>
    <cellStyle name="Comma 6 2 6 2 3" xfId="45152"/>
    <cellStyle name="Comma 6 2 6 2 3 2" xfId="45153"/>
    <cellStyle name="Comma 6 2 6 2 3 3" xfId="45154"/>
    <cellStyle name="Comma 6 2 6 2 4" xfId="45155"/>
    <cellStyle name="Comma 6 2 6 2 4 2" xfId="45156"/>
    <cellStyle name="Comma 6 2 6 2 5" xfId="45157"/>
    <cellStyle name="Comma 6 2 6 2 6" xfId="45158"/>
    <cellStyle name="Comma 6 2 6 3" xfId="45159"/>
    <cellStyle name="Comma 6 2 6 3 2" xfId="45160"/>
    <cellStyle name="Comma 6 2 6 3 2 2" xfId="45161"/>
    <cellStyle name="Comma 6 2 6 3 2 3" xfId="45162"/>
    <cellStyle name="Comma 6 2 6 3 3" xfId="45163"/>
    <cellStyle name="Comma 6 2 6 3 3 2" xfId="45164"/>
    <cellStyle name="Comma 6 2 6 3 3 3" xfId="45165"/>
    <cellStyle name="Comma 6 2 6 3 4" xfId="45166"/>
    <cellStyle name="Comma 6 2 6 3 4 2" xfId="45167"/>
    <cellStyle name="Comma 6 2 6 3 5" xfId="45168"/>
    <cellStyle name="Comma 6 2 6 3 6" xfId="45169"/>
    <cellStyle name="Comma 6 2 6 4" xfId="45170"/>
    <cellStyle name="Comma 6 2 6 4 2" xfId="45171"/>
    <cellStyle name="Comma 6 2 6 4 2 2" xfId="45172"/>
    <cellStyle name="Comma 6 2 6 4 2 3" xfId="45173"/>
    <cellStyle name="Comma 6 2 6 4 3" xfId="45174"/>
    <cellStyle name="Comma 6 2 6 4 3 2" xfId="45175"/>
    <cellStyle name="Comma 6 2 6 4 4" xfId="45176"/>
    <cellStyle name="Comma 6 2 6 4 5" xfId="45177"/>
    <cellStyle name="Comma 6 2 6 5" xfId="45178"/>
    <cellStyle name="Comma 6 2 6 5 2" xfId="45179"/>
    <cellStyle name="Comma 6 2 6 5 3" xfId="45180"/>
    <cellStyle name="Comma 6 2 6 6" xfId="45181"/>
    <cellStyle name="Comma 6 2 6 6 2" xfId="45182"/>
    <cellStyle name="Comma 6 2 6 6 3" xfId="45183"/>
    <cellStyle name="Comma 6 2 6 7" xfId="45184"/>
    <cellStyle name="Comma 6 2 6 7 2" xfId="45185"/>
    <cellStyle name="Comma 6 2 6 8" xfId="45186"/>
    <cellStyle name="Comma 6 2 6 9" xfId="45187"/>
    <cellStyle name="Comma 6 2 7" xfId="45188"/>
    <cellStyle name="Comma 6 2 7 2" xfId="45189"/>
    <cellStyle name="Comma 6 2 7 2 2" xfId="45190"/>
    <cellStyle name="Comma 6 2 7 2 3" xfId="45191"/>
    <cellStyle name="Comma 6 2 7 3" xfId="45192"/>
    <cellStyle name="Comma 6 2 7 3 2" xfId="45193"/>
    <cellStyle name="Comma 6 2 7 3 3" xfId="45194"/>
    <cellStyle name="Comma 6 2 7 4" xfId="45195"/>
    <cellStyle name="Comma 6 2 7 4 2" xfId="45196"/>
    <cellStyle name="Comma 6 2 7 5" xfId="45197"/>
    <cellStyle name="Comma 6 2 7 6" xfId="45198"/>
    <cellStyle name="Comma 6 2 8" xfId="45199"/>
    <cellStyle name="Comma 6 2 8 2" xfId="45200"/>
    <cellStyle name="Comma 6 2 8 2 2" xfId="45201"/>
    <cellStyle name="Comma 6 2 8 2 3" xfId="45202"/>
    <cellStyle name="Comma 6 2 8 3" xfId="45203"/>
    <cellStyle name="Comma 6 2 8 3 2" xfId="45204"/>
    <cellStyle name="Comma 6 2 8 3 3" xfId="45205"/>
    <cellStyle name="Comma 6 2 8 4" xfId="45206"/>
    <cellStyle name="Comma 6 2 8 4 2" xfId="45207"/>
    <cellStyle name="Comma 6 2 8 5" xfId="45208"/>
    <cellStyle name="Comma 6 2 8 6" xfId="45209"/>
    <cellStyle name="Comma 6 2 9" xfId="45210"/>
    <cellStyle name="Comma 6 2 9 2" xfId="45211"/>
    <cellStyle name="Comma 6 2 9 2 2" xfId="45212"/>
    <cellStyle name="Comma 6 2 9 2 3" xfId="45213"/>
    <cellStyle name="Comma 6 2 9 3" xfId="45214"/>
    <cellStyle name="Comma 6 2 9 3 2" xfId="45215"/>
    <cellStyle name="Comma 6 2 9 4" xfId="45216"/>
    <cellStyle name="Comma 6 2 9 5" xfId="45217"/>
    <cellStyle name="Comma 6 3" xfId="8365"/>
    <cellStyle name="Comma 6 3 10" xfId="45218"/>
    <cellStyle name="Comma 6 3 10 2" xfId="45219"/>
    <cellStyle name="Comma 6 3 10 3" xfId="45220"/>
    <cellStyle name="Comma 6 3 11" xfId="45221"/>
    <cellStyle name="Comma 6 3 11 2" xfId="45222"/>
    <cellStyle name="Comma 6 3 12" xfId="45223"/>
    <cellStyle name="Comma 6 3 13" xfId="45224"/>
    <cellStyle name="Comma 6 3 14" xfId="45225"/>
    <cellStyle name="Comma 6 3 2" xfId="8366"/>
    <cellStyle name="Comma 6 3 2 10" xfId="45226"/>
    <cellStyle name="Comma 6 3 2 10 2" xfId="45227"/>
    <cellStyle name="Comma 6 3 2 11" xfId="45228"/>
    <cellStyle name="Comma 6 3 2 12" xfId="45229"/>
    <cellStyle name="Comma 6 3 2 13" xfId="45230"/>
    <cellStyle name="Comma 6 3 2 2" xfId="8367"/>
    <cellStyle name="Comma 6 3 2 2 10" xfId="45231"/>
    <cellStyle name="Comma 6 3 2 2 11" xfId="45232"/>
    <cellStyle name="Comma 6 3 2 2 2" xfId="8368"/>
    <cellStyle name="Comma 6 3 2 2 2 10" xfId="45233"/>
    <cellStyle name="Comma 6 3 2 2 2 2" xfId="8369"/>
    <cellStyle name="Comma 6 3 2 2 2 2 2" xfId="45234"/>
    <cellStyle name="Comma 6 3 2 2 2 2 2 2" xfId="45235"/>
    <cellStyle name="Comma 6 3 2 2 2 2 2 3" xfId="45236"/>
    <cellStyle name="Comma 6 3 2 2 2 2 3" xfId="45237"/>
    <cellStyle name="Comma 6 3 2 2 2 2 3 2" xfId="45238"/>
    <cellStyle name="Comma 6 3 2 2 2 2 3 3" xfId="45239"/>
    <cellStyle name="Comma 6 3 2 2 2 2 4" xfId="45240"/>
    <cellStyle name="Comma 6 3 2 2 2 2 4 2" xfId="45241"/>
    <cellStyle name="Comma 6 3 2 2 2 2 5" xfId="45242"/>
    <cellStyle name="Comma 6 3 2 2 2 2 6" xfId="45243"/>
    <cellStyle name="Comma 6 3 2 2 2 3" xfId="45244"/>
    <cellStyle name="Comma 6 3 2 2 2 3 2" xfId="45245"/>
    <cellStyle name="Comma 6 3 2 2 2 3 2 2" xfId="45246"/>
    <cellStyle name="Comma 6 3 2 2 2 3 2 3" xfId="45247"/>
    <cellStyle name="Comma 6 3 2 2 2 3 3" xfId="45248"/>
    <cellStyle name="Comma 6 3 2 2 2 3 3 2" xfId="45249"/>
    <cellStyle name="Comma 6 3 2 2 2 3 3 3" xfId="45250"/>
    <cellStyle name="Comma 6 3 2 2 2 3 4" xfId="45251"/>
    <cellStyle name="Comma 6 3 2 2 2 3 4 2" xfId="45252"/>
    <cellStyle name="Comma 6 3 2 2 2 3 5" xfId="45253"/>
    <cellStyle name="Comma 6 3 2 2 2 3 6" xfId="45254"/>
    <cellStyle name="Comma 6 3 2 2 2 4" xfId="45255"/>
    <cellStyle name="Comma 6 3 2 2 2 4 2" xfId="45256"/>
    <cellStyle name="Comma 6 3 2 2 2 4 2 2" xfId="45257"/>
    <cellStyle name="Comma 6 3 2 2 2 4 2 3" xfId="45258"/>
    <cellStyle name="Comma 6 3 2 2 2 4 3" xfId="45259"/>
    <cellStyle name="Comma 6 3 2 2 2 4 3 2" xfId="45260"/>
    <cellStyle name="Comma 6 3 2 2 2 4 4" xfId="45261"/>
    <cellStyle name="Comma 6 3 2 2 2 4 5" xfId="45262"/>
    <cellStyle name="Comma 6 3 2 2 2 5" xfId="45263"/>
    <cellStyle name="Comma 6 3 2 2 2 5 2" xfId="45264"/>
    <cellStyle name="Comma 6 3 2 2 2 5 3" xfId="45265"/>
    <cellStyle name="Comma 6 3 2 2 2 6" xfId="45266"/>
    <cellStyle name="Comma 6 3 2 2 2 6 2" xfId="45267"/>
    <cellStyle name="Comma 6 3 2 2 2 6 3" xfId="45268"/>
    <cellStyle name="Comma 6 3 2 2 2 7" xfId="45269"/>
    <cellStyle name="Comma 6 3 2 2 2 7 2" xfId="45270"/>
    <cellStyle name="Comma 6 3 2 2 2 8" xfId="45271"/>
    <cellStyle name="Comma 6 3 2 2 2 9" xfId="45272"/>
    <cellStyle name="Comma 6 3 2 2 3" xfId="8370"/>
    <cellStyle name="Comma 6 3 2 2 3 2" xfId="45273"/>
    <cellStyle name="Comma 6 3 2 2 3 2 2" xfId="45274"/>
    <cellStyle name="Comma 6 3 2 2 3 2 3" xfId="45275"/>
    <cellStyle name="Comma 6 3 2 2 3 3" xfId="45276"/>
    <cellStyle name="Comma 6 3 2 2 3 3 2" xfId="45277"/>
    <cellStyle name="Comma 6 3 2 2 3 3 3" xfId="45278"/>
    <cellStyle name="Comma 6 3 2 2 3 4" xfId="45279"/>
    <cellStyle name="Comma 6 3 2 2 3 4 2" xfId="45280"/>
    <cellStyle name="Comma 6 3 2 2 3 5" xfId="45281"/>
    <cellStyle name="Comma 6 3 2 2 3 6" xfId="45282"/>
    <cellStyle name="Comma 6 3 2 2 3 7" xfId="45283"/>
    <cellStyle name="Comma 6 3 2 2 4" xfId="45284"/>
    <cellStyle name="Comma 6 3 2 2 4 2" xfId="45285"/>
    <cellStyle name="Comma 6 3 2 2 4 2 2" xfId="45286"/>
    <cellStyle name="Comma 6 3 2 2 4 2 3" xfId="45287"/>
    <cellStyle name="Comma 6 3 2 2 4 3" xfId="45288"/>
    <cellStyle name="Comma 6 3 2 2 4 3 2" xfId="45289"/>
    <cellStyle name="Comma 6 3 2 2 4 3 3" xfId="45290"/>
    <cellStyle name="Comma 6 3 2 2 4 4" xfId="45291"/>
    <cellStyle name="Comma 6 3 2 2 4 4 2" xfId="45292"/>
    <cellStyle name="Comma 6 3 2 2 4 5" xfId="45293"/>
    <cellStyle name="Comma 6 3 2 2 4 6" xfId="45294"/>
    <cellStyle name="Comma 6 3 2 2 5" xfId="45295"/>
    <cellStyle name="Comma 6 3 2 2 5 2" xfId="45296"/>
    <cellStyle name="Comma 6 3 2 2 5 2 2" xfId="45297"/>
    <cellStyle name="Comma 6 3 2 2 5 2 3" xfId="45298"/>
    <cellStyle name="Comma 6 3 2 2 5 3" xfId="45299"/>
    <cellStyle name="Comma 6 3 2 2 5 3 2" xfId="45300"/>
    <cellStyle name="Comma 6 3 2 2 5 4" xfId="45301"/>
    <cellStyle name="Comma 6 3 2 2 5 5" xfId="45302"/>
    <cellStyle name="Comma 6 3 2 2 6" xfId="45303"/>
    <cellStyle name="Comma 6 3 2 2 6 2" xfId="45304"/>
    <cellStyle name="Comma 6 3 2 2 6 3" xfId="45305"/>
    <cellStyle name="Comma 6 3 2 2 7" xfId="45306"/>
    <cellStyle name="Comma 6 3 2 2 7 2" xfId="45307"/>
    <cellStyle name="Comma 6 3 2 2 7 3" xfId="45308"/>
    <cellStyle name="Comma 6 3 2 2 8" xfId="45309"/>
    <cellStyle name="Comma 6 3 2 2 8 2" xfId="45310"/>
    <cellStyle name="Comma 6 3 2 2 9" xfId="45311"/>
    <cellStyle name="Comma 6 3 2 3" xfId="8371"/>
    <cellStyle name="Comma 6 3 2 3 10" xfId="45312"/>
    <cellStyle name="Comma 6 3 2 3 2" xfId="8372"/>
    <cellStyle name="Comma 6 3 2 3 2 2" xfId="45313"/>
    <cellStyle name="Comma 6 3 2 3 2 2 2" xfId="45314"/>
    <cellStyle name="Comma 6 3 2 3 2 2 3" xfId="45315"/>
    <cellStyle name="Comma 6 3 2 3 2 3" xfId="45316"/>
    <cellStyle name="Comma 6 3 2 3 2 3 2" xfId="45317"/>
    <cellStyle name="Comma 6 3 2 3 2 3 3" xfId="45318"/>
    <cellStyle name="Comma 6 3 2 3 2 4" xfId="45319"/>
    <cellStyle name="Comma 6 3 2 3 2 4 2" xfId="45320"/>
    <cellStyle name="Comma 6 3 2 3 2 5" xfId="45321"/>
    <cellStyle name="Comma 6 3 2 3 2 6" xfId="45322"/>
    <cellStyle name="Comma 6 3 2 3 3" xfId="45323"/>
    <cellStyle name="Comma 6 3 2 3 3 2" xfId="45324"/>
    <cellStyle name="Comma 6 3 2 3 3 2 2" xfId="45325"/>
    <cellStyle name="Comma 6 3 2 3 3 2 3" xfId="45326"/>
    <cellStyle name="Comma 6 3 2 3 3 3" xfId="45327"/>
    <cellStyle name="Comma 6 3 2 3 3 3 2" xfId="45328"/>
    <cellStyle name="Comma 6 3 2 3 3 3 3" xfId="45329"/>
    <cellStyle name="Comma 6 3 2 3 3 4" xfId="45330"/>
    <cellStyle name="Comma 6 3 2 3 3 4 2" xfId="45331"/>
    <cellStyle name="Comma 6 3 2 3 3 5" xfId="45332"/>
    <cellStyle name="Comma 6 3 2 3 3 6" xfId="45333"/>
    <cellStyle name="Comma 6 3 2 3 4" xfId="45334"/>
    <cellStyle name="Comma 6 3 2 3 4 2" xfId="45335"/>
    <cellStyle name="Comma 6 3 2 3 4 2 2" xfId="45336"/>
    <cellStyle name="Comma 6 3 2 3 4 2 3" xfId="45337"/>
    <cellStyle name="Comma 6 3 2 3 4 3" xfId="45338"/>
    <cellStyle name="Comma 6 3 2 3 4 3 2" xfId="45339"/>
    <cellStyle name="Comma 6 3 2 3 4 4" xfId="45340"/>
    <cellStyle name="Comma 6 3 2 3 4 5" xfId="45341"/>
    <cellStyle name="Comma 6 3 2 3 5" xfId="45342"/>
    <cellStyle name="Comma 6 3 2 3 5 2" xfId="45343"/>
    <cellStyle name="Comma 6 3 2 3 5 3" xfId="45344"/>
    <cellStyle name="Comma 6 3 2 3 6" xfId="45345"/>
    <cellStyle name="Comma 6 3 2 3 6 2" xfId="45346"/>
    <cellStyle name="Comma 6 3 2 3 6 3" xfId="45347"/>
    <cellStyle name="Comma 6 3 2 3 7" xfId="45348"/>
    <cellStyle name="Comma 6 3 2 3 7 2" xfId="45349"/>
    <cellStyle name="Comma 6 3 2 3 8" xfId="45350"/>
    <cellStyle name="Comma 6 3 2 3 9" xfId="45351"/>
    <cellStyle name="Comma 6 3 2 4" xfId="8373"/>
    <cellStyle name="Comma 6 3 2 4 10" xfId="45352"/>
    <cellStyle name="Comma 6 3 2 4 2" xfId="45353"/>
    <cellStyle name="Comma 6 3 2 4 2 2" xfId="45354"/>
    <cellStyle name="Comma 6 3 2 4 2 2 2" xfId="45355"/>
    <cellStyle name="Comma 6 3 2 4 2 2 3" xfId="45356"/>
    <cellStyle name="Comma 6 3 2 4 2 3" xfId="45357"/>
    <cellStyle name="Comma 6 3 2 4 2 3 2" xfId="45358"/>
    <cellStyle name="Comma 6 3 2 4 2 3 3" xfId="45359"/>
    <cellStyle name="Comma 6 3 2 4 2 4" xfId="45360"/>
    <cellStyle name="Comma 6 3 2 4 2 4 2" xfId="45361"/>
    <cellStyle name="Comma 6 3 2 4 2 5" xfId="45362"/>
    <cellStyle name="Comma 6 3 2 4 2 6" xfId="45363"/>
    <cellStyle name="Comma 6 3 2 4 3" xfId="45364"/>
    <cellStyle name="Comma 6 3 2 4 3 2" xfId="45365"/>
    <cellStyle name="Comma 6 3 2 4 3 2 2" xfId="45366"/>
    <cellStyle name="Comma 6 3 2 4 3 2 3" xfId="45367"/>
    <cellStyle name="Comma 6 3 2 4 3 3" xfId="45368"/>
    <cellStyle name="Comma 6 3 2 4 3 3 2" xfId="45369"/>
    <cellStyle name="Comma 6 3 2 4 3 3 3" xfId="45370"/>
    <cellStyle name="Comma 6 3 2 4 3 4" xfId="45371"/>
    <cellStyle name="Comma 6 3 2 4 3 4 2" xfId="45372"/>
    <cellStyle name="Comma 6 3 2 4 3 5" xfId="45373"/>
    <cellStyle name="Comma 6 3 2 4 3 6" xfId="45374"/>
    <cellStyle name="Comma 6 3 2 4 4" xfId="45375"/>
    <cellStyle name="Comma 6 3 2 4 4 2" xfId="45376"/>
    <cellStyle name="Comma 6 3 2 4 4 2 2" xfId="45377"/>
    <cellStyle name="Comma 6 3 2 4 4 2 3" xfId="45378"/>
    <cellStyle name="Comma 6 3 2 4 4 3" xfId="45379"/>
    <cellStyle name="Comma 6 3 2 4 4 3 2" xfId="45380"/>
    <cellStyle name="Comma 6 3 2 4 4 4" xfId="45381"/>
    <cellStyle name="Comma 6 3 2 4 4 5" xfId="45382"/>
    <cellStyle name="Comma 6 3 2 4 5" xfId="45383"/>
    <cellStyle name="Comma 6 3 2 4 5 2" xfId="45384"/>
    <cellStyle name="Comma 6 3 2 4 5 3" xfId="45385"/>
    <cellStyle name="Comma 6 3 2 4 6" xfId="45386"/>
    <cellStyle name="Comma 6 3 2 4 6 2" xfId="45387"/>
    <cellStyle name="Comma 6 3 2 4 6 3" xfId="45388"/>
    <cellStyle name="Comma 6 3 2 4 7" xfId="45389"/>
    <cellStyle name="Comma 6 3 2 4 7 2" xfId="45390"/>
    <cellStyle name="Comma 6 3 2 4 8" xfId="45391"/>
    <cellStyle name="Comma 6 3 2 4 9" xfId="45392"/>
    <cellStyle name="Comma 6 3 2 5" xfId="45393"/>
    <cellStyle name="Comma 6 3 2 5 2" xfId="45394"/>
    <cellStyle name="Comma 6 3 2 5 2 2" xfId="45395"/>
    <cellStyle name="Comma 6 3 2 5 2 3" xfId="45396"/>
    <cellStyle name="Comma 6 3 2 5 3" xfId="45397"/>
    <cellStyle name="Comma 6 3 2 5 3 2" xfId="45398"/>
    <cellStyle name="Comma 6 3 2 5 3 3" xfId="45399"/>
    <cellStyle name="Comma 6 3 2 5 4" xfId="45400"/>
    <cellStyle name="Comma 6 3 2 5 4 2" xfId="45401"/>
    <cellStyle name="Comma 6 3 2 5 5" xfId="45402"/>
    <cellStyle name="Comma 6 3 2 5 6" xfId="45403"/>
    <cellStyle name="Comma 6 3 2 6" xfId="45404"/>
    <cellStyle name="Comma 6 3 2 6 2" xfId="45405"/>
    <cellStyle name="Comma 6 3 2 6 2 2" xfId="45406"/>
    <cellStyle name="Comma 6 3 2 6 2 3" xfId="45407"/>
    <cellStyle name="Comma 6 3 2 6 3" xfId="45408"/>
    <cellStyle name="Comma 6 3 2 6 3 2" xfId="45409"/>
    <cellStyle name="Comma 6 3 2 6 3 3" xfId="45410"/>
    <cellStyle name="Comma 6 3 2 6 4" xfId="45411"/>
    <cellStyle name="Comma 6 3 2 6 4 2" xfId="45412"/>
    <cellStyle name="Comma 6 3 2 6 5" xfId="45413"/>
    <cellStyle name="Comma 6 3 2 6 6" xfId="45414"/>
    <cellStyle name="Comma 6 3 2 7" xfId="45415"/>
    <cellStyle name="Comma 6 3 2 7 2" xfId="45416"/>
    <cellStyle name="Comma 6 3 2 7 2 2" xfId="45417"/>
    <cellStyle name="Comma 6 3 2 7 2 3" xfId="45418"/>
    <cellStyle name="Comma 6 3 2 7 3" xfId="45419"/>
    <cellStyle name="Comma 6 3 2 7 3 2" xfId="45420"/>
    <cellStyle name="Comma 6 3 2 7 4" xfId="45421"/>
    <cellStyle name="Comma 6 3 2 7 5" xfId="45422"/>
    <cellStyle name="Comma 6 3 2 8" xfId="45423"/>
    <cellStyle name="Comma 6 3 2 8 2" xfId="45424"/>
    <cellStyle name="Comma 6 3 2 8 3" xfId="45425"/>
    <cellStyle name="Comma 6 3 2 9" xfId="45426"/>
    <cellStyle name="Comma 6 3 2 9 2" xfId="45427"/>
    <cellStyle name="Comma 6 3 2 9 3" xfId="45428"/>
    <cellStyle name="Comma 6 3 3" xfId="8374"/>
    <cellStyle name="Comma 6 3 3 10" xfId="45429"/>
    <cellStyle name="Comma 6 3 3 11" xfId="45430"/>
    <cellStyle name="Comma 6 3 3 2" xfId="8375"/>
    <cellStyle name="Comma 6 3 3 2 10" xfId="45431"/>
    <cellStyle name="Comma 6 3 3 2 2" xfId="8376"/>
    <cellStyle name="Comma 6 3 3 2 2 2" xfId="45432"/>
    <cellStyle name="Comma 6 3 3 2 2 2 2" xfId="45433"/>
    <cellStyle name="Comma 6 3 3 2 2 2 3" xfId="45434"/>
    <cellStyle name="Comma 6 3 3 2 2 3" xfId="45435"/>
    <cellStyle name="Comma 6 3 3 2 2 3 2" xfId="45436"/>
    <cellStyle name="Comma 6 3 3 2 2 3 3" xfId="45437"/>
    <cellStyle name="Comma 6 3 3 2 2 4" xfId="45438"/>
    <cellStyle name="Comma 6 3 3 2 2 4 2" xfId="45439"/>
    <cellStyle name="Comma 6 3 3 2 2 5" xfId="45440"/>
    <cellStyle name="Comma 6 3 3 2 2 6" xfId="45441"/>
    <cellStyle name="Comma 6 3 3 2 2 7" xfId="45442"/>
    <cellStyle name="Comma 6 3 3 2 3" xfId="45443"/>
    <cellStyle name="Comma 6 3 3 2 3 2" xfId="45444"/>
    <cellStyle name="Comma 6 3 3 2 3 2 2" xfId="45445"/>
    <cellStyle name="Comma 6 3 3 2 3 2 3" xfId="45446"/>
    <cellStyle name="Comma 6 3 3 2 3 3" xfId="45447"/>
    <cellStyle name="Comma 6 3 3 2 3 3 2" xfId="45448"/>
    <cellStyle name="Comma 6 3 3 2 3 3 3" xfId="45449"/>
    <cellStyle name="Comma 6 3 3 2 3 4" xfId="45450"/>
    <cellStyle name="Comma 6 3 3 2 3 4 2" xfId="45451"/>
    <cellStyle name="Comma 6 3 3 2 3 5" xfId="45452"/>
    <cellStyle name="Comma 6 3 3 2 3 6" xfId="45453"/>
    <cellStyle name="Comma 6 3 3 2 4" xfId="45454"/>
    <cellStyle name="Comma 6 3 3 2 4 2" xfId="45455"/>
    <cellStyle name="Comma 6 3 3 2 4 2 2" xfId="45456"/>
    <cellStyle name="Comma 6 3 3 2 4 2 3" xfId="45457"/>
    <cellStyle name="Comma 6 3 3 2 4 3" xfId="45458"/>
    <cellStyle name="Comma 6 3 3 2 4 3 2" xfId="45459"/>
    <cellStyle name="Comma 6 3 3 2 4 4" xfId="45460"/>
    <cellStyle name="Comma 6 3 3 2 4 5" xfId="45461"/>
    <cellStyle name="Comma 6 3 3 2 5" xfId="45462"/>
    <cellStyle name="Comma 6 3 3 2 5 2" xfId="45463"/>
    <cellStyle name="Comma 6 3 3 2 5 3" xfId="45464"/>
    <cellStyle name="Comma 6 3 3 2 6" xfId="45465"/>
    <cellStyle name="Comma 6 3 3 2 6 2" xfId="45466"/>
    <cellStyle name="Comma 6 3 3 2 6 3" xfId="45467"/>
    <cellStyle name="Comma 6 3 3 2 7" xfId="45468"/>
    <cellStyle name="Comma 6 3 3 2 7 2" xfId="45469"/>
    <cellStyle name="Comma 6 3 3 2 8" xfId="45470"/>
    <cellStyle name="Comma 6 3 3 2 9" xfId="45471"/>
    <cellStyle name="Comma 6 3 3 3" xfId="8377"/>
    <cellStyle name="Comma 6 3 3 3 2" xfId="45472"/>
    <cellStyle name="Comma 6 3 3 3 2 2" xfId="45473"/>
    <cellStyle name="Comma 6 3 3 3 2 3" xfId="45474"/>
    <cellStyle name="Comma 6 3 3 3 3" xfId="45475"/>
    <cellStyle name="Comma 6 3 3 3 3 2" xfId="45476"/>
    <cellStyle name="Comma 6 3 3 3 3 3" xfId="45477"/>
    <cellStyle name="Comma 6 3 3 3 4" xfId="45478"/>
    <cellStyle name="Comma 6 3 3 3 4 2" xfId="45479"/>
    <cellStyle name="Comma 6 3 3 3 5" xfId="45480"/>
    <cellStyle name="Comma 6 3 3 3 6" xfId="45481"/>
    <cellStyle name="Comma 6 3 3 3 7" xfId="45482"/>
    <cellStyle name="Comma 6 3 3 4" xfId="45483"/>
    <cellStyle name="Comma 6 3 3 4 2" xfId="45484"/>
    <cellStyle name="Comma 6 3 3 4 2 2" xfId="45485"/>
    <cellStyle name="Comma 6 3 3 4 2 3" xfId="45486"/>
    <cellStyle name="Comma 6 3 3 4 3" xfId="45487"/>
    <cellStyle name="Comma 6 3 3 4 3 2" xfId="45488"/>
    <cellStyle name="Comma 6 3 3 4 3 3" xfId="45489"/>
    <cellStyle name="Comma 6 3 3 4 4" xfId="45490"/>
    <cellStyle name="Comma 6 3 3 4 4 2" xfId="45491"/>
    <cellStyle name="Comma 6 3 3 4 5" xfId="45492"/>
    <cellStyle name="Comma 6 3 3 4 6" xfId="45493"/>
    <cellStyle name="Comma 6 3 3 5" xfId="45494"/>
    <cellStyle name="Comma 6 3 3 5 2" xfId="45495"/>
    <cellStyle name="Comma 6 3 3 5 2 2" xfId="45496"/>
    <cellStyle name="Comma 6 3 3 5 2 3" xfId="45497"/>
    <cellStyle name="Comma 6 3 3 5 3" xfId="45498"/>
    <cellStyle name="Comma 6 3 3 5 3 2" xfId="45499"/>
    <cellStyle name="Comma 6 3 3 5 4" xfId="45500"/>
    <cellStyle name="Comma 6 3 3 5 5" xfId="45501"/>
    <cellStyle name="Comma 6 3 3 6" xfId="45502"/>
    <cellStyle name="Comma 6 3 3 6 2" xfId="45503"/>
    <cellStyle name="Comma 6 3 3 6 3" xfId="45504"/>
    <cellStyle name="Comma 6 3 3 7" xfId="45505"/>
    <cellStyle name="Comma 6 3 3 7 2" xfId="45506"/>
    <cellStyle name="Comma 6 3 3 7 3" xfId="45507"/>
    <cellStyle name="Comma 6 3 3 8" xfId="45508"/>
    <cellStyle name="Comma 6 3 3 8 2" xfId="45509"/>
    <cellStyle name="Comma 6 3 3 9" xfId="45510"/>
    <cellStyle name="Comma 6 3 4" xfId="8378"/>
    <cellStyle name="Comma 6 3 4 10" xfId="45511"/>
    <cellStyle name="Comma 6 3 4 2" xfId="8379"/>
    <cellStyle name="Comma 6 3 4 2 2" xfId="45512"/>
    <cellStyle name="Comma 6 3 4 2 2 2" xfId="45513"/>
    <cellStyle name="Comma 6 3 4 2 2 3" xfId="45514"/>
    <cellStyle name="Comma 6 3 4 2 3" xfId="45515"/>
    <cellStyle name="Comma 6 3 4 2 3 2" xfId="45516"/>
    <cellStyle name="Comma 6 3 4 2 3 3" xfId="45517"/>
    <cellStyle name="Comma 6 3 4 2 4" xfId="45518"/>
    <cellStyle name="Comma 6 3 4 2 4 2" xfId="45519"/>
    <cellStyle name="Comma 6 3 4 2 5" xfId="45520"/>
    <cellStyle name="Comma 6 3 4 2 6" xfId="45521"/>
    <cellStyle name="Comma 6 3 4 2 7" xfId="45522"/>
    <cellStyle name="Comma 6 3 4 3" xfId="45523"/>
    <cellStyle name="Comma 6 3 4 3 2" xfId="45524"/>
    <cellStyle name="Comma 6 3 4 3 2 2" xfId="45525"/>
    <cellStyle name="Comma 6 3 4 3 2 3" xfId="45526"/>
    <cellStyle name="Comma 6 3 4 3 3" xfId="45527"/>
    <cellStyle name="Comma 6 3 4 3 3 2" xfId="45528"/>
    <cellStyle name="Comma 6 3 4 3 3 3" xfId="45529"/>
    <cellStyle name="Comma 6 3 4 3 4" xfId="45530"/>
    <cellStyle name="Comma 6 3 4 3 4 2" xfId="45531"/>
    <cellStyle name="Comma 6 3 4 3 5" xfId="45532"/>
    <cellStyle name="Comma 6 3 4 3 6" xfId="45533"/>
    <cellStyle name="Comma 6 3 4 4" xfId="45534"/>
    <cellStyle name="Comma 6 3 4 4 2" xfId="45535"/>
    <cellStyle name="Comma 6 3 4 4 2 2" xfId="45536"/>
    <cellStyle name="Comma 6 3 4 4 2 3" xfId="45537"/>
    <cellStyle name="Comma 6 3 4 4 3" xfId="45538"/>
    <cellStyle name="Comma 6 3 4 4 3 2" xfId="45539"/>
    <cellStyle name="Comma 6 3 4 4 4" xfId="45540"/>
    <cellStyle name="Comma 6 3 4 4 5" xfId="45541"/>
    <cellStyle name="Comma 6 3 4 5" xfId="45542"/>
    <cellStyle name="Comma 6 3 4 5 2" xfId="45543"/>
    <cellStyle name="Comma 6 3 4 5 3" xfId="45544"/>
    <cellStyle name="Comma 6 3 4 6" xfId="45545"/>
    <cellStyle name="Comma 6 3 4 6 2" xfId="45546"/>
    <cellStyle name="Comma 6 3 4 6 3" xfId="45547"/>
    <cellStyle name="Comma 6 3 4 7" xfId="45548"/>
    <cellStyle name="Comma 6 3 4 7 2" xfId="45549"/>
    <cellStyle name="Comma 6 3 4 8" xfId="45550"/>
    <cellStyle name="Comma 6 3 4 9" xfId="45551"/>
    <cellStyle name="Comma 6 3 5" xfId="8380"/>
    <cellStyle name="Comma 6 3 5 10" xfId="45552"/>
    <cellStyle name="Comma 6 3 5 2" xfId="8381"/>
    <cellStyle name="Comma 6 3 5 2 2" xfId="45553"/>
    <cellStyle name="Comma 6 3 5 2 2 2" xfId="45554"/>
    <cellStyle name="Comma 6 3 5 2 2 3" xfId="45555"/>
    <cellStyle name="Comma 6 3 5 2 3" xfId="45556"/>
    <cellStyle name="Comma 6 3 5 2 3 2" xfId="45557"/>
    <cellStyle name="Comma 6 3 5 2 3 3" xfId="45558"/>
    <cellStyle name="Comma 6 3 5 2 4" xfId="45559"/>
    <cellStyle name="Comma 6 3 5 2 4 2" xfId="45560"/>
    <cellStyle name="Comma 6 3 5 2 5" xfId="45561"/>
    <cellStyle name="Comma 6 3 5 2 6" xfId="45562"/>
    <cellStyle name="Comma 6 3 5 2 7" xfId="45563"/>
    <cellStyle name="Comma 6 3 5 3" xfId="45564"/>
    <cellStyle name="Comma 6 3 5 3 2" xfId="45565"/>
    <cellStyle name="Comma 6 3 5 3 2 2" xfId="45566"/>
    <cellStyle name="Comma 6 3 5 3 2 3" xfId="45567"/>
    <cellStyle name="Comma 6 3 5 3 3" xfId="45568"/>
    <cellStyle name="Comma 6 3 5 3 3 2" xfId="45569"/>
    <cellStyle name="Comma 6 3 5 3 3 3" xfId="45570"/>
    <cellStyle name="Comma 6 3 5 3 4" xfId="45571"/>
    <cellStyle name="Comma 6 3 5 3 4 2" xfId="45572"/>
    <cellStyle name="Comma 6 3 5 3 5" xfId="45573"/>
    <cellStyle name="Comma 6 3 5 3 6" xfId="45574"/>
    <cellStyle name="Comma 6 3 5 4" xfId="45575"/>
    <cellStyle name="Comma 6 3 5 4 2" xfId="45576"/>
    <cellStyle name="Comma 6 3 5 4 2 2" xfId="45577"/>
    <cellStyle name="Comma 6 3 5 4 2 3" xfId="45578"/>
    <cellStyle name="Comma 6 3 5 4 3" xfId="45579"/>
    <cellStyle name="Comma 6 3 5 4 3 2" xfId="45580"/>
    <cellStyle name="Comma 6 3 5 4 4" xfId="45581"/>
    <cellStyle name="Comma 6 3 5 4 5" xfId="45582"/>
    <cellStyle name="Comma 6 3 5 5" xfId="45583"/>
    <cellStyle name="Comma 6 3 5 5 2" xfId="45584"/>
    <cellStyle name="Comma 6 3 5 5 3" xfId="45585"/>
    <cellStyle name="Comma 6 3 5 6" xfId="45586"/>
    <cellStyle name="Comma 6 3 5 6 2" xfId="45587"/>
    <cellStyle name="Comma 6 3 5 6 3" xfId="45588"/>
    <cellStyle name="Comma 6 3 5 7" xfId="45589"/>
    <cellStyle name="Comma 6 3 5 7 2" xfId="45590"/>
    <cellStyle name="Comma 6 3 5 8" xfId="45591"/>
    <cellStyle name="Comma 6 3 5 9" xfId="45592"/>
    <cellStyle name="Comma 6 3 6" xfId="8382"/>
    <cellStyle name="Comma 6 3 6 2" xfId="45593"/>
    <cellStyle name="Comma 6 3 6 2 2" xfId="45594"/>
    <cellStyle name="Comma 6 3 6 2 3" xfId="45595"/>
    <cellStyle name="Comma 6 3 6 3" xfId="45596"/>
    <cellStyle name="Comma 6 3 6 3 2" xfId="45597"/>
    <cellStyle name="Comma 6 3 6 3 3" xfId="45598"/>
    <cellStyle name="Comma 6 3 6 4" xfId="45599"/>
    <cellStyle name="Comma 6 3 6 4 2" xfId="45600"/>
    <cellStyle name="Comma 6 3 6 5" xfId="45601"/>
    <cellStyle name="Comma 6 3 6 6" xfId="45602"/>
    <cellStyle name="Comma 6 3 6 7" xfId="45603"/>
    <cellStyle name="Comma 6 3 7" xfId="45604"/>
    <cellStyle name="Comma 6 3 7 2" xfId="45605"/>
    <cellStyle name="Comma 6 3 7 2 2" xfId="45606"/>
    <cellStyle name="Comma 6 3 7 2 3" xfId="45607"/>
    <cellStyle name="Comma 6 3 7 3" xfId="45608"/>
    <cellStyle name="Comma 6 3 7 3 2" xfId="45609"/>
    <cellStyle name="Comma 6 3 7 3 3" xfId="45610"/>
    <cellStyle name="Comma 6 3 7 4" xfId="45611"/>
    <cellStyle name="Comma 6 3 7 4 2" xfId="45612"/>
    <cellStyle name="Comma 6 3 7 5" xfId="45613"/>
    <cellStyle name="Comma 6 3 7 6" xfId="45614"/>
    <cellStyle name="Comma 6 3 8" xfId="45615"/>
    <cellStyle name="Comma 6 3 8 2" xfId="45616"/>
    <cellStyle name="Comma 6 3 8 2 2" xfId="45617"/>
    <cellStyle name="Comma 6 3 8 2 3" xfId="45618"/>
    <cellStyle name="Comma 6 3 8 3" xfId="45619"/>
    <cellStyle name="Comma 6 3 8 3 2" xfId="45620"/>
    <cellStyle name="Comma 6 3 8 4" xfId="45621"/>
    <cellStyle name="Comma 6 3 8 5" xfId="45622"/>
    <cellStyle name="Comma 6 3 9" xfId="45623"/>
    <cellStyle name="Comma 6 3 9 2" xfId="45624"/>
    <cellStyle name="Comma 6 3 9 3" xfId="45625"/>
    <cellStyle name="Comma 6 4" xfId="8383"/>
    <cellStyle name="Comma 6 4 10" xfId="45626"/>
    <cellStyle name="Comma 6 4 10 2" xfId="45627"/>
    <cellStyle name="Comma 6 4 11" xfId="45628"/>
    <cellStyle name="Comma 6 4 12" xfId="45629"/>
    <cellStyle name="Comma 6 4 13" xfId="45630"/>
    <cellStyle name="Comma 6 4 2" xfId="8384"/>
    <cellStyle name="Comma 6 4 2 10" xfId="45631"/>
    <cellStyle name="Comma 6 4 2 11" xfId="45632"/>
    <cellStyle name="Comma 6 4 2 2" xfId="8385"/>
    <cellStyle name="Comma 6 4 2 2 10" xfId="45633"/>
    <cellStyle name="Comma 6 4 2 2 2" xfId="8386"/>
    <cellStyle name="Comma 6 4 2 2 2 2" xfId="45634"/>
    <cellStyle name="Comma 6 4 2 2 2 2 2" xfId="45635"/>
    <cellStyle name="Comma 6 4 2 2 2 2 3" xfId="45636"/>
    <cellStyle name="Comma 6 4 2 2 2 3" xfId="45637"/>
    <cellStyle name="Comma 6 4 2 2 2 3 2" xfId="45638"/>
    <cellStyle name="Comma 6 4 2 2 2 3 3" xfId="45639"/>
    <cellStyle name="Comma 6 4 2 2 2 4" xfId="45640"/>
    <cellStyle name="Comma 6 4 2 2 2 4 2" xfId="45641"/>
    <cellStyle name="Comma 6 4 2 2 2 5" xfId="45642"/>
    <cellStyle name="Comma 6 4 2 2 2 6" xfId="45643"/>
    <cellStyle name="Comma 6 4 2 2 3" xfId="45644"/>
    <cellStyle name="Comma 6 4 2 2 3 2" xfId="45645"/>
    <cellStyle name="Comma 6 4 2 2 3 2 2" xfId="45646"/>
    <cellStyle name="Comma 6 4 2 2 3 2 3" xfId="45647"/>
    <cellStyle name="Comma 6 4 2 2 3 3" xfId="45648"/>
    <cellStyle name="Comma 6 4 2 2 3 3 2" xfId="45649"/>
    <cellStyle name="Comma 6 4 2 2 3 3 3" xfId="45650"/>
    <cellStyle name="Comma 6 4 2 2 3 4" xfId="45651"/>
    <cellStyle name="Comma 6 4 2 2 3 4 2" xfId="45652"/>
    <cellStyle name="Comma 6 4 2 2 3 5" xfId="45653"/>
    <cellStyle name="Comma 6 4 2 2 3 6" xfId="45654"/>
    <cellStyle name="Comma 6 4 2 2 4" xfId="45655"/>
    <cellStyle name="Comma 6 4 2 2 4 2" xfId="45656"/>
    <cellStyle name="Comma 6 4 2 2 4 2 2" xfId="45657"/>
    <cellStyle name="Comma 6 4 2 2 4 2 3" xfId="45658"/>
    <cellStyle name="Comma 6 4 2 2 4 3" xfId="45659"/>
    <cellStyle name="Comma 6 4 2 2 4 3 2" xfId="45660"/>
    <cellStyle name="Comma 6 4 2 2 4 4" xfId="45661"/>
    <cellStyle name="Comma 6 4 2 2 4 5" xfId="45662"/>
    <cellStyle name="Comma 6 4 2 2 5" xfId="45663"/>
    <cellStyle name="Comma 6 4 2 2 5 2" xfId="45664"/>
    <cellStyle name="Comma 6 4 2 2 5 3" xfId="45665"/>
    <cellStyle name="Comma 6 4 2 2 6" xfId="45666"/>
    <cellStyle name="Comma 6 4 2 2 6 2" xfId="45667"/>
    <cellStyle name="Comma 6 4 2 2 6 3" xfId="45668"/>
    <cellStyle name="Comma 6 4 2 2 7" xfId="45669"/>
    <cellStyle name="Comma 6 4 2 2 7 2" xfId="45670"/>
    <cellStyle name="Comma 6 4 2 2 8" xfId="45671"/>
    <cellStyle name="Comma 6 4 2 2 9" xfId="45672"/>
    <cellStyle name="Comma 6 4 2 3" xfId="8387"/>
    <cellStyle name="Comma 6 4 2 3 2" xfId="45673"/>
    <cellStyle name="Comma 6 4 2 3 2 2" xfId="45674"/>
    <cellStyle name="Comma 6 4 2 3 2 3" xfId="45675"/>
    <cellStyle name="Comma 6 4 2 3 3" xfId="45676"/>
    <cellStyle name="Comma 6 4 2 3 3 2" xfId="45677"/>
    <cellStyle name="Comma 6 4 2 3 3 3" xfId="45678"/>
    <cellStyle name="Comma 6 4 2 3 4" xfId="45679"/>
    <cellStyle name="Comma 6 4 2 3 4 2" xfId="45680"/>
    <cellStyle name="Comma 6 4 2 3 5" xfId="45681"/>
    <cellStyle name="Comma 6 4 2 3 6" xfId="45682"/>
    <cellStyle name="Comma 6 4 2 3 7" xfId="45683"/>
    <cellStyle name="Comma 6 4 2 4" xfId="45684"/>
    <cellStyle name="Comma 6 4 2 4 2" xfId="45685"/>
    <cellStyle name="Comma 6 4 2 4 2 2" xfId="45686"/>
    <cellStyle name="Comma 6 4 2 4 2 3" xfId="45687"/>
    <cellStyle name="Comma 6 4 2 4 3" xfId="45688"/>
    <cellStyle name="Comma 6 4 2 4 3 2" xfId="45689"/>
    <cellStyle name="Comma 6 4 2 4 3 3" xfId="45690"/>
    <cellStyle name="Comma 6 4 2 4 4" xfId="45691"/>
    <cellStyle name="Comma 6 4 2 4 4 2" xfId="45692"/>
    <cellStyle name="Comma 6 4 2 4 5" xfId="45693"/>
    <cellStyle name="Comma 6 4 2 4 6" xfId="45694"/>
    <cellStyle name="Comma 6 4 2 5" xfId="45695"/>
    <cellStyle name="Comma 6 4 2 5 2" xfId="45696"/>
    <cellStyle name="Comma 6 4 2 5 2 2" xfId="45697"/>
    <cellStyle name="Comma 6 4 2 5 2 3" xfId="45698"/>
    <cellStyle name="Comma 6 4 2 5 3" xfId="45699"/>
    <cellStyle name="Comma 6 4 2 5 3 2" xfId="45700"/>
    <cellStyle name="Comma 6 4 2 5 4" xfId="45701"/>
    <cellStyle name="Comma 6 4 2 5 5" xfId="45702"/>
    <cellStyle name="Comma 6 4 2 6" xfId="45703"/>
    <cellStyle name="Comma 6 4 2 6 2" xfId="45704"/>
    <cellStyle name="Comma 6 4 2 6 3" xfId="45705"/>
    <cellStyle name="Comma 6 4 2 7" xfId="45706"/>
    <cellStyle name="Comma 6 4 2 7 2" xfId="45707"/>
    <cellStyle name="Comma 6 4 2 7 3" xfId="45708"/>
    <cellStyle name="Comma 6 4 2 8" xfId="45709"/>
    <cellStyle name="Comma 6 4 2 8 2" xfId="45710"/>
    <cellStyle name="Comma 6 4 2 9" xfId="45711"/>
    <cellStyle name="Comma 6 4 3" xfId="8388"/>
    <cellStyle name="Comma 6 4 3 10" xfId="45712"/>
    <cellStyle name="Comma 6 4 3 2" xfId="8389"/>
    <cellStyle name="Comma 6 4 3 2 2" xfId="45713"/>
    <cellStyle name="Comma 6 4 3 2 2 2" xfId="45714"/>
    <cellStyle name="Comma 6 4 3 2 2 3" xfId="45715"/>
    <cellStyle name="Comma 6 4 3 2 3" xfId="45716"/>
    <cellStyle name="Comma 6 4 3 2 3 2" xfId="45717"/>
    <cellStyle name="Comma 6 4 3 2 3 3" xfId="45718"/>
    <cellStyle name="Comma 6 4 3 2 4" xfId="45719"/>
    <cellStyle name="Comma 6 4 3 2 4 2" xfId="45720"/>
    <cellStyle name="Comma 6 4 3 2 5" xfId="45721"/>
    <cellStyle name="Comma 6 4 3 2 6" xfId="45722"/>
    <cellStyle name="Comma 6 4 3 3" xfId="45723"/>
    <cellStyle name="Comma 6 4 3 3 2" xfId="45724"/>
    <cellStyle name="Comma 6 4 3 3 2 2" xfId="45725"/>
    <cellStyle name="Comma 6 4 3 3 2 3" xfId="45726"/>
    <cellStyle name="Comma 6 4 3 3 3" xfId="45727"/>
    <cellStyle name="Comma 6 4 3 3 3 2" xfId="45728"/>
    <cellStyle name="Comma 6 4 3 3 3 3" xfId="45729"/>
    <cellStyle name="Comma 6 4 3 3 4" xfId="45730"/>
    <cellStyle name="Comma 6 4 3 3 4 2" xfId="45731"/>
    <cellStyle name="Comma 6 4 3 3 5" xfId="45732"/>
    <cellStyle name="Comma 6 4 3 3 6" xfId="45733"/>
    <cellStyle name="Comma 6 4 3 4" xfId="45734"/>
    <cellStyle name="Comma 6 4 3 4 2" xfId="45735"/>
    <cellStyle name="Comma 6 4 3 4 2 2" xfId="45736"/>
    <cellStyle name="Comma 6 4 3 4 2 3" xfId="45737"/>
    <cellStyle name="Comma 6 4 3 4 3" xfId="45738"/>
    <cellStyle name="Comma 6 4 3 4 3 2" xfId="45739"/>
    <cellStyle name="Comma 6 4 3 4 4" xfId="45740"/>
    <cellStyle name="Comma 6 4 3 4 5" xfId="45741"/>
    <cellStyle name="Comma 6 4 3 5" xfId="45742"/>
    <cellStyle name="Comma 6 4 3 5 2" xfId="45743"/>
    <cellStyle name="Comma 6 4 3 5 3" xfId="45744"/>
    <cellStyle name="Comma 6 4 3 6" xfId="45745"/>
    <cellStyle name="Comma 6 4 3 6 2" xfId="45746"/>
    <cellStyle name="Comma 6 4 3 6 3" xfId="45747"/>
    <cellStyle name="Comma 6 4 3 7" xfId="45748"/>
    <cellStyle name="Comma 6 4 3 7 2" xfId="45749"/>
    <cellStyle name="Comma 6 4 3 8" xfId="45750"/>
    <cellStyle name="Comma 6 4 3 9" xfId="45751"/>
    <cellStyle name="Comma 6 4 4" xfId="8390"/>
    <cellStyle name="Comma 6 4 4 10" xfId="45752"/>
    <cellStyle name="Comma 6 4 4 2" xfId="45753"/>
    <cellStyle name="Comma 6 4 4 2 2" xfId="45754"/>
    <cellStyle name="Comma 6 4 4 2 2 2" xfId="45755"/>
    <cellStyle name="Comma 6 4 4 2 2 3" xfId="45756"/>
    <cellStyle name="Comma 6 4 4 2 3" xfId="45757"/>
    <cellStyle name="Comma 6 4 4 2 3 2" xfId="45758"/>
    <cellStyle name="Comma 6 4 4 2 3 3" xfId="45759"/>
    <cellStyle name="Comma 6 4 4 2 4" xfId="45760"/>
    <cellStyle name="Comma 6 4 4 2 4 2" xfId="45761"/>
    <cellStyle name="Comma 6 4 4 2 5" xfId="45762"/>
    <cellStyle name="Comma 6 4 4 2 6" xfId="45763"/>
    <cellStyle name="Comma 6 4 4 3" xfId="45764"/>
    <cellStyle name="Comma 6 4 4 3 2" xfId="45765"/>
    <cellStyle name="Comma 6 4 4 3 2 2" xfId="45766"/>
    <cellStyle name="Comma 6 4 4 3 2 3" xfId="45767"/>
    <cellStyle name="Comma 6 4 4 3 3" xfId="45768"/>
    <cellStyle name="Comma 6 4 4 3 3 2" xfId="45769"/>
    <cellStyle name="Comma 6 4 4 3 3 3" xfId="45770"/>
    <cellStyle name="Comma 6 4 4 3 4" xfId="45771"/>
    <cellStyle name="Comma 6 4 4 3 4 2" xfId="45772"/>
    <cellStyle name="Comma 6 4 4 3 5" xfId="45773"/>
    <cellStyle name="Comma 6 4 4 3 6" xfId="45774"/>
    <cellStyle name="Comma 6 4 4 4" xfId="45775"/>
    <cellStyle name="Comma 6 4 4 4 2" xfId="45776"/>
    <cellStyle name="Comma 6 4 4 4 2 2" xfId="45777"/>
    <cellStyle name="Comma 6 4 4 4 2 3" xfId="45778"/>
    <cellStyle name="Comma 6 4 4 4 3" xfId="45779"/>
    <cellStyle name="Comma 6 4 4 4 3 2" xfId="45780"/>
    <cellStyle name="Comma 6 4 4 4 4" xfId="45781"/>
    <cellStyle name="Comma 6 4 4 4 5" xfId="45782"/>
    <cellStyle name="Comma 6 4 4 5" xfId="45783"/>
    <cellStyle name="Comma 6 4 4 5 2" xfId="45784"/>
    <cellStyle name="Comma 6 4 4 5 3" xfId="45785"/>
    <cellStyle name="Comma 6 4 4 6" xfId="45786"/>
    <cellStyle name="Comma 6 4 4 6 2" xfId="45787"/>
    <cellStyle name="Comma 6 4 4 6 3" xfId="45788"/>
    <cellStyle name="Comma 6 4 4 7" xfId="45789"/>
    <cellStyle name="Comma 6 4 4 7 2" xfId="45790"/>
    <cellStyle name="Comma 6 4 4 8" xfId="45791"/>
    <cellStyle name="Comma 6 4 4 9" xfId="45792"/>
    <cellStyle name="Comma 6 4 5" xfId="45793"/>
    <cellStyle name="Comma 6 4 5 2" xfId="45794"/>
    <cellStyle name="Comma 6 4 5 2 2" xfId="45795"/>
    <cellStyle name="Comma 6 4 5 2 3" xfId="45796"/>
    <cellStyle name="Comma 6 4 5 3" xfId="45797"/>
    <cellStyle name="Comma 6 4 5 3 2" xfId="45798"/>
    <cellStyle name="Comma 6 4 5 3 3" xfId="45799"/>
    <cellStyle name="Comma 6 4 5 4" xfId="45800"/>
    <cellStyle name="Comma 6 4 5 4 2" xfId="45801"/>
    <cellStyle name="Comma 6 4 5 5" xfId="45802"/>
    <cellStyle name="Comma 6 4 5 6" xfId="45803"/>
    <cellStyle name="Comma 6 4 6" xfId="45804"/>
    <cellStyle name="Comma 6 4 6 2" xfId="45805"/>
    <cellStyle name="Comma 6 4 6 2 2" xfId="45806"/>
    <cellStyle name="Comma 6 4 6 2 3" xfId="45807"/>
    <cellStyle name="Comma 6 4 6 3" xfId="45808"/>
    <cellStyle name="Comma 6 4 6 3 2" xfId="45809"/>
    <cellStyle name="Comma 6 4 6 3 3" xfId="45810"/>
    <cellStyle name="Comma 6 4 6 4" xfId="45811"/>
    <cellStyle name="Comma 6 4 6 4 2" xfId="45812"/>
    <cellStyle name="Comma 6 4 6 5" xfId="45813"/>
    <cellStyle name="Comma 6 4 6 6" xfId="45814"/>
    <cellStyle name="Comma 6 4 7" xfId="45815"/>
    <cellStyle name="Comma 6 4 7 2" xfId="45816"/>
    <cellStyle name="Comma 6 4 7 2 2" xfId="45817"/>
    <cellStyle name="Comma 6 4 7 2 3" xfId="45818"/>
    <cellStyle name="Comma 6 4 7 3" xfId="45819"/>
    <cellStyle name="Comma 6 4 7 3 2" xfId="45820"/>
    <cellStyle name="Comma 6 4 7 4" xfId="45821"/>
    <cellStyle name="Comma 6 4 7 5" xfId="45822"/>
    <cellStyle name="Comma 6 4 8" xfId="45823"/>
    <cellStyle name="Comma 6 4 8 2" xfId="45824"/>
    <cellStyle name="Comma 6 4 8 3" xfId="45825"/>
    <cellStyle name="Comma 6 4 9" xfId="45826"/>
    <cellStyle name="Comma 6 4 9 2" xfId="45827"/>
    <cellStyle name="Comma 6 4 9 3" xfId="45828"/>
    <cellStyle name="Comma 6 5" xfId="8391"/>
    <cellStyle name="Comma 6 5 10" xfId="45829"/>
    <cellStyle name="Comma 6 5 11" xfId="45830"/>
    <cellStyle name="Comma 6 5 2" xfId="8392"/>
    <cellStyle name="Comma 6 5 2 10" xfId="45831"/>
    <cellStyle name="Comma 6 5 2 2" xfId="8393"/>
    <cellStyle name="Comma 6 5 2 2 2" xfId="45832"/>
    <cellStyle name="Comma 6 5 2 2 2 2" xfId="45833"/>
    <cellStyle name="Comma 6 5 2 2 2 3" xfId="45834"/>
    <cellStyle name="Comma 6 5 2 2 3" xfId="45835"/>
    <cellStyle name="Comma 6 5 2 2 3 2" xfId="45836"/>
    <cellStyle name="Comma 6 5 2 2 3 3" xfId="45837"/>
    <cellStyle name="Comma 6 5 2 2 4" xfId="45838"/>
    <cellStyle name="Comma 6 5 2 2 4 2" xfId="45839"/>
    <cellStyle name="Comma 6 5 2 2 5" xfId="45840"/>
    <cellStyle name="Comma 6 5 2 2 6" xfId="45841"/>
    <cellStyle name="Comma 6 5 2 2 7" xfId="45842"/>
    <cellStyle name="Comma 6 5 2 3" xfId="45843"/>
    <cellStyle name="Comma 6 5 2 3 2" xfId="45844"/>
    <cellStyle name="Comma 6 5 2 3 2 2" xfId="45845"/>
    <cellStyle name="Comma 6 5 2 3 2 3" xfId="45846"/>
    <cellStyle name="Comma 6 5 2 3 3" xfId="45847"/>
    <cellStyle name="Comma 6 5 2 3 3 2" xfId="45848"/>
    <cellStyle name="Comma 6 5 2 3 3 3" xfId="45849"/>
    <cellStyle name="Comma 6 5 2 3 4" xfId="45850"/>
    <cellStyle name="Comma 6 5 2 3 4 2" xfId="45851"/>
    <cellStyle name="Comma 6 5 2 3 5" xfId="45852"/>
    <cellStyle name="Comma 6 5 2 3 6" xfId="45853"/>
    <cellStyle name="Comma 6 5 2 4" xfId="45854"/>
    <cellStyle name="Comma 6 5 2 4 2" xfId="45855"/>
    <cellStyle name="Comma 6 5 2 4 2 2" xfId="45856"/>
    <cellStyle name="Comma 6 5 2 4 2 3" xfId="45857"/>
    <cellStyle name="Comma 6 5 2 4 3" xfId="45858"/>
    <cellStyle name="Comma 6 5 2 4 3 2" xfId="45859"/>
    <cellStyle name="Comma 6 5 2 4 4" xfId="45860"/>
    <cellStyle name="Comma 6 5 2 4 5" xfId="45861"/>
    <cellStyle name="Comma 6 5 2 5" xfId="45862"/>
    <cellStyle name="Comma 6 5 2 5 2" xfId="45863"/>
    <cellStyle name="Comma 6 5 2 5 3" xfId="45864"/>
    <cellStyle name="Comma 6 5 2 6" xfId="45865"/>
    <cellStyle name="Comma 6 5 2 6 2" xfId="45866"/>
    <cellStyle name="Comma 6 5 2 6 3" xfId="45867"/>
    <cellStyle name="Comma 6 5 2 7" xfId="45868"/>
    <cellStyle name="Comma 6 5 2 7 2" xfId="45869"/>
    <cellStyle name="Comma 6 5 2 8" xfId="45870"/>
    <cellStyle name="Comma 6 5 2 9" xfId="45871"/>
    <cellStyle name="Comma 6 5 3" xfId="8394"/>
    <cellStyle name="Comma 6 5 3 2" xfId="45872"/>
    <cellStyle name="Comma 6 5 3 2 2" xfId="45873"/>
    <cellStyle name="Comma 6 5 3 2 3" xfId="45874"/>
    <cellStyle name="Comma 6 5 3 3" xfId="45875"/>
    <cellStyle name="Comma 6 5 3 3 2" xfId="45876"/>
    <cellStyle name="Comma 6 5 3 3 3" xfId="45877"/>
    <cellStyle name="Comma 6 5 3 4" xfId="45878"/>
    <cellStyle name="Comma 6 5 3 4 2" xfId="45879"/>
    <cellStyle name="Comma 6 5 3 5" xfId="45880"/>
    <cellStyle name="Comma 6 5 3 6" xfId="45881"/>
    <cellStyle name="Comma 6 5 3 7" xfId="45882"/>
    <cellStyle name="Comma 6 5 4" xfId="45883"/>
    <cellStyle name="Comma 6 5 4 2" xfId="45884"/>
    <cellStyle name="Comma 6 5 4 2 2" xfId="45885"/>
    <cellStyle name="Comma 6 5 4 2 3" xfId="45886"/>
    <cellStyle name="Comma 6 5 4 3" xfId="45887"/>
    <cellStyle name="Comma 6 5 4 3 2" xfId="45888"/>
    <cellStyle name="Comma 6 5 4 3 3" xfId="45889"/>
    <cellStyle name="Comma 6 5 4 4" xfId="45890"/>
    <cellStyle name="Comma 6 5 4 4 2" xfId="45891"/>
    <cellStyle name="Comma 6 5 4 5" xfId="45892"/>
    <cellStyle name="Comma 6 5 4 6" xfId="45893"/>
    <cellStyle name="Comma 6 5 5" xfId="45894"/>
    <cellStyle name="Comma 6 5 5 2" xfId="45895"/>
    <cellStyle name="Comma 6 5 5 2 2" xfId="45896"/>
    <cellStyle name="Comma 6 5 5 2 3" xfId="45897"/>
    <cellStyle name="Comma 6 5 5 3" xfId="45898"/>
    <cellStyle name="Comma 6 5 5 3 2" xfId="45899"/>
    <cellStyle name="Comma 6 5 5 4" xfId="45900"/>
    <cellStyle name="Comma 6 5 5 5" xfId="45901"/>
    <cellStyle name="Comma 6 5 6" xfId="45902"/>
    <cellStyle name="Comma 6 5 6 2" xfId="45903"/>
    <cellStyle name="Comma 6 5 6 3" xfId="45904"/>
    <cellStyle name="Comma 6 5 7" xfId="45905"/>
    <cellStyle name="Comma 6 5 7 2" xfId="45906"/>
    <cellStyle name="Comma 6 5 7 3" xfId="45907"/>
    <cellStyle name="Comma 6 5 8" xfId="45908"/>
    <cellStyle name="Comma 6 5 8 2" xfId="45909"/>
    <cellStyle name="Comma 6 5 9" xfId="45910"/>
    <cellStyle name="Comma 6 6" xfId="8395"/>
    <cellStyle name="Comma 6 6 10" xfId="45911"/>
    <cellStyle name="Comma 6 6 2" xfId="8396"/>
    <cellStyle name="Comma 6 6 2 2" xfId="45912"/>
    <cellStyle name="Comma 6 6 2 2 2" xfId="45913"/>
    <cellStyle name="Comma 6 6 2 2 3" xfId="45914"/>
    <cellStyle name="Comma 6 6 2 3" xfId="45915"/>
    <cellStyle name="Comma 6 6 2 3 2" xfId="45916"/>
    <cellStyle name="Comma 6 6 2 3 3" xfId="45917"/>
    <cellStyle name="Comma 6 6 2 4" xfId="45918"/>
    <cellStyle name="Comma 6 6 2 4 2" xfId="45919"/>
    <cellStyle name="Comma 6 6 2 5" xfId="45920"/>
    <cellStyle name="Comma 6 6 2 6" xfId="45921"/>
    <cellStyle name="Comma 6 6 2 7" xfId="45922"/>
    <cellStyle name="Comma 6 6 3" xfId="45923"/>
    <cellStyle name="Comma 6 6 3 2" xfId="45924"/>
    <cellStyle name="Comma 6 6 3 2 2" xfId="45925"/>
    <cellStyle name="Comma 6 6 3 2 3" xfId="45926"/>
    <cellStyle name="Comma 6 6 3 3" xfId="45927"/>
    <cellStyle name="Comma 6 6 3 3 2" xfId="45928"/>
    <cellStyle name="Comma 6 6 3 3 3" xfId="45929"/>
    <cellStyle name="Comma 6 6 3 4" xfId="45930"/>
    <cellStyle name="Comma 6 6 3 4 2" xfId="45931"/>
    <cellStyle name="Comma 6 6 3 5" xfId="45932"/>
    <cellStyle name="Comma 6 6 3 6" xfId="45933"/>
    <cellStyle name="Comma 6 6 4" xfId="45934"/>
    <cellStyle name="Comma 6 6 4 2" xfId="45935"/>
    <cellStyle name="Comma 6 6 4 2 2" xfId="45936"/>
    <cellStyle name="Comma 6 6 4 2 3" xfId="45937"/>
    <cellStyle name="Comma 6 6 4 3" xfId="45938"/>
    <cellStyle name="Comma 6 6 4 3 2" xfId="45939"/>
    <cellStyle name="Comma 6 6 4 4" xfId="45940"/>
    <cellStyle name="Comma 6 6 4 5" xfId="45941"/>
    <cellStyle name="Comma 6 6 5" xfId="45942"/>
    <cellStyle name="Comma 6 6 5 2" xfId="45943"/>
    <cellStyle name="Comma 6 6 5 3" xfId="45944"/>
    <cellStyle name="Comma 6 6 6" xfId="45945"/>
    <cellStyle name="Comma 6 6 6 2" xfId="45946"/>
    <cellStyle name="Comma 6 6 6 3" xfId="45947"/>
    <cellStyle name="Comma 6 6 7" xfId="45948"/>
    <cellStyle name="Comma 6 6 7 2" xfId="45949"/>
    <cellStyle name="Comma 6 6 8" xfId="45950"/>
    <cellStyle name="Comma 6 6 9" xfId="45951"/>
    <cellStyle name="Comma 6 7" xfId="8397"/>
    <cellStyle name="Comma 6 7 10" xfId="45952"/>
    <cellStyle name="Comma 6 7 2" xfId="8398"/>
    <cellStyle name="Comma 6 7 2 2" xfId="45953"/>
    <cellStyle name="Comma 6 7 2 2 2" xfId="45954"/>
    <cellStyle name="Comma 6 7 2 2 3" xfId="45955"/>
    <cellStyle name="Comma 6 7 2 3" xfId="45956"/>
    <cellStyle name="Comma 6 7 2 3 2" xfId="45957"/>
    <cellStyle name="Comma 6 7 2 3 3" xfId="45958"/>
    <cellStyle name="Comma 6 7 2 4" xfId="45959"/>
    <cellStyle name="Comma 6 7 2 4 2" xfId="45960"/>
    <cellStyle name="Comma 6 7 2 5" xfId="45961"/>
    <cellStyle name="Comma 6 7 2 6" xfId="45962"/>
    <cellStyle name="Comma 6 7 2 7" xfId="45963"/>
    <cellStyle name="Comma 6 7 3" xfId="45964"/>
    <cellStyle name="Comma 6 7 3 2" xfId="45965"/>
    <cellStyle name="Comma 6 7 3 2 2" xfId="45966"/>
    <cellStyle name="Comma 6 7 3 2 3" xfId="45967"/>
    <cellStyle name="Comma 6 7 3 3" xfId="45968"/>
    <cellStyle name="Comma 6 7 3 3 2" xfId="45969"/>
    <cellStyle name="Comma 6 7 3 3 3" xfId="45970"/>
    <cellStyle name="Comma 6 7 3 4" xfId="45971"/>
    <cellStyle name="Comma 6 7 3 4 2" xfId="45972"/>
    <cellStyle name="Comma 6 7 3 5" xfId="45973"/>
    <cellStyle name="Comma 6 7 3 6" xfId="45974"/>
    <cellStyle name="Comma 6 7 4" xfId="45975"/>
    <cellStyle name="Comma 6 7 4 2" xfId="45976"/>
    <cellStyle name="Comma 6 7 4 2 2" xfId="45977"/>
    <cellStyle name="Comma 6 7 4 2 3" xfId="45978"/>
    <cellStyle name="Comma 6 7 4 3" xfId="45979"/>
    <cellStyle name="Comma 6 7 4 3 2" xfId="45980"/>
    <cellStyle name="Comma 6 7 4 4" xfId="45981"/>
    <cellStyle name="Comma 6 7 4 5" xfId="45982"/>
    <cellStyle name="Comma 6 7 5" xfId="45983"/>
    <cellStyle name="Comma 6 7 5 2" xfId="45984"/>
    <cellStyle name="Comma 6 7 5 3" xfId="45985"/>
    <cellStyle name="Comma 6 7 6" xfId="45986"/>
    <cellStyle name="Comma 6 7 6 2" xfId="45987"/>
    <cellStyle name="Comma 6 7 6 3" xfId="45988"/>
    <cellStyle name="Comma 6 7 7" xfId="45989"/>
    <cellStyle name="Comma 6 7 7 2" xfId="45990"/>
    <cellStyle name="Comma 6 7 8" xfId="45991"/>
    <cellStyle name="Comma 6 7 9" xfId="45992"/>
    <cellStyle name="Comma 6 8" xfId="8399"/>
    <cellStyle name="Comma 6 8 2" xfId="45993"/>
    <cellStyle name="Comma 6 8 2 2" xfId="45994"/>
    <cellStyle name="Comma 6 8 2 3" xfId="45995"/>
    <cellStyle name="Comma 6 8 3" xfId="45996"/>
    <cellStyle name="Comma 6 8 3 2" xfId="45997"/>
    <cellStyle name="Comma 6 8 3 3" xfId="45998"/>
    <cellStyle name="Comma 6 8 4" xfId="45999"/>
    <cellStyle name="Comma 6 8 4 2" xfId="46000"/>
    <cellStyle name="Comma 6 8 5" xfId="46001"/>
    <cellStyle name="Comma 6 8 6" xfId="46002"/>
    <cellStyle name="Comma 6 8 7" xfId="46003"/>
    <cellStyle name="Comma 6 9" xfId="46004"/>
    <cellStyle name="Comma 6 9 2" xfId="46005"/>
    <cellStyle name="Comma 6 9 2 2" xfId="46006"/>
    <cellStyle name="Comma 6 9 2 3" xfId="46007"/>
    <cellStyle name="Comma 6 9 3" xfId="46008"/>
    <cellStyle name="Comma 6 9 3 2" xfId="46009"/>
    <cellStyle name="Comma 6 9 3 3" xfId="46010"/>
    <cellStyle name="Comma 6 9 4" xfId="46011"/>
    <cellStyle name="Comma 6 9 4 2" xfId="46012"/>
    <cellStyle name="Comma 6 9 5" xfId="46013"/>
    <cellStyle name="Comma 6 9 6" xfId="46014"/>
    <cellStyle name="Comma 60" xfId="3689"/>
    <cellStyle name="Comma 61" xfId="3690"/>
    <cellStyle name="Comma 62" xfId="3691"/>
    <cellStyle name="Comma 62 2" xfId="3692"/>
    <cellStyle name="Comma 62 2 2" xfId="3693"/>
    <cellStyle name="Comma 62 3" xfId="3694"/>
    <cellStyle name="Comma 63" xfId="3695"/>
    <cellStyle name="Comma 63 2" xfId="3696"/>
    <cellStyle name="Comma 63 2 2" xfId="3697"/>
    <cellStyle name="Comma 63 3" xfId="3698"/>
    <cellStyle name="Comma 64" xfId="3699"/>
    <cellStyle name="Comma 64 2" xfId="3700"/>
    <cellStyle name="Comma 64 2 2" xfId="3701"/>
    <cellStyle name="Comma 64 3" xfId="3702"/>
    <cellStyle name="Comma 65" xfId="3703"/>
    <cellStyle name="Comma 65 2" xfId="3704"/>
    <cellStyle name="Comma 66" xfId="3705"/>
    <cellStyle name="Comma 66 2" xfId="3706"/>
    <cellStyle name="Comma 67" xfId="3707"/>
    <cellStyle name="Comma 68" xfId="3708"/>
    <cellStyle name="Comma 69" xfId="3709"/>
    <cellStyle name="Comma 7" xfId="3710"/>
    <cellStyle name="Comma 7 10" xfId="9132"/>
    <cellStyle name="Comma 7 10 2" xfId="46015"/>
    <cellStyle name="Comma 7 10 2 2" xfId="46016"/>
    <cellStyle name="Comma 7 10 2 3" xfId="46017"/>
    <cellStyle name="Comma 7 10 3" xfId="46018"/>
    <cellStyle name="Comma 7 10 3 2" xfId="46019"/>
    <cellStyle name="Comma 7 10 4" xfId="46020"/>
    <cellStyle name="Comma 7 10 5" xfId="46021"/>
    <cellStyle name="Comma 7 11" xfId="46022"/>
    <cellStyle name="Comma 7 11 2" xfId="46023"/>
    <cellStyle name="Comma 7 11 3" xfId="46024"/>
    <cellStyle name="Comma 7 12" xfId="46025"/>
    <cellStyle name="Comma 7 12 2" xfId="46026"/>
    <cellStyle name="Comma 7 12 3" xfId="46027"/>
    <cellStyle name="Comma 7 13" xfId="46028"/>
    <cellStyle name="Comma 7 13 2" xfId="46029"/>
    <cellStyle name="Comma 7 14" xfId="46030"/>
    <cellStyle name="Comma 7 15" xfId="46031"/>
    <cellStyle name="Comma 7 16" xfId="46032"/>
    <cellStyle name="Comma 7 2" xfId="3711"/>
    <cellStyle name="Comma 7 2 10" xfId="46033"/>
    <cellStyle name="Comma 7 2 10 2" xfId="46034"/>
    <cellStyle name="Comma 7 2 10 3" xfId="46035"/>
    <cellStyle name="Comma 7 2 11" xfId="46036"/>
    <cellStyle name="Comma 7 2 11 2" xfId="46037"/>
    <cellStyle name="Comma 7 2 11 3" xfId="46038"/>
    <cellStyle name="Comma 7 2 12" xfId="46039"/>
    <cellStyle name="Comma 7 2 12 2" xfId="46040"/>
    <cellStyle name="Comma 7 2 13" xfId="46041"/>
    <cellStyle name="Comma 7 2 14" xfId="46042"/>
    <cellStyle name="Comma 7 2 15" xfId="46043"/>
    <cellStyle name="Comma 7 2 2" xfId="3712"/>
    <cellStyle name="Comma 7 2 2 10" xfId="46044"/>
    <cellStyle name="Comma 7 2 2 10 2" xfId="46045"/>
    <cellStyle name="Comma 7 2 2 10 3" xfId="46046"/>
    <cellStyle name="Comma 7 2 2 11" xfId="46047"/>
    <cellStyle name="Comma 7 2 2 11 2" xfId="46048"/>
    <cellStyle name="Comma 7 2 2 12" xfId="46049"/>
    <cellStyle name="Comma 7 2 2 13" xfId="46050"/>
    <cellStyle name="Comma 7 2 2 14" xfId="46051"/>
    <cellStyle name="Comma 7 2 2 2" xfId="3713"/>
    <cellStyle name="Comma 7 2 2 2 10" xfId="46052"/>
    <cellStyle name="Comma 7 2 2 2 10 2" xfId="46053"/>
    <cellStyle name="Comma 7 2 2 2 11" xfId="46054"/>
    <cellStyle name="Comma 7 2 2 2 12" xfId="46055"/>
    <cellStyle name="Comma 7 2 2 2 13" xfId="46056"/>
    <cellStyle name="Comma 7 2 2 2 2" xfId="9133"/>
    <cellStyle name="Comma 7 2 2 2 2 10" xfId="46057"/>
    <cellStyle name="Comma 7 2 2 2 2 2" xfId="46058"/>
    <cellStyle name="Comma 7 2 2 2 2 2 2" xfId="46059"/>
    <cellStyle name="Comma 7 2 2 2 2 2 2 2" xfId="46060"/>
    <cellStyle name="Comma 7 2 2 2 2 2 2 2 2" xfId="46061"/>
    <cellStyle name="Comma 7 2 2 2 2 2 2 2 3" xfId="46062"/>
    <cellStyle name="Comma 7 2 2 2 2 2 2 3" xfId="46063"/>
    <cellStyle name="Comma 7 2 2 2 2 2 2 3 2" xfId="46064"/>
    <cellStyle name="Comma 7 2 2 2 2 2 2 3 3" xfId="46065"/>
    <cellStyle name="Comma 7 2 2 2 2 2 2 4" xfId="46066"/>
    <cellStyle name="Comma 7 2 2 2 2 2 2 4 2" xfId="46067"/>
    <cellStyle name="Comma 7 2 2 2 2 2 2 5" xfId="46068"/>
    <cellStyle name="Comma 7 2 2 2 2 2 2 6" xfId="46069"/>
    <cellStyle name="Comma 7 2 2 2 2 2 3" xfId="46070"/>
    <cellStyle name="Comma 7 2 2 2 2 2 3 2" xfId="46071"/>
    <cellStyle name="Comma 7 2 2 2 2 2 3 2 2" xfId="46072"/>
    <cellStyle name="Comma 7 2 2 2 2 2 3 2 3" xfId="46073"/>
    <cellStyle name="Comma 7 2 2 2 2 2 3 3" xfId="46074"/>
    <cellStyle name="Comma 7 2 2 2 2 2 3 3 2" xfId="46075"/>
    <cellStyle name="Comma 7 2 2 2 2 2 3 3 3" xfId="46076"/>
    <cellStyle name="Comma 7 2 2 2 2 2 3 4" xfId="46077"/>
    <cellStyle name="Comma 7 2 2 2 2 2 3 4 2" xfId="46078"/>
    <cellStyle name="Comma 7 2 2 2 2 2 3 5" xfId="46079"/>
    <cellStyle name="Comma 7 2 2 2 2 2 3 6" xfId="46080"/>
    <cellStyle name="Comma 7 2 2 2 2 2 4" xfId="46081"/>
    <cellStyle name="Comma 7 2 2 2 2 2 4 2" xfId="46082"/>
    <cellStyle name="Comma 7 2 2 2 2 2 4 2 2" xfId="46083"/>
    <cellStyle name="Comma 7 2 2 2 2 2 4 2 3" xfId="46084"/>
    <cellStyle name="Comma 7 2 2 2 2 2 4 3" xfId="46085"/>
    <cellStyle name="Comma 7 2 2 2 2 2 4 3 2" xfId="46086"/>
    <cellStyle name="Comma 7 2 2 2 2 2 4 4" xfId="46087"/>
    <cellStyle name="Comma 7 2 2 2 2 2 4 5" xfId="46088"/>
    <cellStyle name="Comma 7 2 2 2 2 2 5" xfId="46089"/>
    <cellStyle name="Comma 7 2 2 2 2 2 5 2" xfId="46090"/>
    <cellStyle name="Comma 7 2 2 2 2 2 5 3" xfId="46091"/>
    <cellStyle name="Comma 7 2 2 2 2 2 6" xfId="46092"/>
    <cellStyle name="Comma 7 2 2 2 2 2 6 2" xfId="46093"/>
    <cellStyle name="Comma 7 2 2 2 2 2 6 3" xfId="46094"/>
    <cellStyle name="Comma 7 2 2 2 2 2 7" xfId="46095"/>
    <cellStyle name="Comma 7 2 2 2 2 2 7 2" xfId="46096"/>
    <cellStyle name="Comma 7 2 2 2 2 2 8" xfId="46097"/>
    <cellStyle name="Comma 7 2 2 2 2 2 9" xfId="46098"/>
    <cellStyle name="Comma 7 2 2 2 2 3" xfId="46099"/>
    <cellStyle name="Comma 7 2 2 2 2 3 2" xfId="46100"/>
    <cellStyle name="Comma 7 2 2 2 2 3 2 2" xfId="46101"/>
    <cellStyle name="Comma 7 2 2 2 2 3 2 3" xfId="46102"/>
    <cellStyle name="Comma 7 2 2 2 2 3 3" xfId="46103"/>
    <cellStyle name="Comma 7 2 2 2 2 3 3 2" xfId="46104"/>
    <cellStyle name="Comma 7 2 2 2 2 3 3 3" xfId="46105"/>
    <cellStyle name="Comma 7 2 2 2 2 3 4" xfId="46106"/>
    <cellStyle name="Comma 7 2 2 2 2 3 4 2" xfId="46107"/>
    <cellStyle name="Comma 7 2 2 2 2 3 5" xfId="46108"/>
    <cellStyle name="Comma 7 2 2 2 2 3 6" xfId="46109"/>
    <cellStyle name="Comma 7 2 2 2 2 4" xfId="46110"/>
    <cellStyle name="Comma 7 2 2 2 2 4 2" xfId="46111"/>
    <cellStyle name="Comma 7 2 2 2 2 4 2 2" xfId="46112"/>
    <cellStyle name="Comma 7 2 2 2 2 4 2 3" xfId="46113"/>
    <cellStyle name="Comma 7 2 2 2 2 4 3" xfId="46114"/>
    <cellStyle name="Comma 7 2 2 2 2 4 3 2" xfId="46115"/>
    <cellStyle name="Comma 7 2 2 2 2 4 3 3" xfId="46116"/>
    <cellStyle name="Comma 7 2 2 2 2 4 4" xfId="46117"/>
    <cellStyle name="Comma 7 2 2 2 2 4 4 2" xfId="46118"/>
    <cellStyle name="Comma 7 2 2 2 2 4 5" xfId="46119"/>
    <cellStyle name="Comma 7 2 2 2 2 4 6" xfId="46120"/>
    <cellStyle name="Comma 7 2 2 2 2 5" xfId="46121"/>
    <cellStyle name="Comma 7 2 2 2 2 5 2" xfId="46122"/>
    <cellStyle name="Comma 7 2 2 2 2 5 2 2" xfId="46123"/>
    <cellStyle name="Comma 7 2 2 2 2 5 2 3" xfId="46124"/>
    <cellStyle name="Comma 7 2 2 2 2 5 3" xfId="46125"/>
    <cellStyle name="Comma 7 2 2 2 2 5 3 2" xfId="46126"/>
    <cellStyle name="Comma 7 2 2 2 2 5 4" xfId="46127"/>
    <cellStyle name="Comma 7 2 2 2 2 5 5" xfId="46128"/>
    <cellStyle name="Comma 7 2 2 2 2 6" xfId="46129"/>
    <cellStyle name="Comma 7 2 2 2 2 6 2" xfId="46130"/>
    <cellStyle name="Comma 7 2 2 2 2 6 3" xfId="46131"/>
    <cellStyle name="Comma 7 2 2 2 2 7" xfId="46132"/>
    <cellStyle name="Comma 7 2 2 2 2 7 2" xfId="46133"/>
    <cellStyle name="Comma 7 2 2 2 2 7 3" xfId="46134"/>
    <cellStyle name="Comma 7 2 2 2 2 8" xfId="46135"/>
    <cellStyle name="Comma 7 2 2 2 2 8 2" xfId="46136"/>
    <cellStyle name="Comma 7 2 2 2 2 9" xfId="46137"/>
    <cellStyle name="Comma 7 2 2 2 3" xfId="9134"/>
    <cellStyle name="Comma 7 2 2 2 3 2" xfId="46138"/>
    <cellStyle name="Comma 7 2 2 2 3 2 2" xfId="46139"/>
    <cellStyle name="Comma 7 2 2 2 3 2 2 2" xfId="46140"/>
    <cellStyle name="Comma 7 2 2 2 3 2 2 3" xfId="46141"/>
    <cellStyle name="Comma 7 2 2 2 3 2 3" xfId="46142"/>
    <cellStyle name="Comma 7 2 2 2 3 2 3 2" xfId="46143"/>
    <cellStyle name="Comma 7 2 2 2 3 2 3 3" xfId="46144"/>
    <cellStyle name="Comma 7 2 2 2 3 2 4" xfId="46145"/>
    <cellStyle name="Comma 7 2 2 2 3 2 4 2" xfId="46146"/>
    <cellStyle name="Comma 7 2 2 2 3 2 5" xfId="46147"/>
    <cellStyle name="Comma 7 2 2 2 3 2 6" xfId="46148"/>
    <cellStyle name="Comma 7 2 2 2 3 3" xfId="46149"/>
    <cellStyle name="Comma 7 2 2 2 3 3 2" xfId="46150"/>
    <cellStyle name="Comma 7 2 2 2 3 3 2 2" xfId="46151"/>
    <cellStyle name="Comma 7 2 2 2 3 3 2 3" xfId="46152"/>
    <cellStyle name="Comma 7 2 2 2 3 3 3" xfId="46153"/>
    <cellStyle name="Comma 7 2 2 2 3 3 3 2" xfId="46154"/>
    <cellStyle name="Comma 7 2 2 2 3 3 3 3" xfId="46155"/>
    <cellStyle name="Comma 7 2 2 2 3 3 4" xfId="46156"/>
    <cellStyle name="Comma 7 2 2 2 3 3 4 2" xfId="46157"/>
    <cellStyle name="Comma 7 2 2 2 3 3 5" xfId="46158"/>
    <cellStyle name="Comma 7 2 2 2 3 3 6" xfId="46159"/>
    <cellStyle name="Comma 7 2 2 2 3 4" xfId="46160"/>
    <cellStyle name="Comma 7 2 2 2 3 4 2" xfId="46161"/>
    <cellStyle name="Comma 7 2 2 2 3 4 2 2" xfId="46162"/>
    <cellStyle name="Comma 7 2 2 2 3 4 2 3" xfId="46163"/>
    <cellStyle name="Comma 7 2 2 2 3 4 3" xfId="46164"/>
    <cellStyle name="Comma 7 2 2 2 3 4 3 2" xfId="46165"/>
    <cellStyle name="Comma 7 2 2 2 3 4 4" xfId="46166"/>
    <cellStyle name="Comma 7 2 2 2 3 4 5" xfId="46167"/>
    <cellStyle name="Comma 7 2 2 2 3 5" xfId="46168"/>
    <cellStyle name="Comma 7 2 2 2 3 5 2" xfId="46169"/>
    <cellStyle name="Comma 7 2 2 2 3 5 3" xfId="46170"/>
    <cellStyle name="Comma 7 2 2 2 3 6" xfId="46171"/>
    <cellStyle name="Comma 7 2 2 2 3 6 2" xfId="46172"/>
    <cellStyle name="Comma 7 2 2 2 3 6 3" xfId="46173"/>
    <cellStyle name="Comma 7 2 2 2 3 7" xfId="46174"/>
    <cellStyle name="Comma 7 2 2 2 3 7 2" xfId="46175"/>
    <cellStyle name="Comma 7 2 2 2 3 8" xfId="46176"/>
    <cellStyle name="Comma 7 2 2 2 3 9" xfId="46177"/>
    <cellStyle name="Comma 7 2 2 2 4" xfId="46178"/>
    <cellStyle name="Comma 7 2 2 2 4 2" xfId="46179"/>
    <cellStyle name="Comma 7 2 2 2 4 2 2" xfId="46180"/>
    <cellStyle name="Comma 7 2 2 2 4 2 2 2" xfId="46181"/>
    <cellStyle name="Comma 7 2 2 2 4 2 2 3" xfId="46182"/>
    <cellStyle name="Comma 7 2 2 2 4 2 3" xfId="46183"/>
    <cellStyle name="Comma 7 2 2 2 4 2 3 2" xfId="46184"/>
    <cellStyle name="Comma 7 2 2 2 4 2 3 3" xfId="46185"/>
    <cellStyle name="Comma 7 2 2 2 4 2 4" xfId="46186"/>
    <cellStyle name="Comma 7 2 2 2 4 2 4 2" xfId="46187"/>
    <cellStyle name="Comma 7 2 2 2 4 2 5" xfId="46188"/>
    <cellStyle name="Comma 7 2 2 2 4 2 6" xfId="46189"/>
    <cellStyle name="Comma 7 2 2 2 4 3" xfId="46190"/>
    <cellStyle name="Comma 7 2 2 2 4 3 2" xfId="46191"/>
    <cellStyle name="Comma 7 2 2 2 4 3 2 2" xfId="46192"/>
    <cellStyle name="Comma 7 2 2 2 4 3 2 3" xfId="46193"/>
    <cellStyle name="Comma 7 2 2 2 4 3 3" xfId="46194"/>
    <cellStyle name="Comma 7 2 2 2 4 3 3 2" xfId="46195"/>
    <cellStyle name="Comma 7 2 2 2 4 3 3 3" xfId="46196"/>
    <cellStyle name="Comma 7 2 2 2 4 3 4" xfId="46197"/>
    <cellStyle name="Comma 7 2 2 2 4 3 4 2" xfId="46198"/>
    <cellStyle name="Comma 7 2 2 2 4 3 5" xfId="46199"/>
    <cellStyle name="Comma 7 2 2 2 4 3 6" xfId="46200"/>
    <cellStyle name="Comma 7 2 2 2 4 4" xfId="46201"/>
    <cellStyle name="Comma 7 2 2 2 4 4 2" xfId="46202"/>
    <cellStyle name="Comma 7 2 2 2 4 4 2 2" xfId="46203"/>
    <cellStyle name="Comma 7 2 2 2 4 4 2 3" xfId="46204"/>
    <cellStyle name="Comma 7 2 2 2 4 4 3" xfId="46205"/>
    <cellStyle name="Comma 7 2 2 2 4 4 3 2" xfId="46206"/>
    <cellStyle name="Comma 7 2 2 2 4 4 4" xfId="46207"/>
    <cellStyle name="Comma 7 2 2 2 4 4 5" xfId="46208"/>
    <cellStyle name="Comma 7 2 2 2 4 5" xfId="46209"/>
    <cellStyle name="Comma 7 2 2 2 4 5 2" xfId="46210"/>
    <cellStyle name="Comma 7 2 2 2 4 5 3" xfId="46211"/>
    <cellStyle name="Comma 7 2 2 2 4 6" xfId="46212"/>
    <cellStyle name="Comma 7 2 2 2 4 6 2" xfId="46213"/>
    <cellStyle name="Comma 7 2 2 2 4 6 3" xfId="46214"/>
    <cellStyle name="Comma 7 2 2 2 4 7" xfId="46215"/>
    <cellStyle name="Comma 7 2 2 2 4 7 2" xfId="46216"/>
    <cellStyle name="Comma 7 2 2 2 4 8" xfId="46217"/>
    <cellStyle name="Comma 7 2 2 2 4 9" xfId="46218"/>
    <cellStyle name="Comma 7 2 2 2 5" xfId="46219"/>
    <cellStyle name="Comma 7 2 2 2 5 2" xfId="46220"/>
    <cellStyle name="Comma 7 2 2 2 5 2 2" xfId="46221"/>
    <cellStyle name="Comma 7 2 2 2 5 2 3" xfId="46222"/>
    <cellStyle name="Comma 7 2 2 2 5 3" xfId="46223"/>
    <cellStyle name="Comma 7 2 2 2 5 3 2" xfId="46224"/>
    <cellStyle name="Comma 7 2 2 2 5 3 3" xfId="46225"/>
    <cellStyle name="Comma 7 2 2 2 5 4" xfId="46226"/>
    <cellStyle name="Comma 7 2 2 2 5 4 2" xfId="46227"/>
    <cellStyle name="Comma 7 2 2 2 5 5" xfId="46228"/>
    <cellStyle name="Comma 7 2 2 2 5 6" xfId="46229"/>
    <cellStyle name="Comma 7 2 2 2 6" xfId="46230"/>
    <cellStyle name="Comma 7 2 2 2 6 2" xfId="46231"/>
    <cellStyle name="Comma 7 2 2 2 6 2 2" xfId="46232"/>
    <cellStyle name="Comma 7 2 2 2 6 2 3" xfId="46233"/>
    <cellStyle name="Comma 7 2 2 2 6 3" xfId="46234"/>
    <cellStyle name="Comma 7 2 2 2 6 3 2" xfId="46235"/>
    <cellStyle name="Comma 7 2 2 2 6 3 3" xfId="46236"/>
    <cellStyle name="Comma 7 2 2 2 6 4" xfId="46237"/>
    <cellStyle name="Comma 7 2 2 2 6 4 2" xfId="46238"/>
    <cellStyle name="Comma 7 2 2 2 6 5" xfId="46239"/>
    <cellStyle name="Comma 7 2 2 2 6 6" xfId="46240"/>
    <cellStyle name="Comma 7 2 2 2 7" xfId="46241"/>
    <cellStyle name="Comma 7 2 2 2 7 2" xfId="46242"/>
    <cellStyle name="Comma 7 2 2 2 7 2 2" xfId="46243"/>
    <cellStyle name="Comma 7 2 2 2 7 2 3" xfId="46244"/>
    <cellStyle name="Comma 7 2 2 2 7 3" xfId="46245"/>
    <cellStyle name="Comma 7 2 2 2 7 3 2" xfId="46246"/>
    <cellStyle name="Comma 7 2 2 2 7 4" xfId="46247"/>
    <cellStyle name="Comma 7 2 2 2 7 5" xfId="46248"/>
    <cellStyle name="Comma 7 2 2 2 8" xfId="46249"/>
    <cellStyle name="Comma 7 2 2 2 8 2" xfId="46250"/>
    <cellStyle name="Comma 7 2 2 2 8 3" xfId="46251"/>
    <cellStyle name="Comma 7 2 2 2 9" xfId="46252"/>
    <cellStyle name="Comma 7 2 2 2 9 2" xfId="46253"/>
    <cellStyle name="Comma 7 2 2 2 9 3" xfId="46254"/>
    <cellStyle name="Comma 7 2 2 3" xfId="9135"/>
    <cellStyle name="Comma 7 2 2 3 10" xfId="46255"/>
    <cellStyle name="Comma 7 2 2 3 2" xfId="46256"/>
    <cellStyle name="Comma 7 2 2 3 2 2" xfId="46257"/>
    <cellStyle name="Comma 7 2 2 3 2 2 2" xfId="46258"/>
    <cellStyle name="Comma 7 2 2 3 2 2 2 2" xfId="46259"/>
    <cellStyle name="Comma 7 2 2 3 2 2 2 3" xfId="46260"/>
    <cellStyle name="Comma 7 2 2 3 2 2 3" xfId="46261"/>
    <cellStyle name="Comma 7 2 2 3 2 2 3 2" xfId="46262"/>
    <cellStyle name="Comma 7 2 2 3 2 2 3 3" xfId="46263"/>
    <cellStyle name="Comma 7 2 2 3 2 2 4" xfId="46264"/>
    <cellStyle name="Comma 7 2 2 3 2 2 4 2" xfId="46265"/>
    <cellStyle name="Comma 7 2 2 3 2 2 5" xfId="46266"/>
    <cellStyle name="Comma 7 2 2 3 2 2 6" xfId="46267"/>
    <cellStyle name="Comma 7 2 2 3 2 3" xfId="46268"/>
    <cellStyle name="Comma 7 2 2 3 2 3 2" xfId="46269"/>
    <cellStyle name="Comma 7 2 2 3 2 3 2 2" xfId="46270"/>
    <cellStyle name="Comma 7 2 2 3 2 3 2 3" xfId="46271"/>
    <cellStyle name="Comma 7 2 2 3 2 3 3" xfId="46272"/>
    <cellStyle name="Comma 7 2 2 3 2 3 3 2" xfId="46273"/>
    <cellStyle name="Comma 7 2 2 3 2 3 3 3" xfId="46274"/>
    <cellStyle name="Comma 7 2 2 3 2 3 4" xfId="46275"/>
    <cellStyle name="Comma 7 2 2 3 2 3 4 2" xfId="46276"/>
    <cellStyle name="Comma 7 2 2 3 2 3 5" xfId="46277"/>
    <cellStyle name="Comma 7 2 2 3 2 3 6" xfId="46278"/>
    <cellStyle name="Comma 7 2 2 3 2 4" xfId="46279"/>
    <cellStyle name="Comma 7 2 2 3 2 4 2" xfId="46280"/>
    <cellStyle name="Comma 7 2 2 3 2 4 2 2" xfId="46281"/>
    <cellStyle name="Comma 7 2 2 3 2 4 2 3" xfId="46282"/>
    <cellStyle name="Comma 7 2 2 3 2 4 3" xfId="46283"/>
    <cellStyle name="Comma 7 2 2 3 2 4 3 2" xfId="46284"/>
    <cellStyle name="Comma 7 2 2 3 2 4 4" xfId="46285"/>
    <cellStyle name="Comma 7 2 2 3 2 4 5" xfId="46286"/>
    <cellStyle name="Comma 7 2 2 3 2 5" xfId="46287"/>
    <cellStyle name="Comma 7 2 2 3 2 5 2" xfId="46288"/>
    <cellStyle name="Comma 7 2 2 3 2 5 3" xfId="46289"/>
    <cellStyle name="Comma 7 2 2 3 2 6" xfId="46290"/>
    <cellStyle name="Comma 7 2 2 3 2 6 2" xfId="46291"/>
    <cellStyle name="Comma 7 2 2 3 2 6 3" xfId="46292"/>
    <cellStyle name="Comma 7 2 2 3 2 7" xfId="46293"/>
    <cellStyle name="Comma 7 2 2 3 2 7 2" xfId="46294"/>
    <cellStyle name="Comma 7 2 2 3 2 8" xfId="46295"/>
    <cellStyle name="Comma 7 2 2 3 2 9" xfId="46296"/>
    <cellStyle name="Comma 7 2 2 3 3" xfId="46297"/>
    <cellStyle name="Comma 7 2 2 3 3 2" xfId="46298"/>
    <cellStyle name="Comma 7 2 2 3 3 2 2" xfId="46299"/>
    <cellStyle name="Comma 7 2 2 3 3 2 3" xfId="46300"/>
    <cellStyle name="Comma 7 2 2 3 3 3" xfId="46301"/>
    <cellStyle name="Comma 7 2 2 3 3 3 2" xfId="46302"/>
    <cellStyle name="Comma 7 2 2 3 3 3 3" xfId="46303"/>
    <cellStyle name="Comma 7 2 2 3 3 4" xfId="46304"/>
    <cellStyle name="Comma 7 2 2 3 3 4 2" xfId="46305"/>
    <cellStyle name="Comma 7 2 2 3 3 5" xfId="46306"/>
    <cellStyle name="Comma 7 2 2 3 3 6" xfId="46307"/>
    <cellStyle name="Comma 7 2 2 3 4" xfId="46308"/>
    <cellStyle name="Comma 7 2 2 3 4 2" xfId="46309"/>
    <cellStyle name="Comma 7 2 2 3 4 2 2" xfId="46310"/>
    <cellStyle name="Comma 7 2 2 3 4 2 3" xfId="46311"/>
    <cellStyle name="Comma 7 2 2 3 4 3" xfId="46312"/>
    <cellStyle name="Comma 7 2 2 3 4 3 2" xfId="46313"/>
    <cellStyle name="Comma 7 2 2 3 4 3 3" xfId="46314"/>
    <cellStyle name="Comma 7 2 2 3 4 4" xfId="46315"/>
    <cellStyle name="Comma 7 2 2 3 4 4 2" xfId="46316"/>
    <cellStyle name="Comma 7 2 2 3 4 5" xfId="46317"/>
    <cellStyle name="Comma 7 2 2 3 4 6" xfId="46318"/>
    <cellStyle name="Comma 7 2 2 3 5" xfId="46319"/>
    <cellStyle name="Comma 7 2 2 3 5 2" xfId="46320"/>
    <cellStyle name="Comma 7 2 2 3 5 2 2" xfId="46321"/>
    <cellStyle name="Comma 7 2 2 3 5 2 3" xfId="46322"/>
    <cellStyle name="Comma 7 2 2 3 5 3" xfId="46323"/>
    <cellStyle name="Comma 7 2 2 3 5 3 2" xfId="46324"/>
    <cellStyle name="Comma 7 2 2 3 5 4" xfId="46325"/>
    <cellStyle name="Comma 7 2 2 3 5 5" xfId="46326"/>
    <cellStyle name="Comma 7 2 2 3 6" xfId="46327"/>
    <cellStyle name="Comma 7 2 2 3 6 2" xfId="46328"/>
    <cellStyle name="Comma 7 2 2 3 6 3" xfId="46329"/>
    <cellStyle name="Comma 7 2 2 3 7" xfId="46330"/>
    <cellStyle name="Comma 7 2 2 3 7 2" xfId="46331"/>
    <cellStyle name="Comma 7 2 2 3 7 3" xfId="46332"/>
    <cellStyle name="Comma 7 2 2 3 8" xfId="46333"/>
    <cellStyle name="Comma 7 2 2 3 8 2" xfId="46334"/>
    <cellStyle name="Comma 7 2 2 3 9" xfId="46335"/>
    <cellStyle name="Comma 7 2 2 4" xfId="9136"/>
    <cellStyle name="Comma 7 2 2 4 2" xfId="46336"/>
    <cellStyle name="Comma 7 2 2 4 2 2" xfId="46337"/>
    <cellStyle name="Comma 7 2 2 4 2 2 2" xfId="46338"/>
    <cellStyle name="Comma 7 2 2 4 2 2 3" xfId="46339"/>
    <cellStyle name="Comma 7 2 2 4 2 3" xfId="46340"/>
    <cellStyle name="Comma 7 2 2 4 2 3 2" xfId="46341"/>
    <cellStyle name="Comma 7 2 2 4 2 3 3" xfId="46342"/>
    <cellStyle name="Comma 7 2 2 4 2 4" xfId="46343"/>
    <cellStyle name="Comma 7 2 2 4 2 4 2" xfId="46344"/>
    <cellStyle name="Comma 7 2 2 4 2 5" xfId="46345"/>
    <cellStyle name="Comma 7 2 2 4 2 6" xfId="46346"/>
    <cellStyle name="Comma 7 2 2 4 3" xfId="46347"/>
    <cellStyle name="Comma 7 2 2 4 3 2" xfId="46348"/>
    <cellStyle name="Comma 7 2 2 4 3 2 2" xfId="46349"/>
    <cellStyle name="Comma 7 2 2 4 3 2 3" xfId="46350"/>
    <cellStyle name="Comma 7 2 2 4 3 3" xfId="46351"/>
    <cellStyle name="Comma 7 2 2 4 3 3 2" xfId="46352"/>
    <cellStyle name="Comma 7 2 2 4 3 3 3" xfId="46353"/>
    <cellStyle name="Comma 7 2 2 4 3 4" xfId="46354"/>
    <cellStyle name="Comma 7 2 2 4 3 4 2" xfId="46355"/>
    <cellStyle name="Comma 7 2 2 4 3 5" xfId="46356"/>
    <cellStyle name="Comma 7 2 2 4 3 6" xfId="46357"/>
    <cellStyle name="Comma 7 2 2 4 4" xfId="46358"/>
    <cellStyle name="Comma 7 2 2 4 4 2" xfId="46359"/>
    <cellStyle name="Comma 7 2 2 4 4 2 2" xfId="46360"/>
    <cellStyle name="Comma 7 2 2 4 4 2 3" xfId="46361"/>
    <cellStyle name="Comma 7 2 2 4 4 3" xfId="46362"/>
    <cellStyle name="Comma 7 2 2 4 4 3 2" xfId="46363"/>
    <cellStyle name="Comma 7 2 2 4 4 4" xfId="46364"/>
    <cellStyle name="Comma 7 2 2 4 4 5" xfId="46365"/>
    <cellStyle name="Comma 7 2 2 4 5" xfId="46366"/>
    <cellStyle name="Comma 7 2 2 4 5 2" xfId="46367"/>
    <cellStyle name="Comma 7 2 2 4 5 3" xfId="46368"/>
    <cellStyle name="Comma 7 2 2 4 6" xfId="46369"/>
    <cellStyle name="Comma 7 2 2 4 6 2" xfId="46370"/>
    <cellStyle name="Comma 7 2 2 4 6 3" xfId="46371"/>
    <cellStyle name="Comma 7 2 2 4 7" xfId="46372"/>
    <cellStyle name="Comma 7 2 2 4 7 2" xfId="46373"/>
    <cellStyle name="Comma 7 2 2 4 8" xfId="46374"/>
    <cellStyle name="Comma 7 2 2 4 9" xfId="46375"/>
    <cellStyle name="Comma 7 2 2 5" xfId="46376"/>
    <cellStyle name="Comma 7 2 2 5 2" xfId="46377"/>
    <cellStyle name="Comma 7 2 2 5 2 2" xfId="46378"/>
    <cellStyle name="Comma 7 2 2 5 2 2 2" xfId="46379"/>
    <cellStyle name="Comma 7 2 2 5 2 2 3" xfId="46380"/>
    <cellStyle name="Comma 7 2 2 5 2 3" xfId="46381"/>
    <cellStyle name="Comma 7 2 2 5 2 3 2" xfId="46382"/>
    <cellStyle name="Comma 7 2 2 5 2 3 3" xfId="46383"/>
    <cellStyle name="Comma 7 2 2 5 2 4" xfId="46384"/>
    <cellStyle name="Comma 7 2 2 5 2 4 2" xfId="46385"/>
    <cellStyle name="Comma 7 2 2 5 2 5" xfId="46386"/>
    <cellStyle name="Comma 7 2 2 5 2 6" xfId="46387"/>
    <cellStyle name="Comma 7 2 2 5 3" xfId="46388"/>
    <cellStyle name="Comma 7 2 2 5 3 2" xfId="46389"/>
    <cellStyle name="Comma 7 2 2 5 3 2 2" xfId="46390"/>
    <cellStyle name="Comma 7 2 2 5 3 2 3" xfId="46391"/>
    <cellStyle name="Comma 7 2 2 5 3 3" xfId="46392"/>
    <cellStyle name="Comma 7 2 2 5 3 3 2" xfId="46393"/>
    <cellStyle name="Comma 7 2 2 5 3 3 3" xfId="46394"/>
    <cellStyle name="Comma 7 2 2 5 3 4" xfId="46395"/>
    <cellStyle name="Comma 7 2 2 5 3 4 2" xfId="46396"/>
    <cellStyle name="Comma 7 2 2 5 3 5" xfId="46397"/>
    <cellStyle name="Comma 7 2 2 5 3 6" xfId="46398"/>
    <cellStyle name="Comma 7 2 2 5 4" xfId="46399"/>
    <cellStyle name="Comma 7 2 2 5 4 2" xfId="46400"/>
    <cellStyle name="Comma 7 2 2 5 4 2 2" xfId="46401"/>
    <cellStyle name="Comma 7 2 2 5 4 2 3" xfId="46402"/>
    <cellStyle name="Comma 7 2 2 5 4 3" xfId="46403"/>
    <cellStyle name="Comma 7 2 2 5 4 3 2" xfId="46404"/>
    <cellStyle name="Comma 7 2 2 5 4 4" xfId="46405"/>
    <cellStyle name="Comma 7 2 2 5 4 5" xfId="46406"/>
    <cellStyle name="Comma 7 2 2 5 5" xfId="46407"/>
    <cellStyle name="Comma 7 2 2 5 5 2" xfId="46408"/>
    <cellStyle name="Comma 7 2 2 5 5 3" xfId="46409"/>
    <cellStyle name="Comma 7 2 2 5 6" xfId="46410"/>
    <cellStyle name="Comma 7 2 2 5 6 2" xfId="46411"/>
    <cellStyle name="Comma 7 2 2 5 6 3" xfId="46412"/>
    <cellStyle name="Comma 7 2 2 5 7" xfId="46413"/>
    <cellStyle name="Comma 7 2 2 5 7 2" xfId="46414"/>
    <cellStyle name="Comma 7 2 2 5 8" xfId="46415"/>
    <cellStyle name="Comma 7 2 2 5 9" xfId="46416"/>
    <cellStyle name="Comma 7 2 2 6" xfId="46417"/>
    <cellStyle name="Comma 7 2 2 6 2" xfId="46418"/>
    <cellStyle name="Comma 7 2 2 6 2 2" xfId="46419"/>
    <cellStyle name="Comma 7 2 2 6 2 3" xfId="46420"/>
    <cellStyle name="Comma 7 2 2 6 3" xfId="46421"/>
    <cellStyle name="Comma 7 2 2 6 3 2" xfId="46422"/>
    <cellStyle name="Comma 7 2 2 6 3 3" xfId="46423"/>
    <cellStyle name="Comma 7 2 2 6 4" xfId="46424"/>
    <cellStyle name="Comma 7 2 2 6 4 2" xfId="46425"/>
    <cellStyle name="Comma 7 2 2 6 5" xfId="46426"/>
    <cellStyle name="Comma 7 2 2 6 6" xfId="46427"/>
    <cellStyle name="Comma 7 2 2 7" xfId="46428"/>
    <cellStyle name="Comma 7 2 2 7 2" xfId="46429"/>
    <cellStyle name="Comma 7 2 2 7 2 2" xfId="46430"/>
    <cellStyle name="Comma 7 2 2 7 2 3" xfId="46431"/>
    <cellStyle name="Comma 7 2 2 7 3" xfId="46432"/>
    <cellStyle name="Comma 7 2 2 7 3 2" xfId="46433"/>
    <cellStyle name="Comma 7 2 2 7 3 3" xfId="46434"/>
    <cellStyle name="Comma 7 2 2 7 4" xfId="46435"/>
    <cellStyle name="Comma 7 2 2 7 4 2" xfId="46436"/>
    <cellStyle name="Comma 7 2 2 7 5" xfId="46437"/>
    <cellStyle name="Comma 7 2 2 7 6" xfId="46438"/>
    <cellStyle name="Comma 7 2 2 8" xfId="46439"/>
    <cellStyle name="Comma 7 2 2 8 2" xfId="46440"/>
    <cellStyle name="Comma 7 2 2 8 2 2" xfId="46441"/>
    <cellStyle name="Comma 7 2 2 8 2 3" xfId="46442"/>
    <cellStyle name="Comma 7 2 2 8 3" xfId="46443"/>
    <cellStyle name="Comma 7 2 2 8 3 2" xfId="46444"/>
    <cellStyle name="Comma 7 2 2 8 4" xfId="46445"/>
    <cellStyle name="Comma 7 2 2 8 5" xfId="46446"/>
    <cellStyle name="Comma 7 2 2 9" xfId="46447"/>
    <cellStyle name="Comma 7 2 2 9 2" xfId="46448"/>
    <cellStyle name="Comma 7 2 2 9 3" xfId="46449"/>
    <cellStyle name="Comma 7 2 3" xfId="3714"/>
    <cellStyle name="Comma 7 2 3 10" xfId="46450"/>
    <cellStyle name="Comma 7 2 3 10 2" xfId="46451"/>
    <cellStyle name="Comma 7 2 3 11" xfId="46452"/>
    <cellStyle name="Comma 7 2 3 12" xfId="46453"/>
    <cellStyle name="Comma 7 2 3 13" xfId="46454"/>
    <cellStyle name="Comma 7 2 3 2" xfId="9137"/>
    <cellStyle name="Comma 7 2 3 2 10" xfId="46455"/>
    <cellStyle name="Comma 7 2 3 2 2" xfId="46456"/>
    <cellStyle name="Comma 7 2 3 2 2 2" xfId="46457"/>
    <cellStyle name="Comma 7 2 3 2 2 2 2" xfId="46458"/>
    <cellStyle name="Comma 7 2 3 2 2 2 2 2" xfId="46459"/>
    <cellStyle name="Comma 7 2 3 2 2 2 2 3" xfId="46460"/>
    <cellStyle name="Comma 7 2 3 2 2 2 3" xfId="46461"/>
    <cellStyle name="Comma 7 2 3 2 2 2 3 2" xfId="46462"/>
    <cellStyle name="Comma 7 2 3 2 2 2 3 3" xfId="46463"/>
    <cellStyle name="Comma 7 2 3 2 2 2 4" xfId="46464"/>
    <cellStyle name="Comma 7 2 3 2 2 2 4 2" xfId="46465"/>
    <cellStyle name="Comma 7 2 3 2 2 2 5" xfId="46466"/>
    <cellStyle name="Comma 7 2 3 2 2 2 6" xfId="46467"/>
    <cellStyle name="Comma 7 2 3 2 2 3" xfId="46468"/>
    <cellStyle name="Comma 7 2 3 2 2 3 2" xfId="46469"/>
    <cellStyle name="Comma 7 2 3 2 2 3 2 2" xfId="46470"/>
    <cellStyle name="Comma 7 2 3 2 2 3 2 3" xfId="46471"/>
    <cellStyle name="Comma 7 2 3 2 2 3 3" xfId="46472"/>
    <cellStyle name="Comma 7 2 3 2 2 3 3 2" xfId="46473"/>
    <cellStyle name="Comma 7 2 3 2 2 3 3 3" xfId="46474"/>
    <cellStyle name="Comma 7 2 3 2 2 3 4" xfId="46475"/>
    <cellStyle name="Comma 7 2 3 2 2 3 4 2" xfId="46476"/>
    <cellStyle name="Comma 7 2 3 2 2 3 5" xfId="46477"/>
    <cellStyle name="Comma 7 2 3 2 2 3 6" xfId="46478"/>
    <cellStyle name="Comma 7 2 3 2 2 4" xfId="46479"/>
    <cellStyle name="Comma 7 2 3 2 2 4 2" xfId="46480"/>
    <cellStyle name="Comma 7 2 3 2 2 4 2 2" xfId="46481"/>
    <cellStyle name="Comma 7 2 3 2 2 4 2 3" xfId="46482"/>
    <cellStyle name="Comma 7 2 3 2 2 4 3" xfId="46483"/>
    <cellStyle name="Comma 7 2 3 2 2 4 3 2" xfId="46484"/>
    <cellStyle name="Comma 7 2 3 2 2 4 4" xfId="46485"/>
    <cellStyle name="Comma 7 2 3 2 2 4 5" xfId="46486"/>
    <cellStyle name="Comma 7 2 3 2 2 5" xfId="46487"/>
    <cellStyle name="Comma 7 2 3 2 2 5 2" xfId="46488"/>
    <cellStyle name="Comma 7 2 3 2 2 5 3" xfId="46489"/>
    <cellStyle name="Comma 7 2 3 2 2 6" xfId="46490"/>
    <cellStyle name="Comma 7 2 3 2 2 6 2" xfId="46491"/>
    <cellStyle name="Comma 7 2 3 2 2 6 3" xfId="46492"/>
    <cellStyle name="Comma 7 2 3 2 2 7" xfId="46493"/>
    <cellStyle name="Comma 7 2 3 2 2 7 2" xfId="46494"/>
    <cellStyle name="Comma 7 2 3 2 2 8" xfId="46495"/>
    <cellStyle name="Comma 7 2 3 2 2 9" xfId="46496"/>
    <cellStyle name="Comma 7 2 3 2 3" xfId="46497"/>
    <cellStyle name="Comma 7 2 3 2 3 2" xfId="46498"/>
    <cellStyle name="Comma 7 2 3 2 3 2 2" xfId="46499"/>
    <cellStyle name="Comma 7 2 3 2 3 2 3" xfId="46500"/>
    <cellStyle name="Comma 7 2 3 2 3 3" xfId="46501"/>
    <cellStyle name="Comma 7 2 3 2 3 3 2" xfId="46502"/>
    <cellStyle name="Comma 7 2 3 2 3 3 3" xfId="46503"/>
    <cellStyle name="Comma 7 2 3 2 3 4" xfId="46504"/>
    <cellStyle name="Comma 7 2 3 2 3 4 2" xfId="46505"/>
    <cellStyle name="Comma 7 2 3 2 3 5" xfId="46506"/>
    <cellStyle name="Comma 7 2 3 2 3 6" xfId="46507"/>
    <cellStyle name="Comma 7 2 3 2 4" xfId="46508"/>
    <cellStyle name="Comma 7 2 3 2 4 2" xfId="46509"/>
    <cellStyle name="Comma 7 2 3 2 4 2 2" xfId="46510"/>
    <cellStyle name="Comma 7 2 3 2 4 2 3" xfId="46511"/>
    <cellStyle name="Comma 7 2 3 2 4 3" xfId="46512"/>
    <cellStyle name="Comma 7 2 3 2 4 3 2" xfId="46513"/>
    <cellStyle name="Comma 7 2 3 2 4 3 3" xfId="46514"/>
    <cellStyle name="Comma 7 2 3 2 4 4" xfId="46515"/>
    <cellStyle name="Comma 7 2 3 2 4 4 2" xfId="46516"/>
    <cellStyle name="Comma 7 2 3 2 4 5" xfId="46517"/>
    <cellStyle name="Comma 7 2 3 2 4 6" xfId="46518"/>
    <cellStyle name="Comma 7 2 3 2 5" xfId="46519"/>
    <cellStyle name="Comma 7 2 3 2 5 2" xfId="46520"/>
    <cellStyle name="Comma 7 2 3 2 5 2 2" xfId="46521"/>
    <cellStyle name="Comma 7 2 3 2 5 2 3" xfId="46522"/>
    <cellStyle name="Comma 7 2 3 2 5 3" xfId="46523"/>
    <cellStyle name="Comma 7 2 3 2 5 3 2" xfId="46524"/>
    <cellStyle name="Comma 7 2 3 2 5 4" xfId="46525"/>
    <cellStyle name="Comma 7 2 3 2 5 5" xfId="46526"/>
    <cellStyle name="Comma 7 2 3 2 6" xfId="46527"/>
    <cellStyle name="Comma 7 2 3 2 6 2" xfId="46528"/>
    <cellStyle name="Comma 7 2 3 2 6 3" xfId="46529"/>
    <cellStyle name="Comma 7 2 3 2 7" xfId="46530"/>
    <cellStyle name="Comma 7 2 3 2 7 2" xfId="46531"/>
    <cellStyle name="Comma 7 2 3 2 7 3" xfId="46532"/>
    <cellStyle name="Comma 7 2 3 2 8" xfId="46533"/>
    <cellStyle name="Comma 7 2 3 2 8 2" xfId="46534"/>
    <cellStyle name="Comma 7 2 3 2 9" xfId="46535"/>
    <cellStyle name="Comma 7 2 3 3" xfId="9138"/>
    <cellStyle name="Comma 7 2 3 3 2" xfId="46536"/>
    <cellStyle name="Comma 7 2 3 3 2 2" xfId="46537"/>
    <cellStyle name="Comma 7 2 3 3 2 2 2" xfId="46538"/>
    <cellStyle name="Comma 7 2 3 3 2 2 3" xfId="46539"/>
    <cellStyle name="Comma 7 2 3 3 2 3" xfId="46540"/>
    <cellStyle name="Comma 7 2 3 3 2 3 2" xfId="46541"/>
    <cellStyle name="Comma 7 2 3 3 2 3 3" xfId="46542"/>
    <cellStyle name="Comma 7 2 3 3 2 4" xfId="46543"/>
    <cellStyle name="Comma 7 2 3 3 2 4 2" xfId="46544"/>
    <cellStyle name="Comma 7 2 3 3 2 5" xfId="46545"/>
    <cellStyle name="Comma 7 2 3 3 2 6" xfId="46546"/>
    <cellStyle name="Comma 7 2 3 3 3" xfId="46547"/>
    <cellStyle name="Comma 7 2 3 3 3 2" xfId="46548"/>
    <cellStyle name="Comma 7 2 3 3 3 2 2" xfId="46549"/>
    <cellStyle name="Comma 7 2 3 3 3 2 3" xfId="46550"/>
    <cellStyle name="Comma 7 2 3 3 3 3" xfId="46551"/>
    <cellStyle name="Comma 7 2 3 3 3 3 2" xfId="46552"/>
    <cellStyle name="Comma 7 2 3 3 3 3 3" xfId="46553"/>
    <cellStyle name="Comma 7 2 3 3 3 4" xfId="46554"/>
    <cellStyle name="Comma 7 2 3 3 3 4 2" xfId="46555"/>
    <cellStyle name="Comma 7 2 3 3 3 5" xfId="46556"/>
    <cellStyle name="Comma 7 2 3 3 3 6" xfId="46557"/>
    <cellStyle name="Comma 7 2 3 3 4" xfId="46558"/>
    <cellStyle name="Comma 7 2 3 3 4 2" xfId="46559"/>
    <cellStyle name="Comma 7 2 3 3 4 2 2" xfId="46560"/>
    <cellStyle name="Comma 7 2 3 3 4 2 3" xfId="46561"/>
    <cellStyle name="Comma 7 2 3 3 4 3" xfId="46562"/>
    <cellStyle name="Comma 7 2 3 3 4 3 2" xfId="46563"/>
    <cellStyle name="Comma 7 2 3 3 4 4" xfId="46564"/>
    <cellStyle name="Comma 7 2 3 3 4 5" xfId="46565"/>
    <cellStyle name="Comma 7 2 3 3 5" xfId="46566"/>
    <cellStyle name="Comma 7 2 3 3 5 2" xfId="46567"/>
    <cellStyle name="Comma 7 2 3 3 5 3" xfId="46568"/>
    <cellStyle name="Comma 7 2 3 3 6" xfId="46569"/>
    <cellStyle name="Comma 7 2 3 3 6 2" xfId="46570"/>
    <cellStyle name="Comma 7 2 3 3 6 3" xfId="46571"/>
    <cellStyle name="Comma 7 2 3 3 7" xfId="46572"/>
    <cellStyle name="Comma 7 2 3 3 7 2" xfId="46573"/>
    <cellStyle name="Comma 7 2 3 3 8" xfId="46574"/>
    <cellStyle name="Comma 7 2 3 3 9" xfId="46575"/>
    <cellStyle name="Comma 7 2 3 4" xfId="46576"/>
    <cellStyle name="Comma 7 2 3 4 2" xfId="46577"/>
    <cellStyle name="Comma 7 2 3 4 2 2" xfId="46578"/>
    <cellStyle name="Comma 7 2 3 4 2 2 2" xfId="46579"/>
    <cellStyle name="Comma 7 2 3 4 2 2 3" xfId="46580"/>
    <cellStyle name="Comma 7 2 3 4 2 3" xfId="46581"/>
    <cellStyle name="Comma 7 2 3 4 2 3 2" xfId="46582"/>
    <cellStyle name="Comma 7 2 3 4 2 3 3" xfId="46583"/>
    <cellStyle name="Comma 7 2 3 4 2 4" xfId="46584"/>
    <cellStyle name="Comma 7 2 3 4 2 4 2" xfId="46585"/>
    <cellStyle name="Comma 7 2 3 4 2 5" xfId="46586"/>
    <cellStyle name="Comma 7 2 3 4 2 6" xfId="46587"/>
    <cellStyle name="Comma 7 2 3 4 3" xfId="46588"/>
    <cellStyle name="Comma 7 2 3 4 3 2" xfId="46589"/>
    <cellStyle name="Comma 7 2 3 4 3 2 2" xfId="46590"/>
    <cellStyle name="Comma 7 2 3 4 3 2 3" xfId="46591"/>
    <cellStyle name="Comma 7 2 3 4 3 3" xfId="46592"/>
    <cellStyle name="Comma 7 2 3 4 3 3 2" xfId="46593"/>
    <cellStyle name="Comma 7 2 3 4 3 3 3" xfId="46594"/>
    <cellStyle name="Comma 7 2 3 4 3 4" xfId="46595"/>
    <cellStyle name="Comma 7 2 3 4 3 4 2" xfId="46596"/>
    <cellStyle name="Comma 7 2 3 4 3 5" xfId="46597"/>
    <cellStyle name="Comma 7 2 3 4 3 6" xfId="46598"/>
    <cellStyle name="Comma 7 2 3 4 4" xfId="46599"/>
    <cellStyle name="Comma 7 2 3 4 4 2" xfId="46600"/>
    <cellStyle name="Comma 7 2 3 4 4 2 2" xfId="46601"/>
    <cellStyle name="Comma 7 2 3 4 4 2 3" xfId="46602"/>
    <cellStyle name="Comma 7 2 3 4 4 3" xfId="46603"/>
    <cellStyle name="Comma 7 2 3 4 4 3 2" xfId="46604"/>
    <cellStyle name="Comma 7 2 3 4 4 4" xfId="46605"/>
    <cellStyle name="Comma 7 2 3 4 4 5" xfId="46606"/>
    <cellStyle name="Comma 7 2 3 4 5" xfId="46607"/>
    <cellStyle name="Comma 7 2 3 4 5 2" xfId="46608"/>
    <cellStyle name="Comma 7 2 3 4 5 3" xfId="46609"/>
    <cellStyle name="Comma 7 2 3 4 6" xfId="46610"/>
    <cellStyle name="Comma 7 2 3 4 6 2" xfId="46611"/>
    <cellStyle name="Comma 7 2 3 4 6 3" xfId="46612"/>
    <cellStyle name="Comma 7 2 3 4 7" xfId="46613"/>
    <cellStyle name="Comma 7 2 3 4 7 2" xfId="46614"/>
    <cellStyle name="Comma 7 2 3 4 8" xfId="46615"/>
    <cellStyle name="Comma 7 2 3 4 9" xfId="46616"/>
    <cellStyle name="Comma 7 2 3 5" xfId="46617"/>
    <cellStyle name="Comma 7 2 3 5 2" xfId="46618"/>
    <cellStyle name="Comma 7 2 3 5 2 2" xfId="46619"/>
    <cellStyle name="Comma 7 2 3 5 2 3" xfId="46620"/>
    <cellStyle name="Comma 7 2 3 5 3" xfId="46621"/>
    <cellStyle name="Comma 7 2 3 5 3 2" xfId="46622"/>
    <cellStyle name="Comma 7 2 3 5 3 3" xfId="46623"/>
    <cellStyle name="Comma 7 2 3 5 4" xfId="46624"/>
    <cellStyle name="Comma 7 2 3 5 4 2" xfId="46625"/>
    <cellStyle name="Comma 7 2 3 5 5" xfId="46626"/>
    <cellStyle name="Comma 7 2 3 5 6" xfId="46627"/>
    <cellStyle name="Comma 7 2 3 6" xfId="46628"/>
    <cellStyle name="Comma 7 2 3 6 2" xfId="46629"/>
    <cellStyle name="Comma 7 2 3 6 2 2" xfId="46630"/>
    <cellStyle name="Comma 7 2 3 6 2 3" xfId="46631"/>
    <cellStyle name="Comma 7 2 3 6 3" xfId="46632"/>
    <cellStyle name="Comma 7 2 3 6 3 2" xfId="46633"/>
    <cellStyle name="Comma 7 2 3 6 3 3" xfId="46634"/>
    <cellStyle name="Comma 7 2 3 6 4" xfId="46635"/>
    <cellStyle name="Comma 7 2 3 6 4 2" xfId="46636"/>
    <cellStyle name="Comma 7 2 3 6 5" xfId="46637"/>
    <cellStyle name="Comma 7 2 3 6 6" xfId="46638"/>
    <cellStyle name="Comma 7 2 3 7" xfId="46639"/>
    <cellStyle name="Comma 7 2 3 7 2" xfId="46640"/>
    <cellStyle name="Comma 7 2 3 7 2 2" xfId="46641"/>
    <cellStyle name="Comma 7 2 3 7 2 3" xfId="46642"/>
    <cellStyle name="Comma 7 2 3 7 3" xfId="46643"/>
    <cellStyle name="Comma 7 2 3 7 3 2" xfId="46644"/>
    <cellStyle name="Comma 7 2 3 7 4" xfId="46645"/>
    <cellStyle name="Comma 7 2 3 7 5" xfId="46646"/>
    <cellStyle name="Comma 7 2 3 8" xfId="46647"/>
    <cellStyle name="Comma 7 2 3 8 2" xfId="46648"/>
    <cellStyle name="Comma 7 2 3 8 3" xfId="46649"/>
    <cellStyle name="Comma 7 2 3 9" xfId="46650"/>
    <cellStyle name="Comma 7 2 3 9 2" xfId="46651"/>
    <cellStyle name="Comma 7 2 3 9 3" xfId="46652"/>
    <cellStyle name="Comma 7 2 4" xfId="9139"/>
    <cellStyle name="Comma 7 2 4 10" xfId="46653"/>
    <cellStyle name="Comma 7 2 4 2" xfId="46654"/>
    <cellStyle name="Comma 7 2 4 2 2" xfId="46655"/>
    <cellStyle name="Comma 7 2 4 2 2 2" xfId="46656"/>
    <cellStyle name="Comma 7 2 4 2 2 2 2" xfId="46657"/>
    <cellStyle name="Comma 7 2 4 2 2 2 3" xfId="46658"/>
    <cellStyle name="Comma 7 2 4 2 2 3" xfId="46659"/>
    <cellStyle name="Comma 7 2 4 2 2 3 2" xfId="46660"/>
    <cellStyle name="Comma 7 2 4 2 2 3 3" xfId="46661"/>
    <cellStyle name="Comma 7 2 4 2 2 4" xfId="46662"/>
    <cellStyle name="Comma 7 2 4 2 2 4 2" xfId="46663"/>
    <cellStyle name="Comma 7 2 4 2 2 5" xfId="46664"/>
    <cellStyle name="Comma 7 2 4 2 2 6" xfId="46665"/>
    <cellStyle name="Comma 7 2 4 2 3" xfId="46666"/>
    <cellStyle name="Comma 7 2 4 2 3 2" xfId="46667"/>
    <cellStyle name="Comma 7 2 4 2 3 2 2" xfId="46668"/>
    <cellStyle name="Comma 7 2 4 2 3 2 3" xfId="46669"/>
    <cellStyle name="Comma 7 2 4 2 3 3" xfId="46670"/>
    <cellStyle name="Comma 7 2 4 2 3 3 2" xfId="46671"/>
    <cellStyle name="Comma 7 2 4 2 3 3 3" xfId="46672"/>
    <cellStyle name="Comma 7 2 4 2 3 4" xfId="46673"/>
    <cellStyle name="Comma 7 2 4 2 3 4 2" xfId="46674"/>
    <cellStyle name="Comma 7 2 4 2 3 5" xfId="46675"/>
    <cellStyle name="Comma 7 2 4 2 3 6" xfId="46676"/>
    <cellStyle name="Comma 7 2 4 2 4" xfId="46677"/>
    <cellStyle name="Comma 7 2 4 2 4 2" xfId="46678"/>
    <cellStyle name="Comma 7 2 4 2 4 2 2" xfId="46679"/>
    <cellStyle name="Comma 7 2 4 2 4 2 3" xfId="46680"/>
    <cellStyle name="Comma 7 2 4 2 4 3" xfId="46681"/>
    <cellStyle name="Comma 7 2 4 2 4 3 2" xfId="46682"/>
    <cellStyle name="Comma 7 2 4 2 4 4" xfId="46683"/>
    <cellStyle name="Comma 7 2 4 2 4 5" xfId="46684"/>
    <cellStyle name="Comma 7 2 4 2 5" xfId="46685"/>
    <cellStyle name="Comma 7 2 4 2 5 2" xfId="46686"/>
    <cellStyle name="Comma 7 2 4 2 5 3" xfId="46687"/>
    <cellStyle name="Comma 7 2 4 2 6" xfId="46688"/>
    <cellStyle name="Comma 7 2 4 2 6 2" xfId="46689"/>
    <cellStyle name="Comma 7 2 4 2 6 3" xfId="46690"/>
    <cellStyle name="Comma 7 2 4 2 7" xfId="46691"/>
    <cellStyle name="Comma 7 2 4 2 7 2" xfId="46692"/>
    <cellStyle name="Comma 7 2 4 2 8" xfId="46693"/>
    <cellStyle name="Comma 7 2 4 2 9" xfId="46694"/>
    <cellStyle name="Comma 7 2 4 3" xfId="46695"/>
    <cellStyle name="Comma 7 2 4 3 2" xfId="46696"/>
    <cellStyle name="Comma 7 2 4 3 2 2" xfId="46697"/>
    <cellStyle name="Comma 7 2 4 3 2 3" xfId="46698"/>
    <cellStyle name="Comma 7 2 4 3 3" xfId="46699"/>
    <cellStyle name="Comma 7 2 4 3 3 2" xfId="46700"/>
    <cellStyle name="Comma 7 2 4 3 3 3" xfId="46701"/>
    <cellStyle name="Comma 7 2 4 3 4" xfId="46702"/>
    <cellStyle name="Comma 7 2 4 3 4 2" xfId="46703"/>
    <cellStyle name="Comma 7 2 4 3 5" xfId="46704"/>
    <cellStyle name="Comma 7 2 4 3 6" xfId="46705"/>
    <cellStyle name="Comma 7 2 4 4" xfId="46706"/>
    <cellStyle name="Comma 7 2 4 4 2" xfId="46707"/>
    <cellStyle name="Comma 7 2 4 4 2 2" xfId="46708"/>
    <cellStyle name="Comma 7 2 4 4 2 3" xfId="46709"/>
    <cellStyle name="Comma 7 2 4 4 3" xfId="46710"/>
    <cellStyle name="Comma 7 2 4 4 3 2" xfId="46711"/>
    <cellStyle name="Comma 7 2 4 4 3 3" xfId="46712"/>
    <cellStyle name="Comma 7 2 4 4 4" xfId="46713"/>
    <cellStyle name="Comma 7 2 4 4 4 2" xfId="46714"/>
    <cellStyle name="Comma 7 2 4 4 5" xfId="46715"/>
    <cellStyle name="Comma 7 2 4 4 6" xfId="46716"/>
    <cellStyle name="Comma 7 2 4 5" xfId="46717"/>
    <cellStyle name="Comma 7 2 4 5 2" xfId="46718"/>
    <cellStyle name="Comma 7 2 4 5 2 2" xfId="46719"/>
    <cellStyle name="Comma 7 2 4 5 2 3" xfId="46720"/>
    <cellStyle name="Comma 7 2 4 5 3" xfId="46721"/>
    <cellStyle name="Comma 7 2 4 5 3 2" xfId="46722"/>
    <cellStyle name="Comma 7 2 4 5 4" xfId="46723"/>
    <cellStyle name="Comma 7 2 4 5 5" xfId="46724"/>
    <cellStyle name="Comma 7 2 4 6" xfId="46725"/>
    <cellStyle name="Comma 7 2 4 6 2" xfId="46726"/>
    <cellStyle name="Comma 7 2 4 6 3" xfId="46727"/>
    <cellStyle name="Comma 7 2 4 7" xfId="46728"/>
    <cellStyle name="Comma 7 2 4 7 2" xfId="46729"/>
    <cellStyle name="Comma 7 2 4 7 3" xfId="46730"/>
    <cellStyle name="Comma 7 2 4 8" xfId="46731"/>
    <cellStyle name="Comma 7 2 4 8 2" xfId="46732"/>
    <cellStyle name="Comma 7 2 4 9" xfId="46733"/>
    <cellStyle name="Comma 7 2 5" xfId="9140"/>
    <cellStyle name="Comma 7 2 5 2" xfId="46734"/>
    <cellStyle name="Comma 7 2 5 2 2" xfId="46735"/>
    <cellStyle name="Comma 7 2 5 2 2 2" xfId="46736"/>
    <cellStyle name="Comma 7 2 5 2 2 3" xfId="46737"/>
    <cellStyle name="Comma 7 2 5 2 3" xfId="46738"/>
    <cellStyle name="Comma 7 2 5 2 3 2" xfId="46739"/>
    <cellStyle name="Comma 7 2 5 2 3 3" xfId="46740"/>
    <cellStyle name="Comma 7 2 5 2 4" xfId="46741"/>
    <cellStyle name="Comma 7 2 5 2 4 2" xfId="46742"/>
    <cellStyle name="Comma 7 2 5 2 5" xfId="46743"/>
    <cellStyle name="Comma 7 2 5 2 6" xfId="46744"/>
    <cellStyle name="Comma 7 2 5 3" xfId="46745"/>
    <cellStyle name="Comma 7 2 5 3 2" xfId="46746"/>
    <cellStyle name="Comma 7 2 5 3 2 2" xfId="46747"/>
    <cellStyle name="Comma 7 2 5 3 2 3" xfId="46748"/>
    <cellStyle name="Comma 7 2 5 3 3" xfId="46749"/>
    <cellStyle name="Comma 7 2 5 3 3 2" xfId="46750"/>
    <cellStyle name="Comma 7 2 5 3 3 3" xfId="46751"/>
    <cellStyle name="Comma 7 2 5 3 4" xfId="46752"/>
    <cellStyle name="Comma 7 2 5 3 4 2" xfId="46753"/>
    <cellStyle name="Comma 7 2 5 3 5" xfId="46754"/>
    <cellStyle name="Comma 7 2 5 3 6" xfId="46755"/>
    <cellStyle name="Comma 7 2 5 4" xfId="46756"/>
    <cellStyle name="Comma 7 2 5 4 2" xfId="46757"/>
    <cellStyle name="Comma 7 2 5 4 2 2" xfId="46758"/>
    <cellStyle name="Comma 7 2 5 4 2 3" xfId="46759"/>
    <cellStyle name="Comma 7 2 5 4 3" xfId="46760"/>
    <cellStyle name="Comma 7 2 5 4 3 2" xfId="46761"/>
    <cellStyle name="Comma 7 2 5 4 4" xfId="46762"/>
    <cellStyle name="Comma 7 2 5 4 5" xfId="46763"/>
    <cellStyle name="Comma 7 2 5 5" xfId="46764"/>
    <cellStyle name="Comma 7 2 5 5 2" xfId="46765"/>
    <cellStyle name="Comma 7 2 5 5 3" xfId="46766"/>
    <cellStyle name="Comma 7 2 5 6" xfId="46767"/>
    <cellStyle name="Comma 7 2 5 6 2" xfId="46768"/>
    <cellStyle name="Comma 7 2 5 6 3" xfId="46769"/>
    <cellStyle name="Comma 7 2 5 7" xfId="46770"/>
    <cellStyle name="Comma 7 2 5 7 2" xfId="46771"/>
    <cellStyle name="Comma 7 2 5 8" xfId="46772"/>
    <cellStyle name="Comma 7 2 5 9" xfId="46773"/>
    <cellStyle name="Comma 7 2 6" xfId="46774"/>
    <cellStyle name="Comma 7 2 6 2" xfId="46775"/>
    <cellStyle name="Comma 7 2 6 2 2" xfId="46776"/>
    <cellStyle name="Comma 7 2 6 2 2 2" xfId="46777"/>
    <cellStyle name="Comma 7 2 6 2 2 3" xfId="46778"/>
    <cellStyle name="Comma 7 2 6 2 3" xfId="46779"/>
    <cellStyle name="Comma 7 2 6 2 3 2" xfId="46780"/>
    <cellStyle name="Comma 7 2 6 2 3 3" xfId="46781"/>
    <cellStyle name="Comma 7 2 6 2 4" xfId="46782"/>
    <cellStyle name="Comma 7 2 6 2 4 2" xfId="46783"/>
    <cellStyle name="Comma 7 2 6 2 5" xfId="46784"/>
    <cellStyle name="Comma 7 2 6 2 6" xfId="46785"/>
    <cellStyle name="Comma 7 2 6 3" xfId="46786"/>
    <cellStyle name="Comma 7 2 6 3 2" xfId="46787"/>
    <cellStyle name="Comma 7 2 6 3 2 2" xfId="46788"/>
    <cellStyle name="Comma 7 2 6 3 2 3" xfId="46789"/>
    <cellStyle name="Comma 7 2 6 3 3" xfId="46790"/>
    <cellStyle name="Comma 7 2 6 3 3 2" xfId="46791"/>
    <cellStyle name="Comma 7 2 6 3 3 3" xfId="46792"/>
    <cellStyle name="Comma 7 2 6 3 4" xfId="46793"/>
    <cellStyle name="Comma 7 2 6 3 4 2" xfId="46794"/>
    <cellStyle name="Comma 7 2 6 3 5" xfId="46795"/>
    <cellStyle name="Comma 7 2 6 3 6" xfId="46796"/>
    <cellStyle name="Comma 7 2 6 4" xfId="46797"/>
    <cellStyle name="Comma 7 2 6 4 2" xfId="46798"/>
    <cellStyle name="Comma 7 2 6 4 2 2" xfId="46799"/>
    <cellStyle name="Comma 7 2 6 4 2 3" xfId="46800"/>
    <cellStyle name="Comma 7 2 6 4 3" xfId="46801"/>
    <cellStyle name="Comma 7 2 6 4 3 2" xfId="46802"/>
    <cellStyle name="Comma 7 2 6 4 4" xfId="46803"/>
    <cellStyle name="Comma 7 2 6 4 5" xfId="46804"/>
    <cellStyle name="Comma 7 2 6 5" xfId="46805"/>
    <cellStyle name="Comma 7 2 6 5 2" xfId="46806"/>
    <cellStyle name="Comma 7 2 6 5 3" xfId="46807"/>
    <cellStyle name="Comma 7 2 6 6" xfId="46808"/>
    <cellStyle name="Comma 7 2 6 6 2" xfId="46809"/>
    <cellStyle name="Comma 7 2 6 6 3" xfId="46810"/>
    <cellStyle name="Comma 7 2 6 7" xfId="46811"/>
    <cellStyle name="Comma 7 2 6 7 2" xfId="46812"/>
    <cellStyle name="Comma 7 2 6 8" xfId="46813"/>
    <cellStyle name="Comma 7 2 6 9" xfId="46814"/>
    <cellStyle name="Comma 7 2 7" xfId="46815"/>
    <cellStyle name="Comma 7 2 7 2" xfId="46816"/>
    <cellStyle name="Comma 7 2 7 2 2" xfId="46817"/>
    <cellStyle name="Comma 7 2 7 2 3" xfId="46818"/>
    <cellStyle name="Comma 7 2 7 3" xfId="46819"/>
    <cellStyle name="Comma 7 2 7 3 2" xfId="46820"/>
    <cellStyle name="Comma 7 2 7 3 3" xfId="46821"/>
    <cellStyle name="Comma 7 2 7 4" xfId="46822"/>
    <cellStyle name="Comma 7 2 7 4 2" xfId="46823"/>
    <cellStyle name="Comma 7 2 7 5" xfId="46824"/>
    <cellStyle name="Comma 7 2 7 6" xfId="46825"/>
    <cellStyle name="Comma 7 2 8" xfId="46826"/>
    <cellStyle name="Comma 7 2 8 2" xfId="46827"/>
    <cellStyle name="Comma 7 2 8 2 2" xfId="46828"/>
    <cellStyle name="Comma 7 2 8 2 3" xfId="46829"/>
    <cellStyle name="Comma 7 2 8 3" xfId="46830"/>
    <cellStyle name="Comma 7 2 8 3 2" xfId="46831"/>
    <cellStyle name="Comma 7 2 8 3 3" xfId="46832"/>
    <cellStyle name="Comma 7 2 8 4" xfId="46833"/>
    <cellStyle name="Comma 7 2 8 4 2" xfId="46834"/>
    <cellStyle name="Comma 7 2 8 5" xfId="46835"/>
    <cellStyle name="Comma 7 2 8 6" xfId="46836"/>
    <cellStyle name="Comma 7 2 9" xfId="46837"/>
    <cellStyle name="Comma 7 2 9 2" xfId="46838"/>
    <cellStyle name="Comma 7 2 9 2 2" xfId="46839"/>
    <cellStyle name="Comma 7 2 9 2 3" xfId="46840"/>
    <cellStyle name="Comma 7 2 9 3" xfId="46841"/>
    <cellStyle name="Comma 7 2 9 3 2" xfId="46842"/>
    <cellStyle name="Comma 7 2 9 4" xfId="46843"/>
    <cellStyle name="Comma 7 2 9 5" xfId="46844"/>
    <cellStyle name="Comma 7 3" xfId="3715"/>
    <cellStyle name="Comma 7 3 10" xfId="46845"/>
    <cellStyle name="Comma 7 3 10 2" xfId="46846"/>
    <cellStyle name="Comma 7 3 10 3" xfId="46847"/>
    <cellStyle name="Comma 7 3 11" xfId="46848"/>
    <cellStyle name="Comma 7 3 11 2" xfId="46849"/>
    <cellStyle name="Comma 7 3 12" xfId="46850"/>
    <cellStyle name="Comma 7 3 13" xfId="46851"/>
    <cellStyle name="Comma 7 3 14" xfId="46852"/>
    <cellStyle name="Comma 7 3 2" xfId="3716"/>
    <cellStyle name="Comma 7 3 2 10" xfId="46853"/>
    <cellStyle name="Comma 7 3 2 10 2" xfId="46854"/>
    <cellStyle name="Comma 7 3 2 11" xfId="46855"/>
    <cellStyle name="Comma 7 3 2 12" xfId="46856"/>
    <cellStyle name="Comma 7 3 2 2" xfId="8783"/>
    <cellStyle name="Comma 7 3 2 2 10" xfId="46857"/>
    <cellStyle name="Comma 7 3 2 2 2" xfId="9141"/>
    <cellStyle name="Comma 7 3 2 2 2 2" xfId="46858"/>
    <cellStyle name="Comma 7 3 2 2 2 2 2" xfId="46859"/>
    <cellStyle name="Comma 7 3 2 2 2 2 2 2" xfId="46860"/>
    <cellStyle name="Comma 7 3 2 2 2 2 2 3" xfId="46861"/>
    <cellStyle name="Comma 7 3 2 2 2 2 3" xfId="46862"/>
    <cellStyle name="Comma 7 3 2 2 2 2 3 2" xfId="46863"/>
    <cellStyle name="Comma 7 3 2 2 2 2 3 3" xfId="46864"/>
    <cellStyle name="Comma 7 3 2 2 2 2 4" xfId="46865"/>
    <cellStyle name="Comma 7 3 2 2 2 2 4 2" xfId="46866"/>
    <cellStyle name="Comma 7 3 2 2 2 2 5" xfId="46867"/>
    <cellStyle name="Comma 7 3 2 2 2 2 6" xfId="46868"/>
    <cellStyle name="Comma 7 3 2 2 2 3" xfId="46869"/>
    <cellStyle name="Comma 7 3 2 2 2 3 2" xfId="46870"/>
    <cellStyle name="Comma 7 3 2 2 2 3 2 2" xfId="46871"/>
    <cellStyle name="Comma 7 3 2 2 2 3 2 3" xfId="46872"/>
    <cellStyle name="Comma 7 3 2 2 2 3 3" xfId="46873"/>
    <cellStyle name="Comma 7 3 2 2 2 3 3 2" xfId="46874"/>
    <cellStyle name="Comma 7 3 2 2 2 3 3 3" xfId="46875"/>
    <cellStyle name="Comma 7 3 2 2 2 3 4" xfId="46876"/>
    <cellStyle name="Comma 7 3 2 2 2 3 4 2" xfId="46877"/>
    <cellStyle name="Comma 7 3 2 2 2 3 5" xfId="46878"/>
    <cellStyle name="Comma 7 3 2 2 2 3 6" xfId="46879"/>
    <cellStyle name="Comma 7 3 2 2 2 4" xfId="46880"/>
    <cellStyle name="Comma 7 3 2 2 2 4 2" xfId="46881"/>
    <cellStyle name="Comma 7 3 2 2 2 4 2 2" xfId="46882"/>
    <cellStyle name="Comma 7 3 2 2 2 4 2 3" xfId="46883"/>
    <cellStyle name="Comma 7 3 2 2 2 4 3" xfId="46884"/>
    <cellStyle name="Comma 7 3 2 2 2 4 3 2" xfId="46885"/>
    <cellStyle name="Comma 7 3 2 2 2 4 4" xfId="46886"/>
    <cellStyle name="Comma 7 3 2 2 2 4 5" xfId="46887"/>
    <cellStyle name="Comma 7 3 2 2 2 5" xfId="46888"/>
    <cellStyle name="Comma 7 3 2 2 2 5 2" xfId="46889"/>
    <cellStyle name="Comma 7 3 2 2 2 5 3" xfId="46890"/>
    <cellStyle name="Comma 7 3 2 2 2 6" xfId="46891"/>
    <cellStyle name="Comma 7 3 2 2 2 6 2" xfId="46892"/>
    <cellStyle name="Comma 7 3 2 2 2 6 3" xfId="46893"/>
    <cellStyle name="Comma 7 3 2 2 2 7" xfId="46894"/>
    <cellStyle name="Comma 7 3 2 2 2 7 2" xfId="46895"/>
    <cellStyle name="Comma 7 3 2 2 2 8" xfId="46896"/>
    <cellStyle name="Comma 7 3 2 2 2 9" xfId="46897"/>
    <cellStyle name="Comma 7 3 2 2 3" xfId="46898"/>
    <cellStyle name="Comma 7 3 2 2 3 2" xfId="46899"/>
    <cellStyle name="Comma 7 3 2 2 3 2 2" xfId="46900"/>
    <cellStyle name="Comma 7 3 2 2 3 2 3" xfId="46901"/>
    <cellStyle name="Comma 7 3 2 2 3 3" xfId="46902"/>
    <cellStyle name="Comma 7 3 2 2 3 3 2" xfId="46903"/>
    <cellStyle name="Comma 7 3 2 2 3 3 3" xfId="46904"/>
    <cellStyle name="Comma 7 3 2 2 3 4" xfId="46905"/>
    <cellStyle name="Comma 7 3 2 2 3 4 2" xfId="46906"/>
    <cellStyle name="Comma 7 3 2 2 3 5" xfId="46907"/>
    <cellStyle name="Comma 7 3 2 2 3 6" xfId="46908"/>
    <cellStyle name="Comma 7 3 2 2 4" xfId="46909"/>
    <cellStyle name="Comma 7 3 2 2 4 2" xfId="46910"/>
    <cellStyle name="Comma 7 3 2 2 4 2 2" xfId="46911"/>
    <cellStyle name="Comma 7 3 2 2 4 2 3" xfId="46912"/>
    <cellStyle name="Comma 7 3 2 2 4 3" xfId="46913"/>
    <cellStyle name="Comma 7 3 2 2 4 3 2" xfId="46914"/>
    <cellStyle name="Comma 7 3 2 2 4 3 3" xfId="46915"/>
    <cellStyle name="Comma 7 3 2 2 4 4" xfId="46916"/>
    <cellStyle name="Comma 7 3 2 2 4 4 2" xfId="46917"/>
    <cellStyle name="Comma 7 3 2 2 4 5" xfId="46918"/>
    <cellStyle name="Comma 7 3 2 2 4 6" xfId="46919"/>
    <cellStyle name="Comma 7 3 2 2 5" xfId="46920"/>
    <cellStyle name="Comma 7 3 2 2 5 2" xfId="46921"/>
    <cellStyle name="Comma 7 3 2 2 5 2 2" xfId="46922"/>
    <cellStyle name="Comma 7 3 2 2 5 2 3" xfId="46923"/>
    <cellStyle name="Comma 7 3 2 2 5 3" xfId="46924"/>
    <cellStyle name="Comma 7 3 2 2 5 3 2" xfId="46925"/>
    <cellStyle name="Comma 7 3 2 2 5 4" xfId="46926"/>
    <cellStyle name="Comma 7 3 2 2 5 5" xfId="46927"/>
    <cellStyle name="Comma 7 3 2 2 6" xfId="46928"/>
    <cellStyle name="Comma 7 3 2 2 6 2" xfId="46929"/>
    <cellStyle name="Comma 7 3 2 2 6 3" xfId="46930"/>
    <cellStyle name="Comma 7 3 2 2 7" xfId="46931"/>
    <cellStyle name="Comma 7 3 2 2 7 2" xfId="46932"/>
    <cellStyle name="Comma 7 3 2 2 7 3" xfId="46933"/>
    <cellStyle name="Comma 7 3 2 2 8" xfId="46934"/>
    <cellStyle name="Comma 7 3 2 2 8 2" xfId="46935"/>
    <cellStyle name="Comma 7 3 2 2 9" xfId="46936"/>
    <cellStyle name="Comma 7 3 2 3" xfId="9142"/>
    <cellStyle name="Comma 7 3 2 3 2" xfId="46937"/>
    <cellStyle name="Comma 7 3 2 3 2 2" xfId="46938"/>
    <cellStyle name="Comma 7 3 2 3 2 2 2" xfId="46939"/>
    <cellStyle name="Comma 7 3 2 3 2 2 3" xfId="46940"/>
    <cellStyle name="Comma 7 3 2 3 2 3" xfId="46941"/>
    <cellStyle name="Comma 7 3 2 3 2 3 2" xfId="46942"/>
    <cellStyle name="Comma 7 3 2 3 2 3 3" xfId="46943"/>
    <cellStyle name="Comma 7 3 2 3 2 4" xfId="46944"/>
    <cellStyle name="Comma 7 3 2 3 2 4 2" xfId="46945"/>
    <cellStyle name="Comma 7 3 2 3 2 5" xfId="46946"/>
    <cellStyle name="Comma 7 3 2 3 2 6" xfId="46947"/>
    <cellStyle name="Comma 7 3 2 3 3" xfId="46948"/>
    <cellStyle name="Comma 7 3 2 3 3 2" xfId="46949"/>
    <cellStyle name="Comma 7 3 2 3 3 2 2" xfId="46950"/>
    <cellStyle name="Comma 7 3 2 3 3 2 3" xfId="46951"/>
    <cellStyle name="Comma 7 3 2 3 3 3" xfId="46952"/>
    <cellStyle name="Comma 7 3 2 3 3 3 2" xfId="46953"/>
    <cellStyle name="Comma 7 3 2 3 3 3 3" xfId="46954"/>
    <cellStyle name="Comma 7 3 2 3 3 4" xfId="46955"/>
    <cellStyle name="Comma 7 3 2 3 3 4 2" xfId="46956"/>
    <cellStyle name="Comma 7 3 2 3 3 5" xfId="46957"/>
    <cellStyle name="Comma 7 3 2 3 3 6" xfId="46958"/>
    <cellStyle name="Comma 7 3 2 3 4" xfId="46959"/>
    <cellStyle name="Comma 7 3 2 3 4 2" xfId="46960"/>
    <cellStyle name="Comma 7 3 2 3 4 2 2" xfId="46961"/>
    <cellStyle name="Comma 7 3 2 3 4 2 3" xfId="46962"/>
    <cellStyle name="Comma 7 3 2 3 4 3" xfId="46963"/>
    <cellStyle name="Comma 7 3 2 3 4 3 2" xfId="46964"/>
    <cellStyle name="Comma 7 3 2 3 4 4" xfId="46965"/>
    <cellStyle name="Comma 7 3 2 3 4 5" xfId="46966"/>
    <cellStyle name="Comma 7 3 2 3 5" xfId="46967"/>
    <cellStyle name="Comma 7 3 2 3 5 2" xfId="46968"/>
    <cellStyle name="Comma 7 3 2 3 5 3" xfId="46969"/>
    <cellStyle name="Comma 7 3 2 3 6" xfId="46970"/>
    <cellStyle name="Comma 7 3 2 3 6 2" xfId="46971"/>
    <cellStyle name="Comma 7 3 2 3 6 3" xfId="46972"/>
    <cellStyle name="Comma 7 3 2 3 7" xfId="46973"/>
    <cellStyle name="Comma 7 3 2 3 7 2" xfId="46974"/>
    <cellStyle name="Comma 7 3 2 3 8" xfId="46975"/>
    <cellStyle name="Comma 7 3 2 3 9" xfId="46976"/>
    <cellStyle name="Comma 7 3 2 4" xfId="9143"/>
    <cellStyle name="Comma 7 3 2 4 2" xfId="46977"/>
    <cellStyle name="Comma 7 3 2 4 2 2" xfId="46978"/>
    <cellStyle name="Comma 7 3 2 4 2 2 2" xfId="46979"/>
    <cellStyle name="Comma 7 3 2 4 2 2 3" xfId="46980"/>
    <cellStyle name="Comma 7 3 2 4 2 3" xfId="46981"/>
    <cellStyle name="Comma 7 3 2 4 2 3 2" xfId="46982"/>
    <cellStyle name="Comma 7 3 2 4 2 3 3" xfId="46983"/>
    <cellStyle name="Comma 7 3 2 4 2 4" xfId="46984"/>
    <cellStyle name="Comma 7 3 2 4 2 4 2" xfId="46985"/>
    <cellStyle name="Comma 7 3 2 4 2 5" xfId="46986"/>
    <cellStyle name="Comma 7 3 2 4 2 6" xfId="46987"/>
    <cellStyle name="Comma 7 3 2 4 3" xfId="46988"/>
    <cellStyle name="Comma 7 3 2 4 3 2" xfId="46989"/>
    <cellStyle name="Comma 7 3 2 4 3 2 2" xfId="46990"/>
    <cellStyle name="Comma 7 3 2 4 3 2 3" xfId="46991"/>
    <cellStyle name="Comma 7 3 2 4 3 3" xfId="46992"/>
    <cellStyle name="Comma 7 3 2 4 3 3 2" xfId="46993"/>
    <cellStyle name="Comma 7 3 2 4 3 3 3" xfId="46994"/>
    <cellStyle name="Comma 7 3 2 4 3 4" xfId="46995"/>
    <cellStyle name="Comma 7 3 2 4 3 4 2" xfId="46996"/>
    <cellStyle name="Comma 7 3 2 4 3 5" xfId="46997"/>
    <cellStyle name="Comma 7 3 2 4 3 6" xfId="46998"/>
    <cellStyle name="Comma 7 3 2 4 4" xfId="46999"/>
    <cellStyle name="Comma 7 3 2 4 4 2" xfId="47000"/>
    <cellStyle name="Comma 7 3 2 4 4 2 2" xfId="47001"/>
    <cellStyle name="Comma 7 3 2 4 4 2 3" xfId="47002"/>
    <cellStyle name="Comma 7 3 2 4 4 3" xfId="47003"/>
    <cellStyle name="Comma 7 3 2 4 4 3 2" xfId="47004"/>
    <cellStyle name="Comma 7 3 2 4 4 4" xfId="47005"/>
    <cellStyle name="Comma 7 3 2 4 4 5" xfId="47006"/>
    <cellStyle name="Comma 7 3 2 4 5" xfId="47007"/>
    <cellStyle name="Comma 7 3 2 4 5 2" xfId="47008"/>
    <cellStyle name="Comma 7 3 2 4 5 3" xfId="47009"/>
    <cellStyle name="Comma 7 3 2 4 6" xfId="47010"/>
    <cellStyle name="Comma 7 3 2 4 6 2" xfId="47011"/>
    <cellStyle name="Comma 7 3 2 4 6 3" xfId="47012"/>
    <cellStyle name="Comma 7 3 2 4 7" xfId="47013"/>
    <cellStyle name="Comma 7 3 2 4 7 2" xfId="47014"/>
    <cellStyle name="Comma 7 3 2 4 8" xfId="47015"/>
    <cellStyle name="Comma 7 3 2 4 9" xfId="47016"/>
    <cellStyle name="Comma 7 3 2 5" xfId="47017"/>
    <cellStyle name="Comma 7 3 2 5 2" xfId="47018"/>
    <cellStyle name="Comma 7 3 2 5 2 2" xfId="47019"/>
    <cellStyle name="Comma 7 3 2 5 2 3" xfId="47020"/>
    <cellStyle name="Comma 7 3 2 5 3" xfId="47021"/>
    <cellStyle name="Comma 7 3 2 5 3 2" xfId="47022"/>
    <cellStyle name="Comma 7 3 2 5 3 3" xfId="47023"/>
    <cellStyle name="Comma 7 3 2 5 4" xfId="47024"/>
    <cellStyle name="Comma 7 3 2 5 4 2" xfId="47025"/>
    <cellStyle name="Comma 7 3 2 5 5" xfId="47026"/>
    <cellStyle name="Comma 7 3 2 5 6" xfId="47027"/>
    <cellStyle name="Comma 7 3 2 6" xfId="47028"/>
    <cellStyle name="Comma 7 3 2 6 2" xfId="47029"/>
    <cellStyle name="Comma 7 3 2 6 2 2" xfId="47030"/>
    <cellStyle name="Comma 7 3 2 6 2 3" xfId="47031"/>
    <cellStyle name="Comma 7 3 2 6 3" xfId="47032"/>
    <cellStyle name="Comma 7 3 2 6 3 2" xfId="47033"/>
    <cellStyle name="Comma 7 3 2 6 3 3" xfId="47034"/>
    <cellStyle name="Comma 7 3 2 6 4" xfId="47035"/>
    <cellStyle name="Comma 7 3 2 6 4 2" xfId="47036"/>
    <cellStyle name="Comma 7 3 2 6 5" xfId="47037"/>
    <cellStyle name="Comma 7 3 2 6 6" xfId="47038"/>
    <cellStyle name="Comma 7 3 2 7" xfId="47039"/>
    <cellStyle name="Comma 7 3 2 7 2" xfId="47040"/>
    <cellStyle name="Comma 7 3 2 7 2 2" xfId="47041"/>
    <cellStyle name="Comma 7 3 2 7 2 3" xfId="47042"/>
    <cellStyle name="Comma 7 3 2 7 3" xfId="47043"/>
    <cellStyle name="Comma 7 3 2 7 3 2" xfId="47044"/>
    <cellStyle name="Comma 7 3 2 7 4" xfId="47045"/>
    <cellStyle name="Comma 7 3 2 7 5" xfId="47046"/>
    <cellStyle name="Comma 7 3 2 8" xfId="47047"/>
    <cellStyle name="Comma 7 3 2 8 2" xfId="47048"/>
    <cellStyle name="Comma 7 3 2 8 3" xfId="47049"/>
    <cellStyle name="Comma 7 3 2 9" xfId="47050"/>
    <cellStyle name="Comma 7 3 2 9 2" xfId="47051"/>
    <cellStyle name="Comma 7 3 2 9 3" xfId="47052"/>
    <cellStyle name="Comma 7 3 3" xfId="8784"/>
    <cellStyle name="Comma 7 3 3 10" xfId="47053"/>
    <cellStyle name="Comma 7 3 3 2" xfId="9144"/>
    <cellStyle name="Comma 7 3 3 2 2" xfId="47054"/>
    <cellStyle name="Comma 7 3 3 2 2 2" xfId="47055"/>
    <cellStyle name="Comma 7 3 3 2 2 2 2" xfId="47056"/>
    <cellStyle name="Comma 7 3 3 2 2 2 3" xfId="47057"/>
    <cellStyle name="Comma 7 3 3 2 2 3" xfId="47058"/>
    <cellStyle name="Comma 7 3 3 2 2 3 2" xfId="47059"/>
    <cellStyle name="Comma 7 3 3 2 2 3 3" xfId="47060"/>
    <cellStyle name="Comma 7 3 3 2 2 4" xfId="47061"/>
    <cellStyle name="Comma 7 3 3 2 2 4 2" xfId="47062"/>
    <cellStyle name="Comma 7 3 3 2 2 5" xfId="47063"/>
    <cellStyle name="Comma 7 3 3 2 2 6" xfId="47064"/>
    <cellStyle name="Comma 7 3 3 2 3" xfId="47065"/>
    <cellStyle name="Comma 7 3 3 2 3 2" xfId="47066"/>
    <cellStyle name="Comma 7 3 3 2 3 2 2" xfId="47067"/>
    <cellStyle name="Comma 7 3 3 2 3 2 3" xfId="47068"/>
    <cellStyle name="Comma 7 3 3 2 3 3" xfId="47069"/>
    <cellStyle name="Comma 7 3 3 2 3 3 2" xfId="47070"/>
    <cellStyle name="Comma 7 3 3 2 3 3 3" xfId="47071"/>
    <cellStyle name="Comma 7 3 3 2 3 4" xfId="47072"/>
    <cellStyle name="Comma 7 3 3 2 3 4 2" xfId="47073"/>
    <cellStyle name="Comma 7 3 3 2 3 5" xfId="47074"/>
    <cellStyle name="Comma 7 3 3 2 3 6" xfId="47075"/>
    <cellStyle name="Comma 7 3 3 2 4" xfId="47076"/>
    <cellStyle name="Comma 7 3 3 2 4 2" xfId="47077"/>
    <cellStyle name="Comma 7 3 3 2 4 2 2" xfId="47078"/>
    <cellStyle name="Comma 7 3 3 2 4 2 3" xfId="47079"/>
    <cellStyle name="Comma 7 3 3 2 4 3" xfId="47080"/>
    <cellStyle name="Comma 7 3 3 2 4 3 2" xfId="47081"/>
    <cellStyle name="Comma 7 3 3 2 4 4" xfId="47082"/>
    <cellStyle name="Comma 7 3 3 2 4 5" xfId="47083"/>
    <cellStyle name="Comma 7 3 3 2 5" xfId="47084"/>
    <cellStyle name="Comma 7 3 3 2 5 2" xfId="47085"/>
    <cellStyle name="Comma 7 3 3 2 5 3" xfId="47086"/>
    <cellStyle name="Comma 7 3 3 2 6" xfId="47087"/>
    <cellStyle name="Comma 7 3 3 2 6 2" xfId="47088"/>
    <cellStyle name="Comma 7 3 3 2 6 3" xfId="47089"/>
    <cellStyle name="Comma 7 3 3 2 7" xfId="47090"/>
    <cellStyle name="Comma 7 3 3 2 7 2" xfId="47091"/>
    <cellStyle name="Comma 7 3 3 2 8" xfId="47092"/>
    <cellStyle name="Comma 7 3 3 2 9" xfId="47093"/>
    <cellStyle name="Comma 7 3 3 3" xfId="47094"/>
    <cellStyle name="Comma 7 3 3 3 2" xfId="47095"/>
    <cellStyle name="Comma 7 3 3 3 2 2" xfId="47096"/>
    <cellStyle name="Comma 7 3 3 3 2 3" xfId="47097"/>
    <cellStyle name="Comma 7 3 3 3 3" xfId="47098"/>
    <cellStyle name="Comma 7 3 3 3 3 2" xfId="47099"/>
    <cellStyle name="Comma 7 3 3 3 3 3" xfId="47100"/>
    <cellStyle name="Comma 7 3 3 3 4" xfId="47101"/>
    <cellStyle name="Comma 7 3 3 3 4 2" xfId="47102"/>
    <cellStyle name="Comma 7 3 3 3 5" xfId="47103"/>
    <cellStyle name="Comma 7 3 3 3 6" xfId="47104"/>
    <cellStyle name="Comma 7 3 3 4" xfId="47105"/>
    <cellStyle name="Comma 7 3 3 4 2" xfId="47106"/>
    <cellStyle name="Comma 7 3 3 4 2 2" xfId="47107"/>
    <cellStyle name="Comma 7 3 3 4 2 3" xfId="47108"/>
    <cellStyle name="Comma 7 3 3 4 3" xfId="47109"/>
    <cellStyle name="Comma 7 3 3 4 3 2" xfId="47110"/>
    <cellStyle name="Comma 7 3 3 4 3 3" xfId="47111"/>
    <cellStyle name="Comma 7 3 3 4 4" xfId="47112"/>
    <cellStyle name="Comma 7 3 3 4 4 2" xfId="47113"/>
    <cellStyle name="Comma 7 3 3 4 5" xfId="47114"/>
    <cellStyle name="Comma 7 3 3 4 6" xfId="47115"/>
    <cellStyle name="Comma 7 3 3 5" xfId="47116"/>
    <cellStyle name="Comma 7 3 3 5 2" xfId="47117"/>
    <cellStyle name="Comma 7 3 3 5 2 2" xfId="47118"/>
    <cellStyle name="Comma 7 3 3 5 2 3" xfId="47119"/>
    <cellStyle name="Comma 7 3 3 5 3" xfId="47120"/>
    <cellStyle name="Comma 7 3 3 5 3 2" xfId="47121"/>
    <cellStyle name="Comma 7 3 3 5 4" xfId="47122"/>
    <cellStyle name="Comma 7 3 3 5 5" xfId="47123"/>
    <cellStyle name="Comma 7 3 3 6" xfId="47124"/>
    <cellStyle name="Comma 7 3 3 6 2" xfId="47125"/>
    <cellStyle name="Comma 7 3 3 6 3" xfId="47126"/>
    <cellStyle name="Comma 7 3 3 7" xfId="47127"/>
    <cellStyle name="Comma 7 3 3 7 2" xfId="47128"/>
    <cellStyle name="Comma 7 3 3 7 3" xfId="47129"/>
    <cellStyle name="Comma 7 3 3 8" xfId="47130"/>
    <cellStyle name="Comma 7 3 3 8 2" xfId="47131"/>
    <cellStyle name="Comma 7 3 3 9" xfId="47132"/>
    <cellStyle name="Comma 7 3 4" xfId="9145"/>
    <cellStyle name="Comma 7 3 4 2" xfId="47133"/>
    <cellStyle name="Comma 7 3 4 2 2" xfId="47134"/>
    <cellStyle name="Comma 7 3 4 2 2 2" xfId="47135"/>
    <cellStyle name="Comma 7 3 4 2 2 3" xfId="47136"/>
    <cellStyle name="Comma 7 3 4 2 3" xfId="47137"/>
    <cellStyle name="Comma 7 3 4 2 3 2" xfId="47138"/>
    <cellStyle name="Comma 7 3 4 2 3 3" xfId="47139"/>
    <cellStyle name="Comma 7 3 4 2 4" xfId="47140"/>
    <cellStyle name="Comma 7 3 4 2 4 2" xfId="47141"/>
    <cellStyle name="Comma 7 3 4 2 5" xfId="47142"/>
    <cellStyle name="Comma 7 3 4 2 6" xfId="47143"/>
    <cellStyle name="Comma 7 3 4 3" xfId="47144"/>
    <cellStyle name="Comma 7 3 4 3 2" xfId="47145"/>
    <cellStyle name="Comma 7 3 4 3 2 2" xfId="47146"/>
    <cellStyle name="Comma 7 3 4 3 2 3" xfId="47147"/>
    <cellStyle name="Comma 7 3 4 3 3" xfId="47148"/>
    <cellStyle name="Comma 7 3 4 3 3 2" xfId="47149"/>
    <cellStyle name="Comma 7 3 4 3 3 3" xfId="47150"/>
    <cellStyle name="Comma 7 3 4 3 4" xfId="47151"/>
    <cellStyle name="Comma 7 3 4 3 4 2" xfId="47152"/>
    <cellStyle name="Comma 7 3 4 3 5" xfId="47153"/>
    <cellStyle name="Comma 7 3 4 3 6" xfId="47154"/>
    <cellStyle name="Comma 7 3 4 4" xfId="47155"/>
    <cellStyle name="Comma 7 3 4 4 2" xfId="47156"/>
    <cellStyle name="Comma 7 3 4 4 2 2" xfId="47157"/>
    <cellStyle name="Comma 7 3 4 4 2 3" xfId="47158"/>
    <cellStyle name="Comma 7 3 4 4 3" xfId="47159"/>
    <cellStyle name="Comma 7 3 4 4 3 2" xfId="47160"/>
    <cellStyle name="Comma 7 3 4 4 4" xfId="47161"/>
    <cellStyle name="Comma 7 3 4 4 5" xfId="47162"/>
    <cellStyle name="Comma 7 3 4 5" xfId="47163"/>
    <cellStyle name="Comma 7 3 4 5 2" xfId="47164"/>
    <cellStyle name="Comma 7 3 4 5 3" xfId="47165"/>
    <cellStyle name="Comma 7 3 4 6" xfId="47166"/>
    <cellStyle name="Comma 7 3 4 6 2" xfId="47167"/>
    <cellStyle name="Comma 7 3 4 6 3" xfId="47168"/>
    <cellStyle name="Comma 7 3 4 7" xfId="47169"/>
    <cellStyle name="Comma 7 3 4 7 2" xfId="47170"/>
    <cellStyle name="Comma 7 3 4 8" xfId="47171"/>
    <cellStyle name="Comma 7 3 4 9" xfId="47172"/>
    <cellStyle name="Comma 7 3 5" xfId="9146"/>
    <cellStyle name="Comma 7 3 5 2" xfId="47173"/>
    <cellStyle name="Comma 7 3 5 2 2" xfId="47174"/>
    <cellStyle name="Comma 7 3 5 2 2 2" xfId="47175"/>
    <cellStyle name="Comma 7 3 5 2 2 3" xfId="47176"/>
    <cellStyle name="Comma 7 3 5 2 3" xfId="47177"/>
    <cellStyle name="Comma 7 3 5 2 3 2" xfId="47178"/>
    <cellStyle name="Comma 7 3 5 2 3 3" xfId="47179"/>
    <cellStyle name="Comma 7 3 5 2 4" xfId="47180"/>
    <cellStyle name="Comma 7 3 5 2 4 2" xfId="47181"/>
    <cellStyle name="Comma 7 3 5 2 5" xfId="47182"/>
    <cellStyle name="Comma 7 3 5 2 6" xfId="47183"/>
    <cellStyle name="Comma 7 3 5 3" xfId="47184"/>
    <cellStyle name="Comma 7 3 5 3 2" xfId="47185"/>
    <cellStyle name="Comma 7 3 5 3 2 2" xfId="47186"/>
    <cellStyle name="Comma 7 3 5 3 2 3" xfId="47187"/>
    <cellStyle name="Comma 7 3 5 3 3" xfId="47188"/>
    <cellStyle name="Comma 7 3 5 3 3 2" xfId="47189"/>
    <cellStyle name="Comma 7 3 5 3 3 3" xfId="47190"/>
    <cellStyle name="Comma 7 3 5 3 4" xfId="47191"/>
    <cellStyle name="Comma 7 3 5 3 4 2" xfId="47192"/>
    <cellStyle name="Comma 7 3 5 3 5" xfId="47193"/>
    <cellStyle name="Comma 7 3 5 3 6" xfId="47194"/>
    <cellStyle name="Comma 7 3 5 4" xfId="47195"/>
    <cellStyle name="Comma 7 3 5 4 2" xfId="47196"/>
    <cellStyle name="Comma 7 3 5 4 2 2" xfId="47197"/>
    <cellStyle name="Comma 7 3 5 4 2 3" xfId="47198"/>
    <cellStyle name="Comma 7 3 5 4 3" xfId="47199"/>
    <cellStyle name="Comma 7 3 5 4 3 2" xfId="47200"/>
    <cellStyle name="Comma 7 3 5 4 4" xfId="47201"/>
    <cellStyle name="Comma 7 3 5 4 5" xfId="47202"/>
    <cellStyle name="Comma 7 3 5 5" xfId="47203"/>
    <cellStyle name="Comma 7 3 5 5 2" xfId="47204"/>
    <cellStyle name="Comma 7 3 5 5 3" xfId="47205"/>
    <cellStyle name="Comma 7 3 5 6" xfId="47206"/>
    <cellStyle name="Comma 7 3 5 6 2" xfId="47207"/>
    <cellStyle name="Comma 7 3 5 6 3" xfId="47208"/>
    <cellStyle name="Comma 7 3 5 7" xfId="47209"/>
    <cellStyle name="Comma 7 3 5 7 2" xfId="47210"/>
    <cellStyle name="Comma 7 3 5 8" xfId="47211"/>
    <cellStyle name="Comma 7 3 5 9" xfId="47212"/>
    <cellStyle name="Comma 7 3 6" xfId="47213"/>
    <cellStyle name="Comma 7 3 6 2" xfId="47214"/>
    <cellStyle name="Comma 7 3 6 2 2" xfId="47215"/>
    <cellStyle name="Comma 7 3 6 2 3" xfId="47216"/>
    <cellStyle name="Comma 7 3 6 3" xfId="47217"/>
    <cellStyle name="Comma 7 3 6 3 2" xfId="47218"/>
    <cellStyle name="Comma 7 3 6 3 3" xfId="47219"/>
    <cellStyle name="Comma 7 3 6 4" xfId="47220"/>
    <cellStyle name="Comma 7 3 6 4 2" xfId="47221"/>
    <cellStyle name="Comma 7 3 6 5" xfId="47222"/>
    <cellStyle name="Comma 7 3 6 6" xfId="47223"/>
    <cellStyle name="Comma 7 3 7" xfId="47224"/>
    <cellStyle name="Comma 7 3 7 2" xfId="47225"/>
    <cellStyle name="Comma 7 3 7 2 2" xfId="47226"/>
    <cellStyle name="Comma 7 3 7 2 3" xfId="47227"/>
    <cellStyle name="Comma 7 3 7 3" xfId="47228"/>
    <cellStyle name="Comma 7 3 7 3 2" xfId="47229"/>
    <cellStyle name="Comma 7 3 7 3 3" xfId="47230"/>
    <cellStyle name="Comma 7 3 7 4" xfId="47231"/>
    <cellStyle name="Comma 7 3 7 4 2" xfId="47232"/>
    <cellStyle name="Comma 7 3 7 5" xfId="47233"/>
    <cellStyle name="Comma 7 3 7 6" xfId="47234"/>
    <cellStyle name="Comma 7 3 8" xfId="47235"/>
    <cellStyle name="Comma 7 3 8 2" xfId="47236"/>
    <cellStyle name="Comma 7 3 8 2 2" xfId="47237"/>
    <cellStyle name="Comma 7 3 8 2 3" xfId="47238"/>
    <cellStyle name="Comma 7 3 8 3" xfId="47239"/>
    <cellStyle name="Comma 7 3 8 3 2" xfId="47240"/>
    <cellStyle name="Comma 7 3 8 4" xfId="47241"/>
    <cellStyle name="Comma 7 3 8 5" xfId="47242"/>
    <cellStyle name="Comma 7 3 9" xfId="47243"/>
    <cellStyle name="Comma 7 3 9 2" xfId="47244"/>
    <cellStyle name="Comma 7 3 9 3" xfId="47245"/>
    <cellStyle name="Comma 7 4" xfId="3717"/>
    <cellStyle name="Comma 7 4 10" xfId="47246"/>
    <cellStyle name="Comma 7 4 10 2" xfId="47247"/>
    <cellStyle name="Comma 7 4 11" xfId="47248"/>
    <cellStyle name="Comma 7 4 12" xfId="47249"/>
    <cellStyle name="Comma 7 4 2" xfId="3718"/>
    <cellStyle name="Comma 7 4 2 10" xfId="47250"/>
    <cellStyle name="Comma 7 4 2 2" xfId="8785"/>
    <cellStyle name="Comma 7 4 2 2 2" xfId="9147"/>
    <cellStyle name="Comma 7 4 2 2 2 2" xfId="47251"/>
    <cellStyle name="Comma 7 4 2 2 2 2 2" xfId="47252"/>
    <cellStyle name="Comma 7 4 2 2 2 2 3" xfId="47253"/>
    <cellStyle name="Comma 7 4 2 2 2 3" xfId="47254"/>
    <cellStyle name="Comma 7 4 2 2 2 3 2" xfId="47255"/>
    <cellStyle name="Comma 7 4 2 2 2 3 3" xfId="47256"/>
    <cellStyle name="Comma 7 4 2 2 2 4" xfId="47257"/>
    <cellStyle name="Comma 7 4 2 2 2 4 2" xfId="47258"/>
    <cellStyle name="Comma 7 4 2 2 2 5" xfId="47259"/>
    <cellStyle name="Comma 7 4 2 2 2 6" xfId="47260"/>
    <cellStyle name="Comma 7 4 2 2 3" xfId="47261"/>
    <cellStyle name="Comma 7 4 2 2 3 2" xfId="47262"/>
    <cellStyle name="Comma 7 4 2 2 3 2 2" xfId="47263"/>
    <cellStyle name="Comma 7 4 2 2 3 2 3" xfId="47264"/>
    <cellStyle name="Comma 7 4 2 2 3 3" xfId="47265"/>
    <cellStyle name="Comma 7 4 2 2 3 3 2" xfId="47266"/>
    <cellStyle name="Comma 7 4 2 2 3 3 3" xfId="47267"/>
    <cellStyle name="Comma 7 4 2 2 3 4" xfId="47268"/>
    <cellStyle name="Comma 7 4 2 2 3 4 2" xfId="47269"/>
    <cellStyle name="Comma 7 4 2 2 3 5" xfId="47270"/>
    <cellStyle name="Comma 7 4 2 2 3 6" xfId="47271"/>
    <cellStyle name="Comma 7 4 2 2 4" xfId="47272"/>
    <cellStyle name="Comma 7 4 2 2 4 2" xfId="47273"/>
    <cellStyle name="Comma 7 4 2 2 4 2 2" xfId="47274"/>
    <cellStyle name="Comma 7 4 2 2 4 2 3" xfId="47275"/>
    <cellStyle name="Comma 7 4 2 2 4 3" xfId="47276"/>
    <cellStyle name="Comma 7 4 2 2 4 3 2" xfId="47277"/>
    <cellStyle name="Comma 7 4 2 2 4 4" xfId="47278"/>
    <cellStyle name="Comma 7 4 2 2 4 5" xfId="47279"/>
    <cellStyle name="Comma 7 4 2 2 5" xfId="47280"/>
    <cellStyle name="Comma 7 4 2 2 5 2" xfId="47281"/>
    <cellStyle name="Comma 7 4 2 2 5 3" xfId="47282"/>
    <cellStyle name="Comma 7 4 2 2 6" xfId="47283"/>
    <cellStyle name="Comma 7 4 2 2 6 2" xfId="47284"/>
    <cellStyle name="Comma 7 4 2 2 6 3" xfId="47285"/>
    <cellStyle name="Comma 7 4 2 2 7" xfId="47286"/>
    <cellStyle name="Comma 7 4 2 2 7 2" xfId="47287"/>
    <cellStyle name="Comma 7 4 2 2 8" xfId="47288"/>
    <cellStyle name="Comma 7 4 2 2 9" xfId="47289"/>
    <cellStyle name="Comma 7 4 2 3" xfId="9148"/>
    <cellStyle name="Comma 7 4 2 3 2" xfId="47290"/>
    <cellStyle name="Comma 7 4 2 3 2 2" xfId="47291"/>
    <cellStyle name="Comma 7 4 2 3 2 3" xfId="47292"/>
    <cellStyle name="Comma 7 4 2 3 3" xfId="47293"/>
    <cellStyle name="Comma 7 4 2 3 3 2" xfId="47294"/>
    <cellStyle name="Comma 7 4 2 3 3 3" xfId="47295"/>
    <cellStyle name="Comma 7 4 2 3 4" xfId="47296"/>
    <cellStyle name="Comma 7 4 2 3 4 2" xfId="47297"/>
    <cellStyle name="Comma 7 4 2 3 5" xfId="47298"/>
    <cellStyle name="Comma 7 4 2 3 6" xfId="47299"/>
    <cellStyle name="Comma 7 4 2 4" xfId="9149"/>
    <cellStyle name="Comma 7 4 2 4 2" xfId="47300"/>
    <cellStyle name="Comma 7 4 2 4 2 2" xfId="47301"/>
    <cellStyle name="Comma 7 4 2 4 2 3" xfId="47302"/>
    <cellStyle name="Comma 7 4 2 4 3" xfId="47303"/>
    <cellStyle name="Comma 7 4 2 4 3 2" xfId="47304"/>
    <cellStyle name="Comma 7 4 2 4 3 3" xfId="47305"/>
    <cellStyle name="Comma 7 4 2 4 4" xfId="47306"/>
    <cellStyle name="Comma 7 4 2 4 4 2" xfId="47307"/>
    <cellStyle name="Comma 7 4 2 4 5" xfId="47308"/>
    <cellStyle name="Comma 7 4 2 4 6" xfId="47309"/>
    <cellStyle name="Comma 7 4 2 5" xfId="47310"/>
    <cellStyle name="Comma 7 4 2 5 2" xfId="47311"/>
    <cellStyle name="Comma 7 4 2 5 2 2" xfId="47312"/>
    <cellStyle name="Comma 7 4 2 5 2 3" xfId="47313"/>
    <cellStyle name="Comma 7 4 2 5 3" xfId="47314"/>
    <cellStyle name="Comma 7 4 2 5 3 2" xfId="47315"/>
    <cellStyle name="Comma 7 4 2 5 4" xfId="47316"/>
    <cellStyle name="Comma 7 4 2 5 5" xfId="47317"/>
    <cellStyle name="Comma 7 4 2 6" xfId="47318"/>
    <cellStyle name="Comma 7 4 2 6 2" xfId="47319"/>
    <cellStyle name="Comma 7 4 2 6 3" xfId="47320"/>
    <cellStyle name="Comma 7 4 2 7" xfId="47321"/>
    <cellStyle name="Comma 7 4 2 7 2" xfId="47322"/>
    <cellStyle name="Comma 7 4 2 7 3" xfId="47323"/>
    <cellStyle name="Comma 7 4 2 8" xfId="47324"/>
    <cellStyle name="Comma 7 4 2 8 2" xfId="47325"/>
    <cellStyle name="Comma 7 4 2 9" xfId="47326"/>
    <cellStyle name="Comma 7 4 3" xfId="8786"/>
    <cellStyle name="Comma 7 4 3 2" xfId="9150"/>
    <cellStyle name="Comma 7 4 3 2 2" xfId="47327"/>
    <cellStyle name="Comma 7 4 3 2 2 2" xfId="47328"/>
    <cellStyle name="Comma 7 4 3 2 2 3" xfId="47329"/>
    <cellStyle name="Comma 7 4 3 2 3" xfId="47330"/>
    <cellStyle name="Comma 7 4 3 2 3 2" xfId="47331"/>
    <cellStyle name="Comma 7 4 3 2 3 3" xfId="47332"/>
    <cellStyle name="Comma 7 4 3 2 4" xfId="47333"/>
    <cellStyle name="Comma 7 4 3 2 4 2" xfId="47334"/>
    <cellStyle name="Comma 7 4 3 2 5" xfId="47335"/>
    <cellStyle name="Comma 7 4 3 2 6" xfId="47336"/>
    <cellStyle name="Comma 7 4 3 3" xfId="47337"/>
    <cellStyle name="Comma 7 4 3 3 2" xfId="47338"/>
    <cellStyle name="Comma 7 4 3 3 2 2" xfId="47339"/>
    <cellStyle name="Comma 7 4 3 3 2 3" xfId="47340"/>
    <cellStyle name="Comma 7 4 3 3 3" xfId="47341"/>
    <cellStyle name="Comma 7 4 3 3 3 2" xfId="47342"/>
    <cellStyle name="Comma 7 4 3 3 3 3" xfId="47343"/>
    <cellStyle name="Comma 7 4 3 3 4" xfId="47344"/>
    <cellStyle name="Comma 7 4 3 3 4 2" xfId="47345"/>
    <cellStyle name="Comma 7 4 3 3 5" xfId="47346"/>
    <cellStyle name="Comma 7 4 3 3 6" xfId="47347"/>
    <cellStyle name="Comma 7 4 3 4" xfId="47348"/>
    <cellStyle name="Comma 7 4 3 4 2" xfId="47349"/>
    <cellStyle name="Comma 7 4 3 4 2 2" xfId="47350"/>
    <cellStyle name="Comma 7 4 3 4 2 3" xfId="47351"/>
    <cellStyle name="Comma 7 4 3 4 3" xfId="47352"/>
    <cellStyle name="Comma 7 4 3 4 3 2" xfId="47353"/>
    <cellStyle name="Comma 7 4 3 4 4" xfId="47354"/>
    <cellStyle name="Comma 7 4 3 4 5" xfId="47355"/>
    <cellStyle name="Comma 7 4 3 5" xfId="47356"/>
    <cellStyle name="Comma 7 4 3 5 2" xfId="47357"/>
    <cellStyle name="Comma 7 4 3 5 3" xfId="47358"/>
    <cellStyle name="Comma 7 4 3 6" xfId="47359"/>
    <cellStyle name="Comma 7 4 3 6 2" xfId="47360"/>
    <cellStyle name="Comma 7 4 3 6 3" xfId="47361"/>
    <cellStyle name="Comma 7 4 3 7" xfId="47362"/>
    <cellStyle name="Comma 7 4 3 7 2" xfId="47363"/>
    <cellStyle name="Comma 7 4 3 8" xfId="47364"/>
    <cellStyle name="Comma 7 4 3 9" xfId="47365"/>
    <cellStyle name="Comma 7 4 4" xfId="9151"/>
    <cellStyle name="Comma 7 4 4 2" xfId="47366"/>
    <cellStyle name="Comma 7 4 4 2 2" xfId="47367"/>
    <cellStyle name="Comma 7 4 4 2 2 2" xfId="47368"/>
    <cellStyle name="Comma 7 4 4 2 2 3" xfId="47369"/>
    <cellStyle name="Comma 7 4 4 2 3" xfId="47370"/>
    <cellStyle name="Comma 7 4 4 2 3 2" xfId="47371"/>
    <cellStyle name="Comma 7 4 4 2 3 3" xfId="47372"/>
    <cellStyle name="Comma 7 4 4 2 4" xfId="47373"/>
    <cellStyle name="Comma 7 4 4 2 4 2" xfId="47374"/>
    <cellStyle name="Comma 7 4 4 2 5" xfId="47375"/>
    <cellStyle name="Comma 7 4 4 2 6" xfId="47376"/>
    <cellStyle name="Comma 7 4 4 3" xfId="47377"/>
    <cellStyle name="Comma 7 4 4 3 2" xfId="47378"/>
    <cellStyle name="Comma 7 4 4 3 2 2" xfId="47379"/>
    <cellStyle name="Comma 7 4 4 3 2 3" xfId="47380"/>
    <cellStyle name="Comma 7 4 4 3 3" xfId="47381"/>
    <cellStyle name="Comma 7 4 4 3 3 2" xfId="47382"/>
    <cellStyle name="Comma 7 4 4 3 3 3" xfId="47383"/>
    <cellStyle name="Comma 7 4 4 3 4" xfId="47384"/>
    <cellStyle name="Comma 7 4 4 3 4 2" xfId="47385"/>
    <cellStyle name="Comma 7 4 4 3 5" xfId="47386"/>
    <cellStyle name="Comma 7 4 4 3 6" xfId="47387"/>
    <cellStyle name="Comma 7 4 4 4" xfId="47388"/>
    <cellStyle name="Comma 7 4 4 4 2" xfId="47389"/>
    <cellStyle name="Comma 7 4 4 4 2 2" xfId="47390"/>
    <cellStyle name="Comma 7 4 4 4 2 3" xfId="47391"/>
    <cellStyle name="Comma 7 4 4 4 3" xfId="47392"/>
    <cellStyle name="Comma 7 4 4 4 3 2" xfId="47393"/>
    <cellStyle name="Comma 7 4 4 4 4" xfId="47394"/>
    <cellStyle name="Comma 7 4 4 4 5" xfId="47395"/>
    <cellStyle name="Comma 7 4 4 5" xfId="47396"/>
    <cellStyle name="Comma 7 4 4 5 2" xfId="47397"/>
    <cellStyle name="Comma 7 4 4 5 3" xfId="47398"/>
    <cellStyle name="Comma 7 4 4 6" xfId="47399"/>
    <cellStyle name="Comma 7 4 4 6 2" xfId="47400"/>
    <cellStyle name="Comma 7 4 4 6 3" xfId="47401"/>
    <cellStyle name="Comma 7 4 4 7" xfId="47402"/>
    <cellStyle name="Comma 7 4 4 7 2" xfId="47403"/>
    <cellStyle name="Comma 7 4 4 8" xfId="47404"/>
    <cellStyle name="Comma 7 4 4 9" xfId="47405"/>
    <cellStyle name="Comma 7 4 5" xfId="9152"/>
    <cellStyle name="Comma 7 4 5 2" xfId="47406"/>
    <cellStyle name="Comma 7 4 5 2 2" xfId="47407"/>
    <cellStyle name="Comma 7 4 5 2 3" xfId="47408"/>
    <cellStyle name="Comma 7 4 5 3" xfId="47409"/>
    <cellStyle name="Comma 7 4 5 3 2" xfId="47410"/>
    <cellStyle name="Comma 7 4 5 3 3" xfId="47411"/>
    <cellStyle name="Comma 7 4 5 4" xfId="47412"/>
    <cellStyle name="Comma 7 4 5 4 2" xfId="47413"/>
    <cellStyle name="Comma 7 4 5 5" xfId="47414"/>
    <cellStyle name="Comma 7 4 5 6" xfId="47415"/>
    <cellStyle name="Comma 7 4 6" xfId="47416"/>
    <cellStyle name="Comma 7 4 6 2" xfId="47417"/>
    <cellStyle name="Comma 7 4 6 2 2" xfId="47418"/>
    <cellStyle name="Comma 7 4 6 2 3" xfId="47419"/>
    <cellStyle name="Comma 7 4 6 3" xfId="47420"/>
    <cellStyle name="Comma 7 4 6 3 2" xfId="47421"/>
    <cellStyle name="Comma 7 4 6 3 3" xfId="47422"/>
    <cellStyle name="Comma 7 4 6 4" xfId="47423"/>
    <cellStyle name="Comma 7 4 6 4 2" xfId="47424"/>
    <cellStyle name="Comma 7 4 6 5" xfId="47425"/>
    <cellStyle name="Comma 7 4 6 6" xfId="47426"/>
    <cellStyle name="Comma 7 4 7" xfId="47427"/>
    <cellStyle name="Comma 7 4 7 2" xfId="47428"/>
    <cellStyle name="Comma 7 4 7 2 2" xfId="47429"/>
    <cellStyle name="Comma 7 4 7 2 3" xfId="47430"/>
    <cellStyle name="Comma 7 4 7 3" xfId="47431"/>
    <cellStyle name="Comma 7 4 7 3 2" xfId="47432"/>
    <cellStyle name="Comma 7 4 7 4" xfId="47433"/>
    <cellStyle name="Comma 7 4 7 5" xfId="47434"/>
    <cellStyle name="Comma 7 4 8" xfId="47435"/>
    <cellStyle name="Comma 7 4 8 2" xfId="47436"/>
    <cellStyle name="Comma 7 4 8 3" xfId="47437"/>
    <cellStyle name="Comma 7 4 9" xfId="47438"/>
    <cellStyle name="Comma 7 4 9 2" xfId="47439"/>
    <cellStyle name="Comma 7 4 9 3" xfId="47440"/>
    <cellStyle name="Comma 7 5" xfId="3719"/>
    <cellStyle name="Comma 7 5 10" xfId="47441"/>
    <cellStyle name="Comma 7 5 2" xfId="3720"/>
    <cellStyle name="Comma 7 5 2 2" xfId="8787"/>
    <cellStyle name="Comma 7 5 2 2 2" xfId="9153"/>
    <cellStyle name="Comma 7 5 2 2 2 2" xfId="47442"/>
    <cellStyle name="Comma 7 5 2 2 2 3" xfId="47443"/>
    <cellStyle name="Comma 7 5 2 2 3" xfId="47444"/>
    <cellStyle name="Comma 7 5 2 2 3 2" xfId="47445"/>
    <cellStyle name="Comma 7 5 2 2 3 3" xfId="47446"/>
    <cellStyle name="Comma 7 5 2 2 4" xfId="47447"/>
    <cellStyle name="Comma 7 5 2 2 4 2" xfId="47448"/>
    <cellStyle name="Comma 7 5 2 2 5" xfId="47449"/>
    <cellStyle name="Comma 7 5 2 2 6" xfId="47450"/>
    <cellStyle name="Comma 7 5 2 3" xfId="9154"/>
    <cellStyle name="Comma 7 5 2 3 2" xfId="47451"/>
    <cellStyle name="Comma 7 5 2 3 2 2" xfId="47452"/>
    <cellStyle name="Comma 7 5 2 3 2 3" xfId="47453"/>
    <cellStyle name="Comma 7 5 2 3 3" xfId="47454"/>
    <cellStyle name="Comma 7 5 2 3 3 2" xfId="47455"/>
    <cellStyle name="Comma 7 5 2 3 3 3" xfId="47456"/>
    <cellStyle name="Comma 7 5 2 3 4" xfId="47457"/>
    <cellStyle name="Comma 7 5 2 3 4 2" xfId="47458"/>
    <cellStyle name="Comma 7 5 2 3 5" xfId="47459"/>
    <cellStyle name="Comma 7 5 2 3 6" xfId="47460"/>
    <cellStyle name="Comma 7 5 2 4" xfId="9155"/>
    <cellStyle name="Comma 7 5 2 4 2" xfId="47461"/>
    <cellStyle name="Comma 7 5 2 4 2 2" xfId="47462"/>
    <cellStyle name="Comma 7 5 2 4 2 3" xfId="47463"/>
    <cellStyle name="Comma 7 5 2 4 3" xfId="47464"/>
    <cellStyle name="Comma 7 5 2 4 3 2" xfId="47465"/>
    <cellStyle name="Comma 7 5 2 4 4" xfId="47466"/>
    <cellStyle name="Comma 7 5 2 4 5" xfId="47467"/>
    <cellStyle name="Comma 7 5 2 5" xfId="47468"/>
    <cellStyle name="Comma 7 5 2 5 2" xfId="47469"/>
    <cellStyle name="Comma 7 5 2 5 3" xfId="47470"/>
    <cellStyle name="Comma 7 5 2 6" xfId="47471"/>
    <cellStyle name="Comma 7 5 2 6 2" xfId="47472"/>
    <cellStyle name="Comma 7 5 2 6 3" xfId="47473"/>
    <cellStyle name="Comma 7 5 2 7" xfId="47474"/>
    <cellStyle name="Comma 7 5 2 7 2" xfId="47475"/>
    <cellStyle name="Comma 7 5 2 8" xfId="47476"/>
    <cellStyle name="Comma 7 5 2 9" xfId="47477"/>
    <cellStyle name="Comma 7 5 3" xfId="8788"/>
    <cellStyle name="Comma 7 5 3 2" xfId="9156"/>
    <cellStyle name="Comma 7 5 3 2 2" xfId="47478"/>
    <cellStyle name="Comma 7 5 3 2 3" xfId="47479"/>
    <cellStyle name="Comma 7 5 3 3" xfId="47480"/>
    <cellStyle name="Comma 7 5 3 3 2" xfId="47481"/>
    <cellStyle name="Comma 7 5 3 3 3" xfId="47482"/>
    <cellStyle name="Comma 7 5 3 4" xfId="47483"/>
    <cellStyle name="Comma 7 5 3 4 2" xfId="47484"/>
    <cellStyle name="Comma 7 5 3 5" xfId="47485"/>
    <cellStyle name="Comma 7 5 3 6" xfId="47486"/>
    <cellStyle name="Comma 7 5 4" xfId="9157"/>
    <cellStyle name="Comma 7 5 4 2" xfId="47487"/>
    <cellStyle name="Comma 7 5 4 2 2" xfId="47488"/>
    <cellStyle name="Comma 7 5 4 2 3" xfId="47489"/>
    <cellStyle name="Comma 7 5 4 3" xfId="47490"/>
    <cellStyle name="Comma 7 5 4 3 2" xfId="47491"/>
    <cellStyle name="Comma 7 5 4 3 3" xfId="47492"/>
    <cellStyle name="Comma 7 5 4 4" xfId="47493"/>
    <cellStyle name="Comma 7 5 4 4 2" xfId="47494"/>
    <cellStyle name="Comma 7 5 4 5" xfId="47495"/>
    <cellStyle name="Comma 7 5 4 6" xfId="47496"/>
    <cellStyle name="Comma 7 5 5" xfId="9158"/>
    <cellStyle name="Comma 7 5 5 2" xfId="47497"/>
    <cellStyle name="Comma 7 5 5 2 2" xfId="47498"/>
    <cellStyle name="Comma 7 5 5 2 3" xfId="47499"/>
    <cellStyle name="Comma 7 5 5 3" xfId="47500"/>
    <cellStyle name="Comma 7 5 5 3 2" xfId="47501"/>
    <cellStyle name="Comma 7 5 5 4" xfId="47502"/>
    <cellStyle name="Comma 7 5 5 5" xfId="47503"/>
    <cellStyle name="Comma 7 5 6" xfId="47504"/>
    <cellStyle name="Comma 7 5 6 2" xfId="47505"/>
    <cellStyle name="Comma 7 5 6 3" xfId="47506"/>
    <cellStyle name="Comma 7 5 7" xfId="47507"/>
    <cellStyle name="Comma 7 5 7 2" xfId="47508"/>
    <cellStyle name="Comma 7 5 7 3" xfId="47509"/>
    <cellStyle name="Comma 7 5 8" xfId="47510"/>
    <cellStyle name="Comma 7 5 8 2" xfId="47511"/>
    <cellStyle name="Comma 7 5 9" xfId="47512"/>
    <cellStyle name="Comma 7 6" xfId="3721"/>
    <cellStyle name="Comma 7 6 2" xfId="3722"/>
    <cellStyle name="Comma 7 6 2 2" xfId="8789"/>
    <cellStyle name="Comma 7 6 2 2 2" xfId="9159"/>
    <cellStyle name="Comma 7 6 2 2 3" xfId="47513"/>
    <cellStyle name="Comma 7 6 2 3" xfId="9160"/>
    <cellStyle name="Comma 7 6 2 3 2" xfId="47514"/>
    <cellStyle name="Comma 7 6 2 3 3" xfId="47515"/>
    <cellStyle name="Comma 7 6 2 4" xfId="9161"/>
    <cellStyle name="Comma 7 6 2 4 2" xfId="47516"/>
    <cellStyle name="Comma 7 6 2 5" xfId="47517"/>
    <cellStyle name="Comma 7 6 2 6" xfId="47518"/>
    <cellStyle name="Comma 7 6 3" xfId="8790"/>
    <cellStyle name="Comma 7 6 3 2" xfId="9162"/>
    <cellStyle name="Comma 7 6 3 2 2" xfId="47519"/>
    <cellStyle name="Comma 7 6 3 2 3" xfId="47520"/>
    <cellStyle name="Comma 7 6 3 3" xfId="47521"/>
    <cellStyle name="Comma 7 6 3 3 2" xfId="47522"/>
    <cellStyle name="Comma 7 6 3 3 3" xfId="47523"/>
    <cellStyle name="Comma 7 6 3 4" xfId="47524"/>
    <cellStyle name="Comma 7 6 3 4 2" xfId="47525"/>
    <cellStyle name="Comma 7 6 3 5" xfId="47526"/>
    <cellStyle name="Comma 7 6 3 6" xfId="47527"/>
    <cellStyle name="Comma 7 6 4" xfId="9163"/>
    <cellStyle name="Comma 7 6 4 2" xfId="47528"/>
    <cellStyle name="Comma 7 6 4 2 2" xfId="47529"/>
    <cellStyle name="Comma 7 6 4 2 3" xfId="47530"/>
    <cellStyle name="Comma 7 6 4 3" xfId="47531"/>
    <cellStyle name="Comma 7 6 4 3 2" xfId="47532"/>
    <cellStyle name="Comma 7 6 4 4" xfId="47533"/>
    <cellStyle name="Comma 7 6 4 5" xfId="47534"/>
    <cellStyle name="Comma 7 6 5" xfId="9164"/>
    <cellStyle name="Comma 7 6 5 2" xfId="47535"/>
    <cellStyle name="Comma 7 6 5 3" xfId="47536"/>
    <cellStyle name="Comma 7 6 6" xfId="47537"/>
    <cellStyle name="Comma 7 6 6 2" xfId="47538"/>
    <cellStyle name="Comma 7 6 6 3" xfId="47539"/>
    <cellStyle name="Comma 7 6 7" xfId="47540"/>
    <cellStyle name="Comma 7 6 7 2" xfId="47541"/>
    <cellStyle name="Comma 7 6 8" xfId="47542"/>
    <cellStyle name="Comma 7 6 9" xfId="47543"/>
    <cellStyle name="Comma 7 7" xfId="3723"/>
    <cellStyle name="Comma 7 7 2" xfId="8791"/>
    <cellStyle name="Comma 7 7 2 2" xfId="9165"/>
    <cellStyle name="Comma 7 7 2 2 2" xfId="47544"/>
    <cellStyle name="Comma 7 7 2 2 3" xfId="47545"/>
    <cellStyle name="Comma 7 7 2 3" xfId="47546"/>
    <cellStyle name="Comma 7 7 2 3 2" xfId="47547"/>
    <cellStyle name="Comma 7 7 2 3 3" xfId="47548"/>
    <cellStyle name="Comma 7 7 2 4" xfId="47549"/>
    <cellStyle name="Comma 7 7 2 4 2" xfId="47550"/>
    <cellStyle name="Comma 7 7 2 5" xfId="47551"/>
    <cellStyle name="Comma 7 7 2 6" xfId="47552"/>
    <cellStyle name="Comma 7 7 3" xfId="9166"/>
    <cellStyle name="Comma 7 7 3 2" xfId="47553"/>
    <cellStyle name="Comma 7 7 3 2 2" xfId="47554"/>
    <cellStyle name="Comma 7 7 3 2 3" xfId="47555"/>
    <cellStyle name="Comma 7 7 3 3" xfId="47556"/>
    <cellStyle name="Comma 7 7 3 3 2" xfId="47557"/>
    <cellStyle name="Comma 7 7 3 3 3" xfId="47558"/>
    <cellStyle name="Comma 7 7 3 4" xfId="47559"/>
    <cellStyle name="Comma 7 7 3 4 2" xfId="47560"/>
    <cellStyle name="Comma 7 7 3 5" xfId="47561"/>
    <cellStyle name="Comma 7 7 3 6" xfId="47562"/>
    <cellStyle name="Comma 7 7 4" xfId="9167"/>
    <cellStyle name="Comma 7 7 4 2" xfId="47563"/>
    <cellStyle name="Comma 7 7 4 2 2" xfId="47564"/>
    <cellStyle name="Comma 7 7 4 2 3" xfId="47565"/>
    <cellStyle name="Comma 7 7 4 3" xfId="47566"/>
    <cellStyle name="Comma 7 7 4 3 2" xfId="47567"/>
    <cellStyle name="Comma 7 7 4 4" xfId="47568"/>
    <cellStyle name="Comma 7 7 4 5" xfId="47569"/>
    <cellStyle name="Comma 7 7 5" xfId="47570"/>
    <cellStyle name="Comma 7 7 5 2" xfId="47571"/>
    <cellStyle name="Comma 7 7 5 3" xfId="47572"/>
    <cellStyle name="Comma 7 7 6" xfId="47573"/>
    <cellStyle name="Comma 7 7 6 2" xfId="47574"/>
    <cellStyle name="Comma 7 7 6 3" xfId="47575"/>
    <cellStyle name="Comma 7 7 7" xfId="47576"/>
    <cellStyle name="Comma 7 7 7 2" xfId="47577"/>
    <cellStyle name="Comma 7 7 8" xfId="47578"/>
    <cellStyle name="Comma 7 7 9" xfId="47579"/>
    <cellStyle name="Comma 7 8" xfId="3724"/>
    <cellStyle name="Comma 7 8 2" xfId="9168"/>
    <cellStyle name="Comma 7 8 2 2" xfId="47580"/>
    <cellStyle name="Comma 7 8 2 3" xfId="47581"/>
    <cellStyle name="Comma 7 8 3" xfId="9169"/>
    <cellStyle name="Comma 7 8 3 2" xfId="47582"/>
    <cellStyle name="Comma 7 8 3 3" xfId="47583"/>
    <cellStyle name="Comma 7 8 4" xfId="47584"/>
    <cellStyle name="Comma 7 8 4 2" xfId="47585"/>
    <cellStyle name="Comma 7 8 5" xfId="47586"/>
    <cellStyle name="Comma 7 8 6" xfId="47587"/>
    <cellStyle name="Comma 7 9" xfId="9170"/>
    <cellStyle name="Comma 7 9 2" xfId="47588"/>
    <cellStyle name="Comma 7 9 2 2" xfId="47589"/>
    <cellStyle name="Comma 7 9 2 3" xfId="47590"/>
    <cellStyle name="Comma 7 9 3" xfId="47591"/>
    <cellStyle name="Comma 7 9 3 2" xfId="47592"/>
    <cellStyle name="Comma 7 9 3 3" xfId="47593"/>
    <cellStyle name="Comma 7 9 4" xfId="47594"/>
    <cellStyle name="Comma 7 9 4 2" xfId="47595"/>
    <cellStyle name="Comma 7 9 5" xfId="47596"/>
    <cellStyle name="Comma 7 9 6" xfId="47597"/>
    <cellStyle name="Comma 70" xfId="3725"/>
    <cellStyle name="Comma 71" xfId="3726"/>
    <cellStyle name="Comma 71 2" xfId="3727"/>
    <cellStyle name="Comma 72" xfId="3728"/>
    <cellStyle name="Comma 73" xfId="3729"/>
    <cellStyle name="Comma 73 2" xfId="3730"/>
    <cellStyle name="Comma 73 3" xfId="3731"/>
    <cellStyle name="Comma 74" xfId="3732"/>
    <cellStyle name="Comma 74 2" xfId="3733"/>
    <cellStyle name="Comma 74 3" xfId="3734"/>
    <cellStyle name="Comma 75" xfId="3735"/>
    <cellStyle name="Comma 76" xfId="3736"/>
    <cellStyle name="Comma 77" xfId="3737"/>
    <cellStyle name="Comma 78" xfId="3738"/>
    <cellStyle name="Comma 79" xfId="3739"/>
    <cellStyle name="Comma 8" xfId="3740"/>
    <cellStyle name="Comma 8 10" xfId="47598"/>
    <cellStyle name="Comma 8 10 2" xfId="47599"/>
    <cellStyle name="Comma 8 10 2 2" xfId="47600"/>
    <cellStyle name="Comma 8 10 2 3" xfId="47601"/>
    <cellStyle name="Comma 8 10 3" xfId="47602"/>
    <cellStyle name="Comma 8 10 3 2" xfId="47603"/>
    <cellStyle name="Comma 8 10 4" xfId="47604"/>
    <cellStyle name="Comma 8 10 5" xfId="47605"/>
    <cellStyle name="Comma 8 11" xfId="47606"/>
    <cellStyle name="Comma 8 11 2" xfId="47607"/>
    <cellStyle name="Comma 8 11 3" xfId="47608"/>
    <cellStyle name="Comma 8 12" xfId="47609"/>
    <cellStyle name="Comma 8 12 2" xfId="47610"/>
    <cellStyle name="Comma 8 12 3" xfId="47611"/>
    <cellStyle name="Comma 8 13" xfId="47612"/>
    <cellStyle name="Comma 8 13 2" xfId="47613"/>
    <cellStyle name="Comma 8 14" xfId="47614"/>
    <cellStyle name="Comma 8 15" xfId="47615"/>
    <cellStyle name="Comma 8 16" xfId="47616"/>
    <cellStyle name="Comma 8 2" xfId="3741"/>
    <cellStyle name="Comma 8 2 10" xfId="47617"/>
    <cellStyle name="Comma 8 2 10 2" xfId="47618"/>
    <cellStyle name="Comma 8 2 10 3" xfId="47619"/>
    <cellStyle name="Comma 8 2 11" xfId="47620"/>
    <cellStyle name="Comma 8 2 11 2" xfId="47621"/>
    <cellStyle name="Comma 8 2 11 3" xfId="47622"/>
    <cellStyle name="Comma 8 2 12" xfId="47623"/>
    <cellStyle name="Comma 8 2 12 2" xfId="47624"/>
    <cellStyle name="Comma 8 2 13" xfId="47625"/>
    <cellStyle name="Comma 8 2 14" xfId="47626"/>
    <cellStyle name="Comma 8 2 15" xfId="47627"/>
    <cellStyle name="Comma 8 2 2" xfId="3742"/>
    <cellStyle name="Comma 8 2 2 10" xfId="47628"/>
    <cellStyle name="Comma 8 2 2 10 2" xfId="47629"/>
    <cellStyle name="Comma 8 2 2 10 3" xfId="47630"/>
    <cellStyle name="Comma 8 2 2 11" xfId="47631"/>
    <cellStyle name="Comma 8 2 2 11 2" xfId="47632"/>
    <cellStyle name="Comma 8 2 2 12" xfId="47633"/>
    <cellStyle name="Comma 8 2 2 13" xfId="47634"/>
    <cellStyle name="Comma 8 2 2 14" xfId="47635"/>
    <cellStyle name="Comma 8 2 2 2" xfId="9171"/>
    <cellStyle name="Comma 8 2 2 2 10" xfId="47636"/>
    <cellStyle name="Comma 8 2 2 2 10 2" xfId="47637"/>
    <cellStyle name="Comma 8 2 2 2 11" xfId="47638"/>
    <cellStyle name="Comma 8 2 2 2 12" xfId="47639"/>
    <cellStyle name="Comma 8 2 2 2 13" xfId="47640"/>
    <cellStyle name="Comma 8 2 2 2 2" xfId="47641"/>
    <cellStyle name="Comma 8 2 2 2 2 10" xfId="47642"/>
    <cellStyle name="Comma 8 2 2 2 2 2" xfId="47643"/>
    <cellStyle name="Comma 8 2 2 2 2 2 2" xfId="47644"/>
    <cellStyle name="Comma 8 2 2 2 2 2 2 2" xfId="47645"/>
    <cellStyle name="Comma 8 2 2 2 2 2 2 2 2" xfId="47646"/>
    <cellStyle name="Comma 8 2 2 2 2 2 2 2 3" xfId="47647"/>
    <cellStyle name="Comma 8 2 2 2 2 2 2 3" xfId="47648"/>
    <cellStyle name="Comma 8 2 2 2 2 2 2 3 2" xfId="47649"/>
    <cellStyle name="Comma 8 2 2 2 2 2 2 3 3" xfId="47650"/>
    <cellStyle name="Comma 8 2 2 2 2 2 2 4" xfId="47651"/>
    <cellStyle name="Comma 8 2 2 2 2 2 2 4 2" xfId="47652"/>
    <cellStyle name="Comma 8 2 2 2 2 2 2 5" xfId="47653"/>
    <cellStyle name="Comma 8 2 2 2 2 2 2 6" xfId="47654"/>
    <cellStyle name="Comma 8 2 2 2 2 2 3" xfId="47655"/>
    <cellStyle name="Comma 8 2 2 2 2 2 3 2" xfId="47656"/>
    <cellStyle name="Comma 8 2 2 2 2 2 3 2 2" xfId="47657"/>
    <cellStyle name="Comma 8 2 2 2 2 2 3 2 3" xfId="47658"/>
    <cellStyle name="Comma 8 2 2 2 2 2 3 3" xfId="47659"/>
    <cellStyle name="Comma 8 2 2 2 2 2 3 3 2" xfId="47660"/>
    <cellStyle name="Comma 8 2 2 2 2 2 3 3 3" xfId="47661"/>
    <cellStyle name="Comma 8 2 2 2 2 2 3 4" xfId="47662"/>
    <cellStyle name="Comma 8 2 2 2 2 2 3 4 2" xfId="47663"/>
    <cellStyle name="Comma 8 2 2 2 2 2 3 5" xfId="47664"/>
    <cellStyle name="Comma 8 2 2 2 2 2 3 6" xfId="47665"/>
    <cellStyle name="Comma 8 2 2 2 2 2 4" xfId="47666"/>
    <cellStyle name="Comma 8 2 2 2 2 2 4 2" xfId="47667"/>
    <cellStyle name="Comma 8 2 2 2 2 2 4 2 2" xfId="47668"/>
    <cellStyle name="Comma 8 2 2 2 2 2 4 2 3" xfId="47669"/>
    <cellStyle name="Comma 8 2 2 2 2 2 4 3" xfId="47670"/>
    <cellStyle name="Comma 8 2 2 2 2 2 4 3 2" xfId="47671"/>
    <cellStyle name="Comma 8 2 2 2 2 2 4 4" xfId="47672"/>
    <cellStyle name="Comma 8 2 2 2 2 2 4 5" xfId="47673"/>
    <cellStyle name="Comma 8 2 2 2 2 2 5" xfId="47674"/>
    <cellStyle name="Comma 8 2 2 2 2 2 5 2" xfId="47675"/>
    <cellStyle name="Comma 8 2 2 2 2 2 5 3" xfId="47676"/>
    <cellStyle name="Comma 8 2 2 2 2 2 6" xfId="47677"/>
    <cellStyle name="Comma 8 2 2 2 2 2 6 2" xfId="47678"/>
    <cellStyle name="Comma 8 2 2 2 2 2 6 3" xfId="47679"/>
    <cellStyle name="Comma 8 2 2 2 2 2 7" xfId="47680"/>
    <cellStyle name="Comma 8 2 2 2 2 2 7 2" xfId="47681"/>
    <cellStyle name="Comma 8 2 2 2 2 2 8" xfId="47682"/>
    <cellStyle name="Comma 8 2 2 2 2 2 9" xfId="47683"/>
    <cellStyle name="Comma 8 2 2 2 2 3" xfId="47684"/>
    <cellStyle name="Comma 8 2 2 2 2 3 2" xfId="47685"/>
    <cellStyle name="Comma 8 2 2 2 2 3 2 2" xfId="47686"/>
    <cellStyle name="Comma 8 2 2 2 2 3 2 3" xfId="47687"/>
    <cellStyle name="Comma 8 2 2 2 2 3 3" xfId="47688"/>
    <cellStyle name="Comma 8 2 2 2 2 3 3 2" xfId="47689"/>
    <cellStyle name="Comma 8 2 2 2 2 3 3 3" xfId="47690"/>
    <cellStyle name="Comma 8 2 2 2 2 3 4" xfId="47691"/>
    <cellStyle name="Comma 8 2 2 2 2 3 4 2" xfId="47692"/>
    <cellStyle name="Comma 8 2 2 2 2 3 5" xfId="47693"/>
    <cellStyle name="Comma 8 2 2 2 2 3 6" xfId="47694"/>
    <cellStyle name="Comma 8 2 2 2 2 4" xfId="47695"/>
    <cellStyle name="Comma 8 2 2 2 2 4 2" xfId="47696"/>
    <cellStyle name="Comma 8 2 2 2 2 4 2 2" xfId="47697"/>
    <cellStyle name="Comma 8 2 2 2 2 4 2 3" xfId="47698"/>
    <cellStyle name="Comma 8 2 2 2 2 4 3" xfId="47699"/>
    <cellStyle name="Comma 8 2 2 2 2 4 3 2" xfId="47700"/>
    <cellStyle name="Comma 8 2 2 2 2 4 3 3" xfId="47701"/>
    <cellStyle name="Comma 8 2 2 2 2 4 4" xfId="47702"/>
    <cellStyle name="Comma 8 2 2 2 2 4 4 2" xfId="47703"/>
    <cellStyle name="Comma 8 2 2 2 2 4 5" xfId="47704"/>
    <cellStyle name="Comma 8 2 2 2 2 4 6" xfId="47705"/>
    <cellStyle name="Comma 8 2 2 2 2 5" xfId="47706"/>
    <cellStyle name="Comma 8 2 2 2 2 5 2" xfId="47707"/>
    <cellStyle name="Comma 8 2 2 2 2 5 2 2" xfId="47708"/>
    <cellStyle name="Comma 8 2 2 2 2 5 2 3" xfId="47709"/>
    <cellStyle name="Comma 8 2 2 2 2 5 3" xfId="47710"/>
    <cellStyle name="Comma 8 2 2 2 2 5 3 2" xfId="47711"/>
    <cellStyle name="Comma 8 2 2 2 2 5 4" xfId="47712"/>
    <cellStyle name="Comma 8 2 2 2 2 5 5" xfId="47713"/>
    <cellStyle name="Comma 8 2 2 2 2 6" xfId="47714"/>
    <cellStyle name="Comma 8 2 2 2 2 6 2" xfId="47715"/>
    <cellStyle name="Comma 8 2 2 2 2 6 3" xfId="47716"/>
    <cellStyle name="Comma 8 2 2 2 2 7" xfId="47717"/>
    <cellStyle name="Comma 8 2 2 2 2 7 2" xfId="47718"/>
    <cellStyle name="Comma 8 2 2 2 2 7 3" xfId="47719"/>
    <cellStyle name="Comma 8 2 2 2 2 8" xfId="47720"/>
    <cellStyle name="Comma 8 2 2 2 2 8 2" xfId="47721"/>
    <cellStyle name="Comma 8 2 2 2 2 9" xfId="47722"/>
    <cellStyle name="Comma 8 2 2 2 3" xfId="47723"/>
    <cellStyle name="Comma 8 2 2 2 3 2" xfId="47724"/>
    <cellStyle name="Comma 8 2 2 2 3 2 2" xfId="47725"/>
    <cellStyle name="Comma 8 2 2 2 3 2 2 2" xfId="47726"/>
    <cellStyle name="Comma 8 2 2 2 3 2 2 3" xfId="47727"/>
    <cellStyle name="Comma 8 2 2 2 3 2 3" xfId="47728"/>
    <cellStyle name="Comma 8 2 2 2 3 2 3 2" xfId="47729"/>
    <cellStyle name="Comma 8 2 2 2 3 2 3 3" xfId="47730"/>
    <cellStyle name="Comma 8 2 2 2 3 2 4" xfId="47731"/>
    <cellStyle name="Comma 8 2 2 2 3 2 4 2" xfId="47732"/>
    <cellStyle name="Comma 8 2 2 2 3 2 5" xfId="47733"/>
    <cellStyle name="Comma 8 2 2 2 3 2 6" xfId="47734"/>
    <cellStyle name="Comma 8 2 2 2 3 3" xfId="47735"/>
    <cellStyle name="Comma 8 2 2 2 3 3 2" xfId="47736"/>
    <cellStyle name="Comma 8 2 2 2 3 3 2 2" xfId="47737"/>
    <cellStyle name="Comma 8 2 2 2 3 3 2 3" xfId="47738"/>
    <cellStyle name="Comma 8 2 2 2 3 3 3" xfId="47739"/>
    <cellStyle name="Comma 8 2 2 2 3 3 3 2" xfId="47740"/>
    <cellStyle name="Comma 8 2 2 2 3 3 3 3" xfId="47741"/>
    <cellStyle name="Comma 8 2 2 2 3 3 4" xfId="47742"/>
    <cellStyle name="Comma 8 2 2 2 3 3 4 2" xfId="47743"/>
    <cellStyle name="Comma 8 2 2 2 3 3 5" xfId="47744"/>
    <cellStyle name="Comma 8 2 2 2 3 3 6" xfId="47745"/>
    <cellStyle name="Comma 8 2 2 2 3 4" xfId="47746"/>
    <cellStyle name="Comma 8 2 2 2 3 4 2" xfId="47747"/>
    <cellStyle name="Comma 8 2 2 2 3 4 2 2" xfId="47748"/>
    <cellStyle name="Comma 8 2 2 2 3 4 2 3" xfId="47749"/>
    <cellStyle name="Comma 8 2 2 2 3 4 3" xfId="47750"/>
    <cellStyle name="Comma 8 2 2 2 3 4 3 2" xfId="47751"/>
    <cellStyle name="Comma 8 2 2 2 3 4 4" xfId="47752"/>
    <cellStyle name="Comma 8 2 2 2 3 4 5" xfId="47753"/>
    <cellStyle name="Comma 8 2 2 2 3 5" xfId="47754"/>
    <cellStyle name="Comma 8 2 2 2 3 5 2" xfId="47755"/>
    <cellStyle name="Comma 8 2 2 2 3 5 3" xfId="47756"/>
    <cellStyle name="Comma 8 2 2 2 3 6" xfId="47757"/>
    <cellStyle name="Comma 8 2 2 2 3 6 2" xfId="47758"/>
    <cellStyle name="Comma 8 2 2 2 3 6 3" xfId="47759"/>
    <cellStyle name="Comma 8 2 2 2 3 7" xfId="47760"/>
    <cellStyle name="Comma 8 2 2 2 3 7 2" xfId="47761"/>
    <cellStyle name="Comma 8 2 2 2 3 8" xfId="47762"/>
    <cellStyle name="Comma 8 2 2 2 3 9" xfId="47763"/>
    <cellStyle name="Comma 8 2 2 2 4" xfId="47764"/>
    <cellStyle name="Comma 8 2 2 2 4 2" xfId="47765"/>
    <cellStyle name="Comma 8 2 2 2 4 2 2" xfId="47766"/>
    <cellStyle name="Comma 8 2 2 2 4 2 2 2" xfId="47767"/>
    <cellStyle name="Comma 8 2 2 2 4 2 2 3" xfId="47768"/>
    <cellStyle name="Comma 8 2 2 2 4 2 3" xfId="47769"/>
    <cellStyle name="Comma 8 2 2 2 4 2 3 2" xfId="47770"/>
    <cellStyle name="Comma 8 2 2 2 4 2 3 3" xfId="47771"/>
    <cellStyle name="Comma 8 2 2 2 4 2 4" xfId="47772"/>
    <cellStyle name="Comma 8 2 2 2 4 2 4 2" xfId="47773"/>
    <cellStyle name="Comma 8 2 2 2 4 2 5" xfId="47774"/>
    <cellStyle name="Comma 8 2 2 2 4 2 6" xfId="47775"/>
    <cellStyle name="Comma 8 2 2 2 4 3" xfId="47776"/>
    <cellStyle name="Comma 8 2 2 2 4 3 2" xfId="47777"/>
    <cellStyle name="Comma 8 2 2 2 4 3 2 2" xfId="47778"/>
    <cellStyle name="Comma 8 2 2 2 4 3 2 3" xfId="47779"/>
    <cellStyle name="Comma 8 2 2 2 4 3 3" xfId="47780"/>
    <cellStyle name="Comma 8 2 2 2 4 3 3 2" xfId="47781"/>
    <cellStyle name="Comma 8 2 2 2 4 3 3 3" xfId="47782"/>
    <cellStyle name="Comma 8 2 2 2 4 3 4" xfId="47783"/>
    <cellStyle name="Comma 8 2 2 2 4 3 4 2" xfId="47784"/>
    <cellStyle name="Comma 8 2 2 2 4 3 5" xfId="47785"/>
    <cellStyle name="Comma 8 2 2 2 4 3 6" xfId="47786"/>
    <cellStyle name="Comma 8 2 2 2 4 4" xfId="47787"/>
    <cellStyle name="Comma 8 2 2 2 4 4 2" xfId="47788"/>
    <cellStyle name="Comma 8 2 2 2 4 4 2 2" xfId="47789"/>
    <cellStyle name="Comma 8 2 2 2 4 4 2 3" xfId="47790"/>
    <cellStyle name="Comma 8 2 2 2 4 4 3" xfId="47791"/>
    <cellStyle name="Comma 8 2 2 2 4 4 3 2" xfId="47792"/>
    <cellStyle name="Comma 8 2 2 2 4 4 4" xfId="47793"/>
    <cellStyle name="Comma 8 2 2 2 4 4 5" xfId="47794"/>
    <cellStyle name="Comma 8 2 2 2 4 5" xfId="47795"/>
    <cellStyle name="Comma 8 2 2 2 4 5 2" xfId="47796"/>
    <cellStyle name="Comma 8 2 2 2 4 5 3" xfId="47797"/>
    <cellStyle name="Comma 8 2 2 2 4 6" xfId="47798"/>
    <cellStyle name="Comma 8 2 2 2 4 6 2" xfId="47799"/>
    <cellStyle name="Comma 8 2 2 2 4 6 3" xfId="47800"/>
    <cellStyle name="Comma 8 2 2 2 4 7" xfId="47801"/>
    <cellStyle name="Comma 8 2 2 2 4 7 2" xfId="47802"/>
    <cellStyle name="Comma 8 2 2 2 4 8" xfId="47803"/>
    <cellStyle name="Comma 8 2 2 2 4 9" xfId="47804"/>
    <cellStyle name="Comma 8 2 2 2 5" xfId="47805"/>
    <cellStyle name="Comma 8 2 2 2 5 2" xfId="47806"/>
    <cellStyle name="Comma 8 2 2 2 5 2 2" xfId="47807"/>
    <cellStyle name="Comma 8 2 2 2 5 2 3" xfId="47808"/>
    <cellStyle name="Comma 8 2 2 2 5 3" xfId="47809"/>
    <cellStyle name="Comma 8 2 2 2 5 3 2" xfId="47810"/>
    <cellStyle name="Comma 8 2 2 2 5 3 3" xfId="47811"/>
    <cellStyle name="Comma 8 2 2 2 5 4" xfId="47812"/>
    <cellStyle name="Comma 8 2 2 2 5 4 2" xfId="47813"/>
    <cellStyle name="Comma 8 2 2 2 5 5" xfId="47814"/>
    <cellStyle name="Comma 8 2 2 2 5 6" xfId="47815"/>
    <cellStyle name="Comma 8 2 2 2 6" xfId="47816"/>
    <cellStyle name="Comma 8 2 2 2 6 2" xfId="47817"/>
    <cellStyle name="Comma 8 2 2 2 6 2 2" xfId="47818"/>
    <cellStyle name="Comma 8 2 2 2 6 2 3" xfId="47819"/>
    <cellStyle name="Comma 8 2 2 2 6 3" xfId="47820"/>
    <cellStyle name="Comma 8 2 2 2 6 3 2" xfId="47821"/>
    <cellStyle name="Comma 8 2 2 2 6 3 3" xfId="47822"/>
    <cellStyle name="Comma 8 2 2 2 6 4" xfId="47823"/>
    <cellStyle name="Comma 8 2 2 2 6 4 2" xfId="47824"/>
    <cellStyle name="Comma 8 2 2 2 6 5" xfId="47825"/>
    <cellStyle name="Comma 8 2 2 2 6 6" xfId="47826"/>
    <cellStyle name="Comma 8 2 2 2 7" xfId="47827"/>
    <cellStyle name="Comma 8 2 2 2 7 2" xfId="47828"/>
    <cellStyle name="Comma 8 2 2 2 7 2 2" xfId="47829"/>
    <cellStyle name="Comma 8 2 2 2 7 2 3" xfId="47830"/>
    <cellStyle name="Comma 8 2 2 2 7 3" xfId="47831"/>
    <cellStyle name="Comma 8 2 2 2 7 3 2" xfId="47832"/>
    <cellStyle name="Comma 8 2 2 2 7 4" xfId="47833"/>
    <cellStyle name="Comma 8 2 2 2 7 5" xfId="47834"/>
    <cellStyle name="Comma 8 2 2 2 8" xfId="47835"/>
    <cellStyle name="Comma 8 2 2 2 8 2" xfId="47836"/>
    <cellStyle name="Comma 8 2 2 2 8 3" xfId="47837"/>
    <cellStyle name="Comma 8 2 2 2 9" xfId="47838"/>
    <cellStyle name="Comma 8 2 2 2 9 2" xfId="47839"/>
    <cellStyle name="Comma 8 2 2 2 9 3" xfId="47840"/>
    <cellStyle name="Comma 8 2 2 3" xfId="9172"/>
    <cellStyle name="Comma 8 2 2 3 10" xfId="47841"/>
    <cellStyle name="Comma 8 2 2 3 2" xfId="47842"/>
    <cellStyle name="Comma 8 2 2 3 2 2" xfId="47843"/>
    <cellStyle name="Comma 8 2 2 3 2 2 2" xfId="47844"/>
    <cellStyle name="Comma 8 2 2 3 2 2 2 2" xfId="47845"/>
    <cellStyle name="Comma 8 2 2 3 2 2 2 3" xfId="47846"/>
    <cellStyle name="Comma 8 2 2 3 2 2 3" xfId="47847"/>
    <cellStyle name="Comma 8 2 2 3 2 2 3 2" xfId="47848"/>
    <cellStyle name="Comma 8 2 2 3 2 2 3 3" xfId="47849"/>
    <cellStyle name="Comma 8 2 2 3 2 2 4" xfId="47850"/>
    <cellStyle name="Comma 8 2 2 3 2 2 4 2" xfId="47851"/>
    <cellStyle name="Comma 8 2 2 3 2 2 5" xfId="47852"/>
    <cellStyle name="Comma 8 2 2 3 2 2 6" xfId="47853"/>
    <cellStyle name="Comma 8 2 2 3 2 3" xfId="47854"/>
    <cellStyle name="Comma 8 2 2 3 2 3 2" xfId="47855"/>
    <cellStyle name="Comma 8 2 2 3 2 3 2 2" xfId="47856"/>
    <cellStyle name="Comma 8 2 2 3 2 3 2 3" xfId="47857"/>
    <cellStyle name="Comma 8 2 2 3 2 3 3" xfId="47858"/>
    <cellStyle name="Comma 8 2 2 3 2 3 3 2" xfId="47859"/>
    <cellStyle name="Comma 8 2 2 3 2 3 3 3" xfId="47860"/>
    <cellStyle name="Comma 8 2 2 3 2 3 4" xfId="47861"/>
    <cellStyle name="Comma 8 2 2 3 2 3 4 2" xfId="47862"/>
    <cellStyle name="Comma 8 2 2 3 2 3 5" xfId="47863"/>
    <cellStyle name="Comma 8 2 2 3 2 3 6" xfId="47864"/>
    <cellStyle name="Comma 8 2 2 3 2 4" xfId="47865"/>
    <cellStyle name="Comma 8 2 2 3 2 4 2" xfId="47866"/>
    <cellStyle name="Comma 8 2 2 3 2 4 2 2" xfId="47867"/>
    <cellStyle name="Comma 8 2 2 3 2 4 2 3" xfId="47868"/>
    <cellStyle name="Comma 8 2 2 3 2 4 3" xfId="47869"/>
    <cellStyle name="Comma 8 2 2 3 2 4 3 2" xfId="47870"/>
    <cellStyle name="Comma 8 2 2 3 2 4 4" xfId="47871"/>
    <cellStyle name="Comma 8 2 2 3 2 4 5" xfId="47872"/>
    <cellStyle name="Comma 8 2 2 3 2 5" xfId="47873"/>
    <cellStyle name="Comma 8 2 2 3 2 5 2" xfId="47874"/>
    <cellStyle name="Comma 8 2 2 3 2 5 3" xfId="47875"/>
    <cellStyle name="Comma 8 2 2 3 2 6" xfId="47876"/>
    <cellStyle name="Comma 8 2 2 3 2 6 2" xfId="47877"/>
    <cellStyle name="Comma 8 2 2 3 2 6 3" xfId="47878"/>
    <cellStyle name="Comma 8 2 2 3 2 7" xfId="47879"/>
    <cellStyle name="Comma 8 2 2 3 2 7 2" xfId="47880"/>
    <cellStyle name="Comma 8 2 2 3 2 8" xfId="47881"/>
    <cellStyle name="Comma 8 2 2 3 2 9" xfId="47882"/>
    <cellStyle name="Comma 8 2 2 3 3" xfId="47883"/>
    <cellStyle name="Comma 8 2 2 3 3 2" xfId="47884"/>
    <cellStyle name="Comma 8 2 2 3 3 2 2" xfId="47885"/>
    <cellStyle name="Comma 8 2 2 3 3 2 3" xfId="47886"/>
    <cellStyle name="Comma 8 2 2 3 3 3" xfId="47887"/>
    <cellStyle name="Comma 8 2 2 3 3 3 2" xfId="47888"/>
    <cellStyle name="Comma 8 2 2 3 3 3 3" xfId="47889"/>
    <cellStyle name="Comma 8 2 2 3 3 4" xfId="47890"/>
    <cellStyle name="Comma 8 2 2 3 3 4 2" xfId="47891"/>
    <cellStyle name="Comma 8 2 2 3 3 5" xfId="47892"/>
    <cellStyle name="Comma 8 2 2 3 3 6" xfId="47893"/>
    <cellStyle name="Comma 8 2 2 3 4" xfId="47894"/>
    <cellStyle name="Comma 8 2 2 3 4 2" xfId="47895"/>
    <cellStyle name="Comma 8 2 2 3 4 2 2" xfId="47896"/>
    <cellStyle name="Comma 8 2 2 3 4 2 3" xfId="47897"/>
    <cellStyle name="Comma 8 2 2 3 4 3" xfId="47898"/>
    <cellStyle name="Comma 8 2 2 3 4 3 2" xfId="47899"/>
    <cellStyle name="Comma 8 2 2 3 4 3 3" xfId="47900"/>
    <cellStyle name="Comma 8 2 2 3 4 4" xfId="47901"/>
    <cellStyle name="Comma 8 2 2 3 4 4 2" xfId="47902"/>
    <cellStyle name="Comma 8 2 2 3 4 5" xfId="47903"/>
    <cellStyle name="Comma 8 2 2 3 4 6" xfId="47904"/>
    <cellStyle name="Comma 8 2 2 3 5" xfId="47905"/>
    <cellStyle name="Comma 8 2 2 3 5 2" xfId="47906"/>
    <cellStyle name="Comma 8 2 2 3 5 2 2" xfId="47907"/>
    <cellStyle name="Comma 8 2 2 3 5 2 3" xfId="47908"/>
    <cellStyle name="Comma 8 2 2 3 5 3" xfId="47909"/>
    <cellStyle name="Comma 8 2 2 3 5 3 2" xfId="47910"/>
    <cellStyle name="Comma 8 2 2 3 5 4" xfId="47911"/>
    <cellStyle name="Comma 8 2 2 3 5 5" xfId="47912"/>
    <cellStyle name="Comma 8 2 2 3 6" xfId="47913"/>
    <cellStyle name="Comma 8 2 2 3 6 2" xfId="47914"/>
    <cellStyle name="Comma 8 2 2 3 6 3" xfId="47915"/>
    <cellStyle name="Comma 8 2 2 3 7" xfId="47916"/>
    <cellStyle name="Comma 8 2 2 3 7 2" xfId="47917"/>
    <cellStyle name="Comma 8 2 2 3 7 3" xfId="47918"/>
    <cellStyle name="Comma 8 2 2 3 8" xfId="47919"/>
    <cellStyle name="Comma 8 2 2 3 8 2" xfId="47920"/>
    <cellStyle name="Comma 8 2 2 3 9" xfId="47921"/>
    <cellStyle name="Comma 8 2 2 4" xfId="47922"/>
    <cellStyle name="Comma 8 2 2 4 2" xfId="47923"/>
    <cellStyle name="Comma 8 2 2 4 2 2" xfId="47924"/>
    <cellStyle name="Comma 8 2 2 4 2 2 2" xfId="47925"/>
    <cellStyle name="Comma 8 2 2 4 2 2 3" xfId="47926"/>
    <cellStyle name="Comma 8 2 2 4 2 3" xfId="47927"/>
    <cellStyle name="Comma 8 2 2 4 2 3 2" xfId="47928"/>
    <cellStyle name="Comma 8 2 2 4 2 3 3" xfId="47929"/>
    <cellStyle name="Comma 8 2 2 4 2 4" xfId="47930"/>
    <cellStyle name="Comma 8 2 2 4 2 4 2" xfId="47931"/>
    <cellStyle name="Comma 8 2 2 4 2 5" xfId="47932"/>
    <cellStyle name="Comma 8 2 2 4 2 6" xfId="47933"/>
    <cellStyle name="Comma 8 2 2 4 3" xfId="47934"/>
    <cellStyle name="Comma 8 2 2 4 3 2" xfId="47935"/>
    <cellStyle name="Comma 8 2 2 4 3 2 2" xfId="47936"/>
    <cellStyle name="Comma 8 2 2 4 3 2 3" xfId="47937"/>
    <cellStyle name="Comma 8 2 2 4 3 3" xfId="47938"/>
    <cellStyle name="Comma 8 2 2 4 3 3 2" xfId="47939"/>
    <cellStyle name="Comma 8 2 2 4 3 3 3" xfId="47940"/>
    <cellStyle name="Comma 8 2 2 4 3 4" xfId="47941"/>
    <cellStyle name="Comma 8 2 2 4 3 4 2" xfId="47942"/>
    <cellStyle name="Comma 8 2 2 4 3 5" xfId="47943"/>
    <cellStyle name="Comma 8 2 2 4 3 6" xfId="47944"/>
    <cellStyle name="Comma 8 2 2 4 4" xfId="47945"/>
    <cellStyle name="Comma 8 2 2 4 4 2" xfId="47946"/>
    <cellStyle name="Comma 8 2 2 4 4 2 2" xfId="47947"/>
    <cellStyle name="Comma 8 2 2 4 4 2 3" xfId="47948"/>
    <cellStyle name="Comma 8 2 2 4 4 3" xfId="47949"/>
    <cellStyle name="Comma 8 2 2 4 4 3 2" xfId="47950"/>
    <cellStyle name="Comma 8 2 2 4 4 4" xfId="47951"/>
    <cellStyle name="Comma 8 2 2 4 4 5" xfId="47952"/>
    <cellStyle name="Comma 8 2 2 4 5" xfId="47953"/>
    <cellStyle name="Comma 8 2 2 4 5 2" xfId="47954"/>
    <cellStyle name="Comma 8 2 2 4 5 3" xfId="47955"/>
    <cellStyle name="Comma 8 2 2 4 6" xfId="47956"/>
    <cellStyle name="Comma 8 2 2 4 6 2" xfId="47957"/>
    <cellStyle name="Comma 8 2 2 4 6 3" xfId="47958"/>
    <cellStyle name="Comma 8 2 2 4 7" xfId="47959"/>
    <cellStyle name="Comma 8 2 2 4 7 2" xfId="47960"/>
    <cellStyle name="Comma 8 2 2 4 8" xfId="47961"/>
    <cellStyle name="Comma 8 2 2 4 9" xfId="47962"/>
    <cellStyle name="Comma 8 2 2 5" xfId="47963"/>
    <cellStyle name="Comma 8 2 2 5 2" xfId="47964"/>
    <cellStyle name="Comma 8 2 2 5 2 2" xfId="47965"/>
    <cellStyle name="Comma 8 2 2 5 2 2 2" xfId="47966"/>
    <cellStyle name="Comma 8 2 2 5 2 2 3" xfId="47967"/>
    <cellStyle name="Comma 8 2 2 5 2 3" xfId="47968"/>
    <cellStyle name="Comma 8 2 2 5 2 3 2" xfId="47969"/>
    <cellStyle name="Comma 8 2 2 5 2 3 3" xfId="47970"/>
    <cellStyle name="Comma 8 2 2 5 2 4" xfId="47971"/>
    <cellStyle name="Comma 8 2 2 5 2 4 2" xfId="47972"/>
    <cellStyle name="Comma 8 2 2 5 2 5" xfId="47973"/>
    <cellStyle name="Comma 8 2 2 5 2 6" xfId="47974"/>
    <cellStyle name="Comma 8 2 2 5 3" xfId="47975"/>
    <cellStyle name="Comma 8 2 2 5 3 2" xfId="47976"/>
    <cellStyle name="Comma 8 2 2 5 3 2 2" xfId="47977"/>
    <cellStyle name="Comma 8 2 2 5 3 2 3" xfId="47978"/>
    <cellStyle name="Comma 8 2 2 5 3 3" xfId="47979"/>
    <cellStyle name="Comma 8 2 2 5 3 3 2" xfId="47980"/>
    <cellStyle name="Comma 8 2 2 5 3 3 3" xfId="47981"/>
    <cellStyle name="Comma 8 2 2 5 3 4" xfId="47982"/>
    <cellStyle name="Comma 8 2 2 5 3 4 2" xfId="47983"/>
    <cellStyle name="Comma 8 2 2 5 3 5" xfId="47984"/>
    <cellStyle name="Comma 8 2 2 5 3 6" xfId="47985"/>
    <cellStyle name="Comma 8 2 2 5 4" xfId="47986"/>
    <cellStyle name="Comma 8 2 2 5 4 2" xfId="47987"/>
    <cellStyle name="Comma 8 2 2 5 4 2 2" xfId="47988"/>
    <cellStyle name="Comma 8 2 2 5 4 2 3" xfId="47989"/>
    <cellStyle name="Comma 8 2 2 5 4 3" xfId="47990"/>
    <cellStyle name="Comma 8 2 2 5 4 3 2" xfId="47991"/>
    <cellStyle name="Comma 8 2 2 5 4 4" xfId="47992"/>
    <cellStyle name="Comma 8 2 2 5 4 5" xfId="47993"/>
    <cellStyle name="Comma 8 2 2 5 5" xfId="47994"/>
    <cellStyle name="Comma 8 2 2 5 5 2" xfId="47995"/>
    <cellStyle name="Comma 8 2 2 5 5 3" xfId="47996"/>
    <cellStyle name="Comma 8 2 2 5 6" xfId="47997"/>
    <cellStyle name="Comma 8 2 2 5 6 2" xfId="47998"/>
    <cellStyle name="Comma 8 2 2 5 6 3" xfId="47999"/>
    <cellStyle name="Comma 8 2 2 5 7" xfId="48000"/>
    <cellStyle name="Comma 8 2 2 5 7 2" xfId="48001"/>
    <cellStyle name="Comma 8 2 2 5 8" xfId="48002"/>
    <cellStyle name="Comma 8 2 2 5 9" xfId="48003"/>
    <cellStyle name="Comma 8 2 2 6" xfId="48004"/>
    <cellStyle name="Comma 8 2 2 6 2" xfId="48005"/>
    <cellStyle name="Comma 8 2 2 6 2 2" xfId="48006"/>
    <cellStyle name="Comma 8 2 2 6 2 3" xfId="48007"/>
    <cellStyle name="Comma 8 2 2 6 3" xfId="48008"/>
    <cellStyle name="Comma 8 2 2 6 3 2" xfId="48009"/>
    <cellStyle name="Comma 8 2 2 6 3 3" xfId="48010"/>
    <cellStyle name="Comma 8 2 2 6 4" xfId="48011"/>
    <cellStyle name="Comma 8 2 2 6 4 2" xfId="48012"/>
    <cellStyle name="Comma 8 2 2 6 5" xfId="48013"/>
    <cellStyle name="Comma 8 2 2 6 6" xfId="48014"/>
    <cellStyle name="Comma 8 2 2 7" xfId="48015"/>
    <cellStyle name="Comma 8 2 2 7 2" xfId="48016"/>
    <cellStyle name="Comma 8 2 2 7 2 2" xfId="48017"/>
    <cellStyle name="Comma 8 2 2 7 2 3" xfId="48018"/>
    <cellStyle name="Comma 8 2 2 7 3" xfId="48019"/>
    <cellStyle name="Comma 8 2 2 7 3 2" xfId="48020"/>
    <cellStyle name="Comma 8 2 2 7 3 3" xfId="48021"/>
    <cellStyle name="Comma 8 2 2 7 4" xfId="48022"/>
    <cellStyle name="Comma 8 2 2 7 4 2" xfId="48023"/>
    <cellStyle name="Comma 8 2 2 7 5" xfId="48024"/>
    <cellStyle name="Comma 8 2 2 7 6" xfId="48025"/>
    <cellStyle name="Comma 8 2 2 8" xfId="48026"/>
    <cellStyle name="Comma 8 2 2 8 2" xfId="48027"/>
    <cellStyle name="Comma 8 2 2 8 2 2" xfId="48028"/>
    <cellStyle name="Comma 8 2 2 8 2 3" xfId="48029"/>
    <cellStyle name="Comma 8 2 2 8 3" xfId="48030"/>
    <cellStyle name="Comma 8 2 2 8 3 2" xfId="48031"/>
    <cellStyle name="Comma 8 2 2 8 4" xfId="48032"/>
    <cellStyle name="Comma 8 2 2 8 5" xfId="48033"/>
    <cellStyle name="Comma 8 2 2 9" xfId="48034"/>
    <cellStyle name="Comma 8 2 2 9 2" xfId="48035"/>
    <cellStyle name="Comma 8 2 2 9 3" xfId="48036"/>
    <cellStyle name="Comma 8 2 3" xfId="9173"/>
    <cellStyle name="Comma 8 2 3 10" xfId="48037"/>
    <cellStyle name="Comma 8 2 3 10 2" xfId="48038"/>
    <cellStyle name="Comma 8 2 3 11" xfId="48039"/>
    <cellStyle name="Comma 8 2 3 12" xfId="48040"/>
    <cellStyle name="Comma 8 2 3 13" xfId="48041"/>
    <cellStyle name="Comma 8 2 3 2" xfId="48042"/>
    <cellStyle name="Comma 8 2 3 2 10" xfId="48043"/>
    <cellStyle name="Comma 8 2 3 2 2" xfId="48044"/>
    <cellStyle name="Comma 8 2 3 2 2 2" xfId="48045"/>
    <cellStyle name="Comma 8 2 3 2 2 2 2" xfId="48046"/>
    <cellStyle name="Comma 8 2 3 2 2 2 2 2" xfId="48047"/>
    <cellStyle name="Comma 8 2 3 2 2 2 2 3" xfId="48048"/>
    <cellStyle name="Comma 8 2 3 2 2 2 3" xfId="48049"/>
    <cellStyle name="Comma 8 2 3 2 2 2 3 2" xfId="48050"/>
    <cellStyle name="Comma 8 2 3 2 2 2 3 3" xfId="48051"/>
    <cellStyle name="Comma 8 2 3 2 2 2 4" xfId="48052"/>
    <cellStyle name="Comma 8 2 3 2 2 2 4 2" xfId="48053"/>
    <cellStyle name="Comma 8 2 3 2 2 2 5" xfId="48054"/>
    <cellStyle name="Comma 8 2 3 2 2 2 6" xfId="48055"/>
    <cellStyle name="Comma 8 2 3 2 2 3" xfId="48056"/>
    <cellStyle name="Comma 8 2 3 2 2 3 2" xfId="48057"/>
    <cellStyle name="Comma 8 2 3 2 2 3 2 2" xfId="48058"/>
    <cellStyle name="Comma 8 2 3 2 2 3 2 3" xfId="48059"/>
    <cellStyle name="Comma 8 2 3 2 2 3 3" xfId="48060"/>
    <cellStyle name="Comma 8 2 3 2 2 3 3 2" xfId="48061"/>
    <cellStyle name="Comma 8 2 3 2 2 3 3 3" xfId="48062"/>
    <cellStyle name="Comma 8 2 3 2 2 3 4" xfId="48063"/>
    <cellStyle name="Comma 8 2 3 2 2 3 4 2" xfId="48064"/>
    <cellStyle name="Comma 8 2 3 2 2 3 5" xfId="48065"/>
    <cellStyle name="Comma 8 2 3 2 2 3 6" xfId="48066"/>
    <cellStyle name="Comma 8 2 3 2 2 4" xfId="48067"/>
    <cellStyle name="Comma 8 2 3 2 2 4 2" xfId="48068"/>
    <cellStyle name="Comma 8 2 3 2 2 4 2 2" xfId="48069"/>
    <cellStyle name="Comma 8 2 3 2 2 4 2 3" xfId="48070"/>
    <cellStyle name="Comma 8 2 3 2 2 4 3" xfId="48071"/>
    <cellStyle name="Comma 8 2 3 2 2 4 3 2" xfId="48072"/>
    <cellStyle name="Comma 8 2 3 2 2 4 4" xfId="48073"/>
    <cellStyle name="Comma 8 2 3 2 2 4 5" xfId="48074"/>
    <cellStyle name="Comma 8 2 3 2 2 5" xfId="48075"/>
    <cellStyle name="Comma 8 2 3 2 2 5 2" xfId="48076"/>
    <cellStyle name="Comma 8 2 3 2 2 5 3" xfId="48077"/>
    <cellStyle name="Comma 8 2 3 2 2 6" xfId="48078"/>
    <cellStyle name="Comma 8 2 3 2 2 6 2" xfId="48079"/>
    <cellStyle name="Comma 8 2 3 2 2 6 3" xfId="48080"/>
    <cellStyle name="Comma 8 2 3 2 2 7" xfId="48081"/>
    <cellStyle name="Comma 8 2 3 2 2 7 2" xfId="48082"/>
    <cellStyle name="Comma 8 2 3 2 2 8" xfId="48083"/>
    <cellStyle name="Comma 8 2 3 2 2 9" xfId="48084"/>
    <cellStyle name="Comma 8 2 3 2 3" xfId="48085"/>
    <cellStyle name="Comma 8 2 3 2 3 2" xfId="48086"/>
    <cellStyle name="Comma 8 2 3 2 3 2 2" xfId="48087"/>
    <cellStyle name="Comma 8 2 3 2 3 2 3" xfId="48088"/>
    <cellStyle name="Comma 8 2 3 2 3 3" xfId="48089"/>
    <cellStyle name="Comma 8 2 3 2 3 3 2" xfId="48090"/>
    <cellStyle name="Comma 8 2 3 2 3 3 3" xfId="48091"/>
    <cellStyle name="Comma 8 2 3 2 3 4" xfId="48092"/>
    <cellStyle name="Comma 8 2 3 2 3 4 2" xfId="48093"/>
    <cellStyle name="Comma 8 2 3 2 3 5" xfId="48094"/>
    <cellStyle name="Comma 8 2 3 2 3 6" xfId="48095"/>
    <cellStyle name="Comma 8 2 3 2 4" xfId="48096"/>
    <cellStyle name="Comma 8 2 3 2 4 2" xfId="48097"/>
    <cellStyle name="Comma 8 2 3 2 4 2 2" xfId="48098"/>
    <cellStyle name="Comma 8 2 3 2 4 2 3" xfId="48099"/>
    <cellStyle name="Comma 8 2 3 2 4 3" xfId="48100"/>
    <cellStyle name="Comma 8 2 3 2 4 3 2" xfId="48101"/>
    <cellStyle name="Comma 8 2 3 2 4 3 3" xfId="48102"/>
    <cellStyle name="Comma 8 2 3 2 4 4" xfId="48103"/>
    <cellStyle name="Comma 8 2 3 2 4 4 2" xfId="48104"/>
    <cellStyle name="Comma 8 2 3 2 4 5" xfId="48105"/>
    <cellStyle name="Comma 8 2 3 2 4 6" xfId="48106"/>
    <cellStyle name="Comma 8 2 3 2 5" xfId="48107"/>
    <cellStyle name="Comma 8 2 3 2 5 2" xfId="48108"/>
    <cellStyle name="Comma 8 2 3 2 5 2 2" xfId="48109"/>
    <cellStyle name="Comma 8 2 3 2 5 2 3" xfId="48110"/>
    <cellStyle name="Comma 8 2 3 2 5 3" xfId="48111"/>
    <cellStyle name="Comma 8 2 3 2 5 3 2" xfId="48112"/>
    <cellStyle name="Comma 8 2 3 2 5 4" xfId="48113"/>
    <cellStyle name="Comma 8 2 3 2 5 5" xfId="48114"/>
    <cellStyle name="Comma 8 2 3 2 6" xfId="48115"/>
    <cellStyle name="Comma 8 2 3 2 6 2" xfId="48116"/>
    <cellStyle name="Comma 8 2 3 2 6 3" xfId="48117"/>
    <cellStyle name="Comma 8 2 3 2 7" xfId="48118"/>
    <cellStyle name="Comma 8 2 3 2 7 2" xfId="48119"/>
    <cellStyle name="Comma 8 2 3 2 7 3" xfId="48120"/>
    <cellStyle name="Comma 8 2 3 2 8" xfId="48121"/>
    <cellStyle name="Comma 8 2 3 2 8 2" xfId="48122"/>
    <cellStyle name="Comma 8 2 3 2 9" xfId="48123"/>
    <cellStyle name="Comma 8 2 3 3" xfId="48124"/>
    <cellStyle name="Comma 8 2 3 3 2" xfId="48125"/>
    <cellStyle name="Comma 8 2 3 3 2 2" xfId="48126"/>
    <cellStyle name="Comma 8 2 3 3 2 2 2" xfId="48127"/>
    <cellStyle name="Comma 8 2 3 3 2 2 3" xfId="48128"/>
    <cellStyle name="Comma 8 2 3 3 2 3" xfId="48129"/>
    <cellStyle name="Comma 8 2 3 3 2 3 2" xfId="48130"/>
    <cellStyle name="Comma 8 2 3 3 2 3 3" xfId="48131"/>
    <cellStyle name="Comma 8 2 3 3 2 4" xfId="48132"/>
    <cellStyle name="Comma 8 2 3 3 2 4 2" xfId="48133"/>
    <cellStyle name="Comma 8 2 3 3 2 5" xfId="48134"/>
    <cellStyle name="Comma 8 2 3 3 2 6" xfId="48135"/>
    <cellStyle name="Comma 8 2 3 3 3" xfId="48136"/>
    <cellStyle name="Comma 8 2 3 3 3 2" xfId="48137"/>
    <cellStyle name="Comma 8 2 3 3 3 2 2" xfId="48138"/>
    <cellStyle name="Comma 8 2 3 3 3 2 3" xfId="48139"/>
    <cellStyle name="Comma 8 2 3 3 3 3" xfId="48140"/>
    <cellStyle name="Comma 8 2 3 3 3 3 2" xfId="48141"/>
    <cellStyle name="Comma 8 2 3 3 3 3 3" xfId="48142"/>
    <cellStyle name="Comma 8 2 3 3 3 4" xfId="48143"/>
    <cellStyle name="Comma 8 2 3 3 3 4 2" xfId="48144"/>
    <cellStyle name="Comma 8 2 3 3 3 5" xfId="48145"/>
    <cellStyle name="Comma 8 2 3 3 3 6" xfId="48146"/>
    <cellStyle name="Comma 8 2 3 3 4" xfId="48147"/>
    <cellStyle name="Comma 8 2 3 3 4 2" xfId="48148"/>
    <cellStyle name="Comma 8 2 3 3 4 2 2" xfId="48149"/>
    <cellStyle name="Comma 8 2 3 3 4 2 3" xfId="48150"/>
    <cellStyle name="Comma 8 2 3 3 4 3" xfId="48151"/>
    <cellStyle name="Comma 8 2 3 3 4 3 2" xfId="48152"/>
    <cellStyle name="Comma 8 2 3 3 4 4" xfId="48153"/>
    <cellStyle name="Comma 8 2 3 3 4 5" xfId="48154"/>
    <cellStyle name="Comma 8 2 3 3 5" xfId="48155"/>
    <cellStyle name="Comma 8 2 3 3 5 2" xfId="48156"/>
    <cellStyle name="Comma 8 2 3 3 5 3" xfId="48157"/>
    <cellStyle name="Comma 8 2 3 3 6" xfId="48158"/>
    <cellStyle name="Comma 8 2 3 3 6 2" xfId="48159"/>
    <cellStyle name="Comma 8 2 3 3 6 3" xfId="48160"/>
    <cellStyle name="Comma 8 2 3 3 7" xfId="48161"/>
    <cellStyle name="Comma 8 2 3 3 7 2" xfId="48162"/>
    <cellStyle name="Comma 8 2 3 3 8" xfId="48163"/>
    <cellStyle name="Comma 8 2 3 3 9" xfId="48164"/>
    <cellStyle name="Comma 8 2 3 4" xfId="48165"/>
    <cellStyle name="Comma 8 2 3 4 2" xfId="48166"/>
    <cellStyle name="Comma 8 2 3 4 2 2" xfId="48167"/>
    <cellStyle name="Comma 8 2 3 4 2 2 2" xfId="48168"/>
    <cellStyle name="Comma 8 2 3 4 2 2 3" xfId="48169"/>
    <cellStyle name="Comma 8 2 3 4 2 3" xfId="48170"/>
    <cellStyle name="Comma 8 2 3 4 2 3 2" xfId="48171"/>
    <cellStyle name="Comma 8 2 3 4 2 3 3" xfId="48172"/>
    <cellStyle name="Comma 8 2 3 4 2 4" xfId="48173"/>
    <cellStyle name="Comma 8 2 3 4 2 4 2" xfId="48174"/>
    <cellStyle name="Comma 8 2 3 4 2 5" xfId="48175"/>
    <cellStyle name="Comma 8 2 3 4 2 6" xfId="48176"/>
    <cellStyle name="Comma 8 2 3 4 3" xfId="48177"/>
    <cellStyle name="Comma 8 2 3 4 3 2" xfId="48178"/>
    <cellStyle name="Comma 8 2 3 4 3 2 2" xfId="48179"/>
    <cellStyle name="Comma 8 2 3 4 3 2 3" xfId="48180"/>
    <cellStyle name="Comma 8 2 3 4 3 3" xfId="48181"/>
    <cellStyle name="Comma 8 2 3 4 3 3 2" xfId="48182"/>
    <cellStyle name="Comma 8 2 3 4 3 3 3" xfId="48183"/>
    <cellStyle name="Comma 8 2 3 4 3 4" xfId="48184"/>
    <cellStyle name="Comma 8 2 3 4 3 4 2" xfId="48185"/>
    <cellStyle name="Comma 8 2 3 4 3 5" xfId="48186"/>
    <cellStyle name="Comma 8 2 3 4 3 6" xfId="48187"/>
    <cellStyle name="Comma 8 2 3 4 4" xfId="48188"/>
    <cellStyle name="Comma 8 2 3 4 4 2" xfId="48189"/>
    <cellStyle name="Comma 8 2 3 4 4 2 2" xfId="48190"/>
    <cellStyle name="Comma 8 2 3 4 4 2 3" xfId="48191"/>
    <cellStyle name="Comma 8 2 3 4 4 3" xfId="48192"/>
    <cellStyle name="Comma 8 2 3 4 4 3 2" xfId="48193"/>
    <cellStyle name="Comma 8 2 3 4 4 4" xfId="48194"/>
    <cellStyle name="Comma 8 2 3 4 4 5" xfId="48195"/>
    <cellStyle name="Comma 8 2 3 4 5" xfId="48196"/>
    <cellStyle name="Comma 8 2 3 4 5 2" xfId="48197"/>
    <cellStyle name="Comma 8 2 3 4 5 3" xfId="48198"/>
    <cellStyle name="Comma 8 2 3 4 6" xfId="48199"/>
    <cellStyle name="Comma 8 2 3 4 6 2" xfId="48200"/>
    <cellStyle name="Comma 8 2 3 4 6 3" xfId="48201"/>
    <cellStyle name="Comma 8 2 3 4 7" xfId="48202"/>
    <cellStyle name="Comma 8 2 3 4 7 2" xfId="48203"/>
    <cellStyle name="Comma 8 2 3 4 8" xfId="48204"/>
    <cellStyle name="Comma 8 2 3 4 9" xfId="48205"/>
    <cellStyle name="Comma 8 2 3 5" xfId="48206"/>
    <cellStyle name="Comma 8 2 3 5 2" xfId="48207"/>
    <cellStyle name="Comma 8 2 3 5 2 2" xfId="48208"/>
    <cellStyle name="Comma 8 2 3 5 2 3" xfId="48209"/>
    <cellStyle name="Comma 8 2 3 5 3" xfId="48210"/>
    <cellStyle name="Comma 8 2 3 5 3 2" xfId="48211"/>
    <cellStyle name="Comma 8 2 3 5 3 3" xfId="48212"/>
    <cellStyle name="Comma 8 2 3 5 4" xfId="48213"/>
    <cellStyle name="Comma 8 2 3 5 4 2" xfId="48214"/>
    <cellStyle name="Comma 8 2 3 5 5" xfId="48215"/>
    <cellStyle name="Comma 8 2 3 5 6" xfId="48216"/>
    <cellStyle name="Comma 8 2 3 6" xfId="48217"/>
    <cellStyle name="Comma 8 2 3 6 2" xfId="48218"/>
    <cellStyle name="Comma 8 2 3 6 2 2" xfId="48219"/>
    <cellStyle name="Comma 8 2 3 6 2 3" xfId="48220"/>
    <cellStyle name="Comma 8 2 3 6 3" xfId="48221"/>
    <cellStyle name="Comma 8 2 3 6 3 2" xfId="48222"/>
    <cellStyle name="Comma 8 2 3 6 3 3" xfId="48223"/>
    <cellStyle name="Comma 8 2 3 6 4" xfId="48224"/>
    <cellStyle name="Comma 8 2 3 6 4 2" xfId="48225"/>
    <cellStyle name="Comma 8 2 3 6 5" xfId="48226"/>
    <cellStyle name="Comma 8 2 3 6 6" xfId="48227"/>
    <cellStyle name="Comma 8 2 3 7" xfId="48228"/>
    <cellStyle name="Comma 8 2 3 7 2" xfId="48229"/>
    <cellStyle name="Comma 8 2 3 7 2 2" xfId="48230"/>
    <cellStyle name="Comma 8 2 3 7 2 3" xfId="48231"/>
    <cellStyle name="Comma 8 2 3 7 3" xfId="48232"/>
    <cellStyle name="Comma 8 2 3 7 3 2" xfId="48233"/>
    <cellStyle name="Comma 8 2 3 7 4" xfId="48234"/>
    <cellStyle name="Comma 8 2 3 7 5" xfId="48235"/>
    <cellStyle name="Comma 8 2 3 8" xfId="48236"/>
    <cellStyle name="Comma 8 2 3 8 2" xfId="48237"/>
    <cellStyle name="Comma 8 2 3 8 3" xfId="48238"/>
    <cellStyle name="Comma 8 2 3 9" xfId="48239"/>
    <cellStyle name="Comma 8 2 3 9 2" xfId="48240"/>
    <cellStyle name="Comma 8 2 3 9 3" xfId="48241"/>
    <cellStyle name="Comma 8 2 4" xfId="9174"/>
    <cellStyle name="Comma 8 2 4 10" xfId="48242"/>
    <cellStyle name="Comma 8 2 4 2" xfId="48243"/>
    <cellStyle name="Comma 8 2 4 2 2" xfId="48244"/>
    <cellStyle name="Comma 8 2 4 2 2 2" xfId="48245"/>
    <cellStyle name="Comma 8 2 4 2 2 2 2" xfId="48246"/>
    <cellStyle name="Comma 8 2 4 2 2 2 3" xfId="48247"/>
    <cellStyle name="Comma 8 2 4 2 2 3" xfId="48248"/>
    <cellStyle name="Comma 8 2 4 2 2 3 2" xfId="48249"/>
    <cellStyle name="Comma 8 2 4 2 2 3 3" xfId="48250"/>
    <cellStyle name="Comma 8 2 4 2 2 4" xfId="48251"/>
    <cellStyle name="Comma 8 2 4 2 2 4 2" xfId="48252"/>
    <cellStyle name="Comma 8 2 4 2 2 5" xfId="48253"/>
    <cellStyle name="Comma 8 2 4 2 2 6" xfId="48254"/>
    <cellStyle name="Comma 8 2 4 2 3" xfId="48255"/>
    <cellStyle name="Comma 8 2 4 2 3 2" xfId="48256"/>
    <cellStyle name="Comma 8 2 4 2 3 2 2" xfId="48257"/>
    <cellStyle name="Comma 8 2 4 2 3 2 3" xfId="48258"/>
    <cellStyle name="Comma 8 2 4 2 3 3" xfId="48259"/>
    <cellStyle name="Comma 8 2 4 2 3 3 2" xfId="48260"/>
    <cellStyle name="Comma 8 2 4 2 3 3 3" xfId="48261"/>
    <cellStyle name="Comma 8 2 4 2 3 4" xfId="48262"/>
    <cellStyle name="Comma 8 2 4 2 3 4 2" xfId="48263"/>
    <cellStyle name="Comma 8 2 4 2 3 5" xfId="48264"/>
    <cellStyle name="Comma 8 2 4 2 3 6" xfId="48265"/>
    <cellStyle name="Comma 8 2 4 2 4" xfId="48266"/>
    <cellStyle name="Comma 8 2 4 2 4 2" xfId="48267"/>
    <cellStyle name="Comma 8 2 4 2 4 2 2" xfId="48268"/>
    <cellStyle name="Comma 8 2 4 2 4 2 3" xfId="48269"/>
    <cellStyle name="Comma 8 2 4 2 4 3" xfId="48270"/>
    <cellStyle name="Comma 8 2 4 2 4 3 2" xfId="48271"/>
    <cellStyle name="Comma 8 2 4 2 4 4" xfId="48272"/>
    <cellStyle name="Comma 8 2 4 2 4 5" xfId="48273"/>
    <cellStyle name="Comma 8 2 4 2 5" xfId="48274"/>
    <cellStyle name="Comma 8 2 4 2 5 2" xfId="48275"/>
    <cellStyle name="Comma 8 2 4 2 5 3" xfId="48276"/>
    <cellStyle name="Comma 8 2 4 2 6" xfId="48277"/>
    <cellStyle name="Comma 8 2 4 2 6 2" xfId="48278"/>
    <cellStyle name="Comma 8 2 4 2 6 3" xfId="48279"/>
    <cellStyle name="Comma 8 2 4 2 7" xfId="48280"/>
    <cellStyle name="Comma 8 2 4 2 7 2" xfId="48281"/>
    <cellStyle name="Comma 8 2 4 2 8" xfId="48282"/>
    <cellStyle name="Comma 8 2 4 2 9" xfId="48283"/>
    <cellStyle name="Comma 8 2 4 3" xfId="48284"/>
    <cellStyle name="Comma 8 2 4 3 2" xfId="48285"/>
    <cellStyle name="Comma 8 2 4 3 2 2" xfId="48286"/>
    <cellStyle name="Comma 8 2 4 3 2 3" xfId="48287"/>
    <cellStyle name="Comma 8 2 4 3 3" xfId="48288"/>
    <cellStyle name="Comma 8 2 4 3 3 2" xfId="48289"/>
    <cellStyle name="Comma 8 2 4 3 3 3" xfId="48290"/>
    <cellStyle name="Comma 8 2 4 3 4" xfId="48291"/>
    <cellStyle name="Comma 8 2 4 3 4 2" xfId="48292"/>
    <cellStyle name="Comma 8 2 4 3 5" xfId="48293"/>
    <cellStyle name="Comma 8 2 4 3 6" xfId="48294"/>
    <cellStyle name="Comma 8 2 4 4" xfId="48295"/>
    <cellStyle name="Comma 8 2 4 4 2" xfId="48296"/>
    <cellStyle name="Comma 8 2 4 4 2 2" xfId="48297"/>
    <cellStyle name="Comma 8 2 4 4 2 3" xfId="48298"/>
    <cellStyle name="Comma 8 2 4 4 3" xfId="48299"/>
    <cellStyle name="Comma 8 2 4 4 3 2" xfId="48300"/>
    <cellStyle name="Comma 8 2 4 4 3 3" xfId="48301"/>
    <cellStyle name="Comma 8 2 4 4 4" xfId="48302"/>
    <cellStyle name="Comma 8 2 4 4 4 2" xfId="48303"/>
    <cellStyle name="Comma 8 2 4 4 5" xfId="48304"/>
    <cellStyle name="Comma 8 2 4 4 6" xfId="48305"/>
    <cellStyle name="Comma 8 2 4 5" xfId="48306"/>
    <cellStyle name="Comma 8 2 4 5 2" xfId="48307"/>
    <cellStyle name="Comma 8 2 4 5 2 2" xfId="48308"/>
    <cellStyle name="Comma 8 2 4 5 2 3" xfId="48309"/>
    <cellStyle name="Comma 8 2 4 5 3" xfId="48310"/>
    <cellStyle name="Comma 8 2 4 5 3 2" xfId="48311"/>
    <cellStyle name="Comma 8 2 4 5 4" xfId="48312"/>
    <cellStyle name="Comma 8 2 4 5 5" xfId="48313"/>
    <cellStyle name="Comma 8 2 4 6" xfId="48314"/>
    <cellStyle name="Comma 8 2 4 6 2" xfId="48315"/>
    <cellStyle name="Comma 8 2 4 6 3" xfId="48316"/>
    <cellStyle name="Comma 8 2 4 7" xfId="48317"/>
    <cellStyle name="Comma 8 2 4 7 2" xfId="48318"/>
    <cellStyle name="Comma 8 2 4 7 3" xfId="48319"/>
    <cellStyle name="Comma 8 2 4 8" xfId="48320"/>
    <cellStyle name="Comma 8 2 4 8 2" xfId="48321"/>
    <cellStyle name="Comma 8 2 4 9" xfId="48322"/>
    <cellStyle name="Comma 8 2 5" xfId="48323"/>
    <cellStyle name="Comma 8 2 5 2" xfId="48324"/>
    <cellStyle name="Comma 8 2 5 2 2" xfId="48325"/>
    <cellStyle name="Comma 8 2 5 2 2 2" xfId="48326"/>
    <cellStyle name="Comma 8 2 5 2 2 3" xfId="48327"/>
    <cellStyle name="Comma 8 2 5 2 3" xfId="48328"/>
    <cellStyle name="Comma 8 2 5 2 3 2" xfId="48329"/>
    <cellStyle name="Comma 8 2 5 2 3 3" xfId="48330"/>
    <cellStyle name="Comma 8 2 5 2 4" xfId="48331"/>
    <cellStyle name="Comma 8 2 5 2 4 2" xfId="48332"/>
    <cellStyle name="Comma 8 2 5 2 5" xfId="48333"/>
    <cellStyle name="Comma 8 2 5 2 6" xfId="48334"/>
    <cellStyle name="Comma 8 2 5 3" xfId="48335"/>
    <cellStyle name="Comma 8 2 5 3 2" xfId="48336"/>
    <cellStyle name="Comma 8 2 5 3 2 2" xfId="48337"/>
    <cellStyle name="Comma 8 2 5 3 2 3" xfId="48338"/>
    <cellStyle name="Comma 8 2 5 3 3" xfId="48339"/>
    <cellStyle name="Comma 8 2 5 3 3 2" xfId="48340"/>
    <cellStyle name="Comma 8 2 5 3 3 3" xfId="48341"/>
    <cellStyle name="Comma 8 2 5 3 4" xfId="48342"/>
    <cellStyle name="Comma 8 2 5 3 4 2" xfId="48343"/>
    <cellStyle name="Comma 8 2 5 3 5" xfId="48344"/>
    <cellStyle name="Comma 8 2 5 3 6" xfId="48345"/>
    <cellStyle name="Comma 8 2 5 4" xfId="48346"/>
    <cellStyle name="Comma 8 2 5 4 2" xfId="48347"/>
    <cellStyle name="Comma 8 2 5 4 2 2" xfId="48348"/>
    <cellStyle name="Comma 8 2 5 4 2 3" xfId="48349"/>
    <cellStyle name="Comma 8 2 5 4 3" xfId="48350"/>
    <cellStyle name="Comma 8 2 5 4 3 2" xfId="48351"/>
    <cellStyle name="Comma 8 2 5 4 4" xfId="48352"/>
    <cellStyle name="Comma 8 2 5 4 5" xfId="48353"/>
    <cellStyle name="Comma 8 2 5 5" xfId="48354"/>
    <cellStyle name="Comma 8 2 5 5 2" xfId="48355"/>
    <cellStyle name="Comma 8 2 5 5 3" xfId="48356"/>
    <cellStyle name="Comma 8 2 5 6" xfId="48357"/>
    <cellStyle name="Comma 8 2 5 6 2" xfId="48358"/>
    <cellStyle name="Comma 8 2 5 6 3" xfId="48359"/>
    <cellStyle name="Comma 8 2 5 7" xfId="48360"/>
    <cellStyle name="Comma 8 2 5 7 2" xfId="48361"/>
    <cellStyle name="Comma 8 2 5 8" xfId="48362"/>
    <cellStyle name="Comma 8 2 5 9" xfId="48363"/>
    <cellStyle name="Comma 8 2 6" xfId="48364"/>
    <cellStyle name="Comma 8 2 6 2" xfId="48365"/>
    <cellStyle name="Comma 8 2 6 2 2" xfId="48366"/>
    <cellStyle name="Comma 8 2 6 2 2 2" xfId="48367"/>
    <cellStyle name="Comma 8 2 6 2 2 3" xfId="48368"/>
    <cellStyle name="Comma 8 2 6 2 3" xfId="48369"/>
    <cellStyle name="Comma 8 2 6 2 3 2" xfId="48370"/>
    <cellStyle name="Comma 8 2 6 2 3 3" xfId="48371"/>
    <cellStyle name="Comma 8 2 6 2 4" xfId="48372"/>
    <cellStyle name="Comma 8 2 6 2 4 2" xfId="48373"/>
    <cellStyle name="Comma 8 2 6 2 5" xfId="48374"/>
    <cellStyle name="Comma 8 2 6 2 6" xfId="48375"/>
    <cellStyle name="Comma 8 2 6 3" xfId="48376"/>
    <cellStyle name="Comma 8 2 6 3 2" xfId="48377"/>
    <cellStyle name="Comma 8 2 6 3 2 2" xfId="48378"/>
    <cellStyle name="Comma 8 2 6 3 2 3" xfId="48379"/>
    <cellStyle name="Comma 8 2 6 3 3" xfId="48380"/>
    <cellStyle name="Comma 8 2 6 3 3 2" xfId="48381"/>
    <cellStyle name="Comma 8 2 6 3 3 3" xfId="48382"/>
    <cellStyle name="Comma 8 2 6 3 4" xfId="48383"/>
    <cellStyle name="Comma 8 2 6 3 4 2" xfId="48384"/>
    <cellStyle name="Comma 8 2 6 3 5" xfId="48385"/>
    <cellStyle name="Comma 8 2 6 3 6" xfId="48386"/>
    <cellStyle name="Comma 8 2 6 4" xfId="48387"/>
    <cellStyle name="Comma 8 2 6 4 2" xfId="48388"/>
    <cellStyle name="Comma 8 2 6 4 2 2" xfId="48389"/>
    <cellStyle name="Comma 8 2 6 4 2 3" xfId="48390"/>
    <cellStyle name="Comma 8 2 6 4 3" xfId="48391"/>
    <cellStyle name="Comma 8 2 6 4 3 2" xfId="48392"/>
    <cellStyle name="Comma 8 2 6 4 4" xfId="48393"/>
    <cellStyle name="Comma 8 2 6 4 5" xfId="48394"/>
    <cellStyle name="Comma 8 2 6 5" xfId="48395"/>
    <cellStyle name="Comma 8 2 6 5 2" xfId="48396"/>
    <cellStyle name="Comma 8 2 6 5 3" xfId="48397"/>
    <cellStyle name="Comma 8 2 6 6" xfId="48398"/>
    <cellStyle name="Comma 8 2 6 6 2" xfId="48399"/>
    <cellStyle name="Comma 8 2 6 6 3" xfId="48400"/>
    <cellStyle name="Comma 8 2 6 7" xfId="48401"/>
    <cellStyle name="Comma 8 2 6 7 2" xfId="48402"/>
    <cellStyle name="Comma 8 2 6 8" xfId="48403"/>
    <cellStyle name="Comma 8 2 6 9" xfId="48404"/>
    <cellStyle name="Comma 8 2 7" xfId="48405"/>
    <cellStyle name="Comma 8 2 7 2" xfId="48406"/>
    <cellStyle name="Comma 8 2 7 2 2" xfId="48407"/>
    <cellStyle name="Comma 8 2 7 2 3" xfId="48408"/>
    <cellStyle name="Comma 8 2 7 3" xfId="48409"/>
    <cellStyle name="Comma 8 2 7 3 2" xfId="48410"/>
    <cellStyle name="Comma 8 2 7 3 3" xfId="48411"/>
    <cellStyle name="Comma 8 2 7 4" xfId="48412"/>
    <cellStyle name="Comma 8 2 7 4 2" xfId="48413"/>
    <cellStyle name="Comma 8 2 7 5" xfId="48414"/>
    <cellStyle name="Comma 8 2 7 6" xfId="48415"/>
    <cellStyle name="Comma 8 2 8" xfId="48416"/>
    <cellStyle name="Comma 8 2 8 2" xfId="48417"/>
    <cellStyle name="Comma 8 2 8 2 2" xfId="48418"/>
    <cellStyle name="Comma 8 2 8 2 3" xfId="48419"/>
    <cellStyle name="Comma 8 2 8 3" xfId="48420"/>
    <cellStyle name="Comma 8 2 8 3 2" xfId="48421"/>
    <cellStyle name="Comma 8 2 8 3 3" xfId="48422"/>
    <cellStyle name="Comma 8 2 8 4" xfId="48423"/>
    <cellStyle name="Comma 8 2 8 4 2" xfId="48424"/>
    <cellStyle name="Comma 8 2 8 5" xfId="48425"/>
    <cellStyle name="Comma 8 2 8 6" xfId="48426"/>
    <cellStyle name="Comma 8 2 9" xfId="48427"/>
    <cellStyle name="Comma 8 2 9 2" xfId="48428"/>
    <cellStyle name="Comma 8 2 9 2 2" xfId="48429"/>
    <cellStyle name="Comma 8 2 9 2 3" xfId="48430"/>
    <cellStyle name="Comma 8 2 9 3" xfId="48431"/>
    <cellStyle name="Comma 8 2 9 3 2" xfId="48432"/>
    <cellStyle name="Comma 8 2 9 4" xfId="48433"/>
    <cellStyle name="Comma 8 2 9 5" xfId="48434"/>
    <cellStyle name="Comma 8 3" xfId="3743"/>
    <cellStyle name="Comma 8 3 10" xfId="48435"/>
    <cellStyle name="Comma 8 3 10 2" xfId="48436"/>
    <cellStyle name="Comma 8 3 10 3" xfId="48437"/>
    <cellStyle name="Comma 8 3 11" xfId="48438"/>
    <cellStyle name="Comma 8 3 11 2" xfId="48439"/>
    <cellStyle name="Comma 8 3 12" xfId="48440"/>
    <cellStyle name="Comma 8 3 13" xfId="48441"/>
    <cellStyle name="Comma 8 3 14" xfId="48442"/>
    <cellStyle name="Comma 8 3 2" xfId="9175"/>
    <cellStyle name="Comma 8 3 2 10" xfId="48443"/>
    <cellStyle name="Comma 8 3 2 10 2" xfId="48444"/>
    <cellStyle name="Comma 8 3 2 11" xfId="48445"/>
    <cellStyle name="Comma 8 3 2 12" xfId="48446"/>
    <cellStyle name="Comma 8 3 2 13" xfId="48447"/>
    <cellStyle name="Comma 8 3 2 2" xfId="48448"/>
    <cellStyle name="Comma 8 3 2 2 10" xfId="48449"/>
    <cellStyle name="Comma 8 3 2 2 2" xfId="48450"/>
    <cellStyle name="Comma 8 3 2 2 2 2" xfId="48451"/>
    <cellStyle name="Comma 8 3 2 2 2 2 2" xfId="48452"/>
    <cellStyle name="Comma 8 3 2 2 2 2 2 2" xfId="48453"/>
    <cellStyle name="Comma 8 3 2 2 2 2 2 3" xfId="48454"/>
    <cellStyle name="Comma 8 3 2 2 2 2 3" xfId="48455"/>
    <cellStyle name="Comma 8 3 2 2 2 2 3 2" xfId="48456"/>
    <cellStyle name="Comma 8 3 2 2 2 2 3 3" xfId="48457"/>
    <cellStyle name="Comma 8 3 2 2 2 2 4" xfId="48458"/>
    <cellStyle name="Comma 8 3 2 2 2 2 4 2" xfId="48459"/>
    <cellStyle name="Comma 8 3 2 2 2 2 5" xfId="48460"/>
    <cellStyle name="Comma 8 3 2 2 2 2 6" xfId="48461"/>
    <cellStyle name="Comma 8 3 2 2 2 3" xfId="48462"/>
    <cellStyle name="Comma 8 3 2 2 2 3 2" xfId="48463"/>
    <cellStyle name="Comma 8 3 2 2 2 3 2 2" xfId="48464"/>
    <cellStyle name="Comma 8 3 2 2 2 3 2 3" xfId="48465"/>
    <cellStyle name="Comma 8 3 2 2 2 3 3" xfId="48466"/>
    <cellStyle name="Comma 8 3 2 2 2 3 3 2" xfId="48467"/>
    <cellStyle name="Comma 8 3 2 2 2 3 3 3" xfId="48468"/>
    <cellStyle name="Comma 8 3 2 2 2 3 4" xfId="48469"/>
    <cellStyle name="Comma 8 3 2 2 2 3 4 2" xfId="48470"/>
    <cellStyle name="Comma 8 3 2 2 2 3 5" xfId="48471"/>
    <cellStyle name="Comma 8 3 2 2 2 3 6" xfId="48472"/>
    <cellStyle name="Comma 8 3 2 2 2 4" xfId="48473"/>
    <cellStyle name="Comma 8 3 2 2 2 4 2" xfId="48474"/>
    <cellStyle name="Comma 8 3 2 2 2 4 2 2" xfId="48475"/>
    <cellStyle name="Comma 8 3 2 2 2 4 2 3" xfId="48476"/>
    <cellStyle name="Comma 8 3 2 2 2 4 3" xfId="48477"/>
    <cellStyle name="Comma 8 3 2 2 2 4 3 2" xfId="48478"/>
    <cellStyle name="Comma 8 3 2 2 2 4 4" xfId="48479"/>
    <cellStyle name="Comma 8 3 2 2 2 4 5" xfId="48480"/>
    <cellStyle name="Comma 8 3 2 2 2 5" xfId="48481"/>
    <cellStyle name="Comma 8 3 2 2 2 5 2" xfId="48482"/>
    <cellStyle name="Comma 8 3 2 2 2 5 3" xfId="48483"/>
    <cellStyle name="Comma 8 3 2 2 2 6" xfId="48484"/>
    <cellStyle name="Comma 8 3 2 2 2 6 2" xfId="48485"/>
    <cellStyle name="Comma 8 3 2 2 2 6 3" xfId="48486"/>
    <cellStyle name="Comma 8 3 2 2 2 7" xfId="48487"/>
    <cellStyle name="Comma 8 3 2 2 2 7 2" xfId="48488"/>
    <cellStyle name="Comma 8 3 2 2 2 8" xfId="48489"/>
    <cellStyle name="Comma 8 3 2 2 2 9" xfId="48490"/>
    <cellStyle name="Comma 8 3 2 2 3" xfId="48491"/>
    <cellStyle name="Comma 8 3 2 2 3 2" xfId="48492"/>
    <cellStyle name="Comma 8 3 2 2 3 2 2" xfId="48493"/>
    <cellStyle name="Comma 8 3 2 2 3 2 3" xfId="48494"/>
    <cellStyle name="Comma 8 3 2 2 3 3" xfId="48495"/>
    <cellStyle name="Comma 8 3 2 2 3 3 2" xfId="48496"/>
    <cellStyle name="Comma 8 3 2 2 3 3 3" xfId="48497"/>
    <cellStyle name="Comma 8 3 2 2 3 4" xfId="48498"/>
    <cellStyle name="Comma 8 3 2 2 3 4 2" xfId="48499"/>
    <cellStyle name="Comma 8 3 2 2 3 5" xfId="48500"/>
    <cellStyle name="Comma 8 3 2 2 3 6" xfId="48501"/>
    <cellStyle name="Comma 8 3 2 2 4" xfId="48502"/>
    <cellStyle name="Comma 8 3 2 2 4 2" xfId="48503"/>
    <cellStyle name="Comma 8 3 2 2 4 2 2" xfId="48504"/>
    <cellStyle name="Comma 8 3 2 2 4 2 3" xfId="48505"/>
    <cellStyle name="Comma 8 3 2 2 4 3" xfId="48506"/>
    <cellStyle name="Comma 8 3 2 2 4 3 2" xfId="48507"/>
    <cellStyle name="Comma 8 3 2 2 4 3 3" xfId="48508"/>
    <cellStyle name="Comma 8 3 2 2 4 4" xfId="48509"/>
    <cellStyle name="Comma 8 3 2 2 4 4 2" xfId="48510"/>
    <cellStyle name="Comma 8 3 2 2 4 5" xfId="48511"/>
    <cellStyle name="Comma 8 3 2 2 4 6" xfId="48512"/>
    <cellStyle name="Comma 8 3 2 2 5" xfId="48513"/>
    <cellStyle name="Comma 8 3 2 2 5 2" xfId="48514"/>
    <cellStyle name="Comma 8 3 2 2 5 2 2" xfId="48515"/>
    <cellStyle name="Comma 8 3 2 2 5 2 3" xfId="48516"/>
    <cellStyle name="Comma 8 3 2 2 5 3" xfId="48517"/>
    <cellStyle name="Comma 8 3 2 2 5 3 2" xfId="48518"/>
    <cellStyle name="Comma 8 3 2 2 5 4" xfId="48519"/>
    <cellStyle name="Comma 8 3 2 2 5 5" xfId="48520"/>
    <cellStyle name="Comma 8 3 2 2 6" xfId="48521"/>
    <cellStyle name="Comma 8 3 2 2 6 2" xfId="48522"/>
    <cellStyle name="Comma 8 3 2 2 6 3" xfId="48523"/>
    <cellStyle name="Comma 8 3 2 2 7" xfId="48524"/>
    <cellStyle name="Comma 8 3 2 2 7 2" xfId="48525"/>
    <cellStyle name="Comma 8 3 2 2 7 3" xfId="48526"/>
    <cellStyle name="Comma 8 3 2 2 8" xfId="48527"/>
    <cellStyle name="Comma 8 3 2 2 8 2" xfId="48528"/>
    <cellStyle name="Comma 8 3 2 2 9" xfId="48529"/>
    <cellStyle name="Comma 8 3 2 3" xfId="48530"/>
    <cellStyle name="Comma 8 3 2 3 2" xfId="48531"/>
    <cellStyle name="Comma 8 3 2 3 2 2" xfId="48532"/>
    <cellStyle name="Comma 8 3 2 3 2 2 2" xfId="48533"/>
    <cellStyle name="Comma 8 3 2 3 2 2 3" xfId="48534"/>
    <cellStyle name="Comma 8 3 2 3 2 3" xfId="48535"/>
    <cellStyle name="Comma 8 3 2 3 2 3 2" xfId="48536"/>
    <cellStyle name="Comma 8 3 2 3 2 3 3" xfId="48537"/>
    <cellStyle name="Comma 8 3 2 3 2 4" xfId="48538"/>
    <cellStyle name="Comma 8 3 2 3 2 4 2" xfId="48539"/>
    <cellStyle name="Comma 8 3 2 3 2 5" xfId="48540"/>
    <cellStyle name="Comma 8 3 2 3 2 6" xfId="48541"/>
    <cellStyle name="Comma 8 3 2 3 3" xfId="48542"/>
    <cellStyle name="Comma 8 3 2 3 3 2" xfId="48543"/>
    <cellStyle name="Comma 8 3 2 3 3 2 2" xfId="48544"/>
    <cellStyle name="Comma 8 3 2 3 3 2 3" xfId="48545"/>
    <cellStyle name="Comma 8 3 2 3 3 3" xfId="48546"/>
    <cellStyle name="Comma 8 3 2 3 3 3 2" xfId="48547"/>
    <cellStyle name="Comma 8 3 2 3 3 3 3" xfId="48548"/>
    <cellStyle name="Comma 8 3 2 3 3 4" xfId="48549"/>
    <cellStyle name="Comma 8 3 2 3 3 4 2" xfId="48550"/>
    <cellStyle name="Comma 8 3 2 3 3 5" xfId="48551"/>
    <cellStyle name="Comma 8 3 2 3 3 6" xfId="48552"/>
    <cellStyle name="Comma 8 3 2 3 4" xfId="48553"/>
    <cellStyle name="Comma 8 3 2 3 4 2" xfId="48554"/>
    <cellStyle name="Comma 8 3 2 3 4 2 2" xfId="48555"/>
    <cellStyle name="Comma 8 3 2 3 4 2 3" xfId="48556"/>
    <cellStyle name="Comma 8 3 2 3 4 3" xfId="48557"/>
    <cellStyle name="Comma 8 3 2 3 4 3 2" xfId="48558"/>
    <cellStyle name="Comma 8 3 2 3 4 4" xfId="48559"/>
    <cellStyle name="Comma 8 3 2 3 4 5" xfId="48560"/>
    <cellStyle name="Comma 8 3 2 3 5" xfId="48561"/>
    <cellStyle name="Comma 8 3 2 3 5 2" xfId="48562"/>
    <cellStyle name="Comma 8 3 2 3 5 3" xfId="48563"/>
    <cellStyle name="Comma 8 3 2 3 6" xfId="48564"/>
    <cellStyle name="Comma 8 3 2 3 6 2" xfId="48565"/>
    <cellStyle name="Comma 8 3 2 3 6 3" xfId="48566"/>
    <cellStyle name="Comma 8 3 2 3 7" xfId="48567"/>
    <cellStyle name="Comma 8 3 2 3 7 2" xfId="48568"/>
    <cellStyle name="Comma 8 3 2 3 8" xfId="48569"/>
    <cellStyle name="Comma 8 3 2 3 9" xfId="48570"/>
    <cellStyle name="Comma 8 3 2 4" xfId="48571"/>
    <cellStyle name="Comma 8 3 2 4 2" xfId="48572"/>
    <cellStyle name="Comma 8 3 2 4 2 2" xfId="48573"/>
    <cellStyle name="Comma 8 3 2 4 2 2 2" xfId="48574"/>
    <cellStyle name="Comma 8 3 2 4 2 2 3" xfId="48575"/>
    <cellStyle name="Comma 8 3 2 4 2 3" xfId="48576"/>
    <cellStyle name="Comma 8 3 2 4 2 3 2" xfId="48577"/>
    <cellStyle name="Comma 8 3 2 4 2 3 3" xfId="48578"/>
    <cellStyle name="Comma 8 3 2 4 2 4" xfId="48579"/>
    <cellStyle name="Comma 8 3 2 4 2 4 2" xfId="48580"/>
    <cellStyle name="Comma 8 3 2 4 2 5" xfId="48581"/>
    <cellStyle name="Comma 8 3 2 4 2 6" xfId="48582"/>
    <cellStyle name="Comma 8 3 2 4 3" xfId="48583"/>
    <cellStyle name="Comma 8 3 2 4 3 2" xfId="48584"/>
    <cellStyle name="Comma 8 3 2 4 3 2 2" xfId="48585"/>
    <cellStyle name="Comma 8 3 2 4 3 2 3" xfId="48586"/>
    <cellStyle name="Comma 8 3 2 4 3 3" xfId="48587"/>
    <cellStyle name="Comma 8 3 2 4 3 3 2" xfId="48588"/>
    <cellStyle name="Comma 8 3 2 4 3 3 3" xfId="48589"/>
    <cellStyle name="Comma 8 3 2 4 3 4" xfId="48590"/>
    <cellStyle name="Comma 8 3 2 4 3 4 2" xfId="48591"/>
    <cellStyle name="Comma 8 3 2 4 3 5" xfId="48592"/>
    <cellStyle name="Comma 8 3 2 4 3 6" xfId="48593"/>
    <cellStyle name="Comma 8 3 2 4 4" xfId="48594"/>
    <cellStyle name="Comma 8 3 2 4 4 2" xfId="48595"/>
    <cellStyle name="Comma 8 3 2 4 4 2 2" xfId="48596"/>
    <cellStyle name="Comma 8 3 2 4 4 2 3" xfId="48597"/>
    <cellStyle name="Comma 8 3 2 4 4 3" xfId="48598"/>
    <cellStyle name="Comma 8 3 2 4 4 3 2" xfId="48599"/>
    <cellStyle name="Comma 8 3 2 4 4 4" xfId="48600"/>
    <cellStyle name="Comma 8 3 2 4 4 5" xfId="48601"/>
    <cellStyle name="Comma 8 3 2 4 5" xfId="48602"/>
    <cellStyle name="Comma 8 3 2 4 5 2" xfId="48603"/>
    <cellStyle name="Comma 8 3 2 4 5 3" xfId="48604"/>
    <cellStyle name="Comma 8 3 2 4 6" xfId="48605"/>
    <cellStyle name="Comma 8 3 2 4 6 2" xfId="48606"/>
    <cellStyle name="Comma 8 3 2 4 6 3" xfId="48607"/>
    <cellStyle name="Comma 8 3 2 4 7" xfId="48608"/>
    <cellStyle name="Comma 8 3 2 4 7 2" xfId="48609"/>
    <cellStyle name="Comma 8 3 2 4 8" xfId="48610"/>
    <cellStyle name="Comma 8 3 2 4 9" xfId="48611"/>
    <cellStyle name="Comma 8 3 2 5" xfId="48612"/>
    <cellStyle name="Comma 8 3 2 5 2" xfId="48613"/>
    <cellStyle name="Comma 8 3 2 5 2 2" xfId="48614"/>
    <cellStyle name="Comma 8 3 2 5 2 3" xfId="48615"/>
    <cellStyle name="Comma 8 3 2 5 3" xfId="48616"/>
    <cellStyle name="Comma 8 3 2 5 3 2" xfId="48617"/>
    <cellStyle name="Comma 8 3 2 5 3 3" xfId="48618"/>
    <cellStyle name="Comma 8 3 2 5 4" xfId="48619"/>
    <cellStyle name="Comma 8 3 2 5 4 2" xfId="48620"/>
    <cellStyle name="Comma 8 3 2 5 5" xfId="48621"/>
    <cellStyle name="Comma 8 3 2 5 6" xfId="48622"/>
    <cellStyle name="Comma 8 3 2 6" xfId="48623"/>
    <cellStyle name="Comma 8 3 2 6 2" xfId="48624"/>
    <cellStyle name="Comma 8 3 2 6 2 2" xfId="48625"/>
    <cellStyle name="Comma 8 3 2 6 2 3" xfId="48626"/>
    <cellStyle name="Comma 8 3 2 6 3" xfId="48627"/>
    <cellStyle name="Comma 8 3 2 6 3 2" xfId="48628"/>
    <cellStyle name="Comma 8 3 2 6 3 3" xfId="48629"/>
    <cellStyle name="Comma 8 3 2 6 4" xfId="48630"/>
    <cellStyle name="Comma 8 3 2 6 4 2" xfId="48631"/>
    <cellStyle name="Comma 8 3 2 6 5" xfId="48632"/>
    <cellStyle name="Comma 8 3 2 6 6" xfId="48633"/>
    <cellStyle name="Comma 8 3 2 7" xfId="48634"/>
    <cellStyle name="Comma 8 3 2 7 2" xfId="48635"/>
    <cellStyle name="Comma 8 3 2 7 2 2" xfId="48636"/>
    <cellStyle name="Comma 8 3 2 7 2 3" xfId="48637"/>
    <cellStyle name="Comma 8 3 2 7 3" xfId="48638"/>
    <cellStyle name="Comma 8 3 2 7 3 2" xfId="48639"/>
    <cellStyle name="Comma 8 3 2 7 4" xfId="48640"/>
    <cellStyle name="Comma 8 3 2 7 5" xfId="48641"/>
    <cellStyle name="Comma 8 3 2 8" xfId="48642"/>
    <cellStyle name="Comma 8 3 2 8 2" xfId="48643"/>
    <cellStyle name="Comma 8 3 2 8 3" xfId="48644"/>
    <cellStyle name="Comma 8 3 2 9" xfId="48645"/>
    <cellStyle name="Comma 8 3 2 9 2" xfId="48646"/>
    <cellStyle name="Comma 8 3 2 9 3" xfId="48647"/>
    <cellStyle name="Comma 8 3 3" xfId="9176"/>
    <cellStyle name="Comma 8 3 3 10" xfId="48648"/>
    <cellStyle name="Comma 8 3 3 2" xfId="48649"/>
    <cellStyle name="Comma 8 3 3 2 2" xfId="48650"/>
    <cellStyle name="Comma 8 3 3 2 2 2" xfId="48651"/>
    <cellStyle name="Comma 8 3 3 2 2 2 2" xfId="48652"/>
    <cellStyle name="Comma 8 3 3 2 2 2 3" xfId="48653"/>
    <cellStyle name="Comma 8 3 3 2 2 3" xfId="48654"/>
    <cellStyle name="Comma 8 3 3 2 2 3 2" xfId="48655"/>
    <cellStyle name="Comma 8 3 3 2 2 3 3" xfId="48656"/>
    <cellStyle name="Comma 8 3 3 2 2 4" xfId="48657"/>
    <cellStyle name="Comma 8 3 3 2 2 4 2" xfId="48658"/>
    <cellStyle name="Comma 8 3 3 2 2 5" xfId="48659"/>
    <cellStyle name="Comma 8 3 3 2 2 6" xfId="48660"/>
    <cellStyle name="Comma 8 3 3 2 3" xfId="48661"/>
    <cellStyle name="Comma 8 3 3 2 3 2" xfId="48662"/>
    <cellStyle name="Comma 8 3 3 2 3 2 2" xfId="48663"/>
    <cellStyle name="Comma 8 3 3 2 3 2 3" xfId="48664"/>
    <cellStyle name="Comma 8 3 3 2 3 3" xfId="48665"/>
    <cellStyle name="Comma 8 3 3 2 3 3 2" xfId="48666"/>
    <cellStyle name="Comma 8 3 3 2 3 3 3" xfId="48667"/>
    <cellStyle name="Comma 8 3 3 2 3 4" xfId="48668"/>
    <cellStyle name="Comma 8 3 3 2 3 4 2" xfId="48669"/>
    <cellStyle name="Comma 8 3 3 2 3 5" xfId="48670"/>
    <cellStyle name="Comma 8 3 3 2 3 6" xfId="48671"/>
    <cellStyle name="Comma 8 3 3 2 4" xfId="48672"/>
    <cellStyle name="Comma 8 3 3 2 4 2" xfId="48673"/>
    <cellStyle name="Comma 8 3 3 2 4 2 2" xfId="48674"/>
    <cellStyle name="Comma 8 3 3 2 4 2 3" xfId="48675"/>
    <cellStyle name="Comma 8 3 3 2 4 3" xfId="48676"/>
    <cellStyle name="Comma 8 3 3 2 4 3 2" xfId="48677"/>
    <cellStyle name="Comma 8 3 3 2 4 4" xfId="48678"/>
    <cellStyle name="Comma 8 3 3 2 4 5" xfId="48679"/>
    <cellStyle name="Comma 8 3 3 2 5" xfId="48680"/>
    <cellStyle name="Comma 8 3 3 2 5 2" xfId="48681"/>
    <cellStyle name="Comma 8 3 3 2 5 3" xfId="48682"/>
    <cellStyle name="Comma 8 3 3 2 6" xfId="48683"/>
    <cellStyle name="Comma 8 3 3 2 6 2" xfId="48684"/>
    <cellStyle name="Comma 8 3 3 2 6 3" xfId="48685"/>
    <cellStyle name="Comma 8 3 3 2 7" xfId="48686"/>
    <cellStyle name="Comma 8 3 3 2 7 2" xfId="48687"/>
    <cellStyle name="Comma 8 3 3 2 8" xfId="48688"/>
    <cellStyle name="Comma 8 3 3 2 9" xfId="48689"/>
    <cellStyle name="Comma 8 3 3 3" xfId="48690"/>
    <cellStyle name="Comma 8 3 3 3 2" xfId="48691"/>
    <cellStyle name="Comma 8 3 3 3 2 2" xfId="48692"/>
    <cellStyle name="Comma 8 3 3 3 2 3" xfId="48693"/>
    <cellStyle name="Comma 8 3 3 3 3" xfId="48694"/>
    <cellStyle name="Comma 8 3 3 3 3 2" xfId="48695"/>
    <cellStyle name="Comma 8 3 3 3 3 3" xfId="48696"/>
    <cellStyle name="Comma 8 3 3 3 4" xfId="48697"/>
    <cellStyle name="Comma 8 3 3 3 4 2" xfId="48698"/>
    <cellStyle name="Comma 8 3 3 3 5" xfId="48699"/>
    <cellStyle name="Comma 8 3 3 3 6" xfId="48700"/>
    <cellStyle name="Comma 8 3 3 4" xfId="48701"/>
    <cellStyle name="Comma 8 3 3 4 2" xfId="48702"/>
    <cellStyle name="Comma 8 3 3 4 2 2" xfId="48703"/>
    <cellStyle name="Comma 8 3 3 4 2 3" xfId="48704"/>
    <cellStyle name="Comma 8 3 3 4 3" xfId="48705"/>
    <cellStyle name="Comma 8 3 3 4 3 2" xfId="48706"/>
    <cellStyle name="Comma 8 3 3 4 3 3" xfId="48707"/>
    <cellStyle name="Comma 8 3 3 4 4" xfId="48708"/>
    <cellStyle name="Comma 8 3 3 4 4 2" xfId="48709"/>
    <cellStyle name="Comma 8 3 3 4 5" xfId="48710"/>
    <cellStyle name="Comma 8 3 3 4 6" xfId="48711"/>
    <cellStyle name="Comma 8 3 3 5" xfId="48712"/>
    <cellStyle name="Comma 8 3 3 5 2" xfId="48713"/>
    <cellStyle name="Comma 8 3 3 5 2 2" xfId="48714"/>
    <cellStyle name="Comma 8 3 3 5 2 3" xfId="48715"/>
    <cellStyle name="Comma 8 3 3 5 3" xfId="48716"/>
    <cellStyle name="Comma 8 3 3 5 3 2" xfId="48717"/>
    <cellStyle name="Comma 8 3 3 5 4" xfId="48718"/>
    <cellStyle name="Comma 8 3 3 5 5" xfId="48719"/>
    <cellStyle name="Comma 8 3 3 6" xfId="48720"/>
    <cellStyle name="Comma 8 3 3 6 2" xfId="48721"/>
    <cellStyle name="Comma 8 3 3 6 3" xfId="48722"/>
    <cellStyle name="Comma 8 3 3 7" xfId="48723"/>
    <cellStyle name="Comma 8 3 3 7 2" xfId="48724"/>
    <cellStyle name="Comma 8 3 3 7 3" xfId="48725"/>
    <cellStyle name="Comma 8 3 3 8" xfId="48726"/>
    <cellStyle name="Comma 8 3 3 8 2" xfId="48727"/>
    <cellStyle name="Comma 8 3 3 9" xfId="48728"/>
    <cellStyle name="Comma 8 3 4" xfId="48729"/>
    <cellStyle name="Comma 8 3 4 2" xfId="48730"/>
    <cellStyle name="Comma 8 3 4 2 2" xfId="48731"/>
    <cellStyle name="Comma 8 3 4 2 2 2" xfId="48732"/>
    <cellStyle name="Comma 8 3 4 2 2 3" xfId="48733"/>
    <cellStyle name="Comma 8 3 4 2 3" xfId="48734"/>
    <cellStyle name="Comma 8 3 4 2 3 2" xfId="48735"/>
    <cellStyle name="Comma 8 3 4 2 3 3" xfId="48736"/>
    <cellStyle name="Comma 8 3 4 2 4" xfId="48737"/>
    <cellStyle name="Comma 8 3 4 2 4 2" xfId="48738"/>
    <cellStyle name="Comma 8 3 4 2 5" xfId="48739"/>
    <cellStyle name="Comma 8 3 4 2 6" xfId="48740"/>
    <cellStyle name="Comma 8 3 4 3" xfId="48741"/>
    <cellStyle name="Comma 8 3 4 3 2" xfId="48742"/>
    <cellStyle name="Comma 8 3 4 3 2 2" xfId="48743"/>
    <cellStyle name="Comma 8 3 4 3 2 3" xfId="48744"/>
    <cellStyle name="Comma 8 3 4 3 3" xfId="48745"/>
    <cellStyle name="Comma 8 3 4 3 3 2" xfId="48746"/>
    <cellStyle name="Comma 8 3 4 3 3 3" xfId="48747"/>
    <cellStyle name="Comma 8 3 4 3 4" xfId="48748"/>
    <cellStyle name="Comma 8 3 4 3 4 2" xfId="48749"/>
    <cellStyle name="Comma 8 3 4 3 5" xfId="48750"/>
    <cellStyle name="Comma 8 3 4 3 6" xfId="48751"/>
    <cellStyle name="Comma 8 3 4 4" xfId="48752"/>
    <cellStyle name="Comma 8 3 4 4 2" xfId="48753"/>
    <cellStyle name="Comma 8 3 4 4 2 2" xfId="48754"/>
    <cellStyle name="Comma 8 3 4 4 2 3" xfId="48755"/>
    <cellStyle name="Comma 8 3 4 4 3" xfId="48756"/>
    <cellStyle name="Comma 8 3 4 4 3 2" xfId="48757"/>
    <cellStyle name="Comma 8 3 4 4 4" xfId="48758"/>
    <cellStyle name="Comma 8 3 4 4 5" xfId="48759"/>
    <cellStyle name="Comma 8 3 4 5" xfId="48760"/>
    <cellStyle name="Comma 8 3 4 5 2" xfId="48761"/>
    <cellStyle name="Comma 8 3 4 5 3" xfId="48762"/>
    <cellStyle name="Comma 8 3 4 6" xfId="48763"/>
    <cellStyle name="Comma 8 3 4 6 2" xfId="48764"/>
    <cellStyle name="Comma 8 3 4 6 3" xfId="48765"/>
    <cellStyle name="Comma 8 3 4 7" xfId="48766"/>
    <cellStyle name="Comma 8 3 4 7 2" xfId="48767"/>
    <cellStyle name="Comma 8 3 4 8" xfId="48768"/>
    <cellStyle name="Comma 8 3 4 9" xfId="48769"/>
    <cellStyle name="Comma 8 3 5" xfId="48770"/>
    <cellStyle name="Comma 8 3 5 2" xfId="48771"/>
    <cellStyle name="Comma 8 3 5 2 2" xfId="48772"/>
    <cellStyle name="Comma 8 3 5 2 2 2" xfId="48773"/>
    <cellStyle name="Comma 8 3 5 2 2 3" xfId="48774"/>
    <cellStyle name="Comma 8 3 5 2 3" xfId="48775"/>
    <cellStyle name="Comma 8 3 5 2 3 2" xfId="48776"/>
    <cellStyle name="Comma 8 3 5 2 3 3" xfId="48777"/>
    <cellStyle name="Comma 8 3 5 2 4" xfId="48778"/>
    <cellStyle name="Comma 8 3 5 2 4 2" xfId="48779"/>
    <cellStyle name="Comma 8 3 5 2 5" xfId="48780"/>
    <cellStyle name="Comma 8 3 5 2 6" xfId="48781"/>
    <cellStyle name="Comma 8 3 5 3" xfId="48782"/>
    <cellStyle name="Comma 8 3 5 3 2" xfId="48783"/>
    <cellStyle name="Comma 8 3 5 3 2 2" xfId="48784"/>
    <cellStyle name="Comma 8 3 5 3 2 3" xfId="48785"/>
    <cellStyle name="Comma 8 3 5 3 3" xfId="48786"/>
    <cellStyle name="Comma 8 3 5 3 3 2" xfId="48787"/>
    <cellStyle name="Comma 8 3 5 3 3 3" xfId="48788"/>
    <cellStyle name="Comma 8 3 5 3 4" xfId="48789"/>
    <cellStyle name="Comma 8 3 5 3 4 2" xfId="48790"/>
    <cellStyle name="Comma 8 3 5 3 5" xfId="48791"/>
    <cellStyle name="Comma 8 3 5 3 6" xfId="48792"/>
    <cellStyle name="Comma 8 3 5 4" xfId="48793"/>
    <cellStyle name="Comma 8 3 5 4 2" xfId="48794"/>
    <cellStyle name="Comma 8 3 5 4 2 2" xfId="48795"/>
    <cellStyle name="Comma 8 3 5 4 2 3" xfId="48796"/>
    <cellStyle name="Comma 8 3 5 4 3" xfId="48797"/>
    <cellStyle name="Comma 8 3 5 4 3 2" xfId="48798"/>
    <cellStyle name="Comma 8 3 5 4 4" xfId="48799"/>
    <cellStyle name="Comma 8 3 5 4 5" xfId="48800"/>
    <cellStyle name="Comma 8 3 5 5" xfId="48801"/>
    <cellStyle name="Comma 8 3 5 5 2" xfId="48802"/>
    <cellStyle name="Comma 8 3 5 5 3" xfId="48803"/>
    <cellStyle name="Comma 8 3 5 6" xfId="48804"/>
    <cellStyle name="Comma 8 3 5 6 2" xfId="48805"/>
    <cellStyle name="Comma 8 3 5 6 3" xfId="48806"/>
    <cellStyle name="Comma 8 3 5 7" xfId="48807"/>
    <cellStyle name="Comma 8 3 5 7 2" xfId="48808"/>
    <cellStyle name="Comma 8 3 5 8" xfId="48809"/>
    <cellStyle name="Comma 8 3 5 9" xfId="48810"/>
    <cellStyle name="Comma 8 3 6" xfId="48811"/>
    <cellStyle name="Comma 8 3 6 2" xfId="48812"/>
    <cellStyle name="Comma 8 3 6 2 2" xfId="48813"/>
    <cellStyle name="Comma 8 3 6 2 3" xfId="48814"/>
    <cellStyle name="Comma 8 3 6 3" xfId="48815"/>
    <cellStyle name="Comma 8 3 6 3 2" xfId="48816"/>
    <cellStyle name="Comma 8 3 6 3 3" xfId="48817"/>
    <cellStyle name="Comma 8 3 6 4" xfId="48818"/>
    <cellStyle name="Comma 8 3 6 4 2" xfId="48819"/>
    <cellStyle name="Comma 8 3 6 5" xfId="48820"/>
    <cellStyle name="Comma 8 3 6 6" xfId="48821"/>
    <cellStyle name="Comma 8 3 7" xfId="48822"/>
    <cellStyle name="Comma 8 3 7 2" xfId="48823"/>
    <cellStyle name="Comma 8 3 7 2 2" xfId="48824"/>
    <cellStyle name="Comma 8 3 7 2 3" xfId="48825"/>
    <cellStyle name="Comma 8 3 7 3" xfId="48826"/>
    <cellStyle name="Comma 8 3 7 3 2" xfId="48827"/>
    <cellStyle name="Comma 8 3 7 3 3" xfId="48828"/>
    <cellStyle name="Comma 8 3 7 4" xfId="48829"/>
    <cellStyle name="Comma 8 3 7 4 2" xfId="48830"/>
    <cellStyle name="Comma 8 3 7 5" xfId="48831"/>
    <cellStyle name="Comma 8 3 7 6" xfId="48832"/>
    <cellStyle name="Comma 8 3 8" xfId="48833"/>
    <cellStyle name="Comma 8 3 8 2" xfId="48834"/>
    <cellStyle name="Comma 8 3 8 2 2" xfId="48835"/>
    <cellStyle name="Comma 8 3 8 2 3" xfId="48836"/>
    <cellStyle name="Comma 8 3 8 3" xfId="48837"/>
    <cellStyle name="Comma 8 3 8 3 2" xfId="48838"/>
    <cellStyle name="Comma 8 3 8 4" xfId="48839"/>
    <cellStyle name="Comma 8 3 8 5" xfId="48840"/>
    <cellStyle name="Comma 8 3 9" xfId="48841"/>
    <cellStyle name="Comma 8 3 9 2" xfId="48842"/>
    <cellStyle name="Comma 8 3 9 3" xfId="48843"/>
    <cellStyle name="Comma 8 4" xfId="3744"/>
    <cellStyle name="Comma 8 4 10" xfId="48844"/>
    <cellStyle name="Comma 8 4 10 2" xfId="48845"/>
    <cellStyle name="Comma 8 4 11" xfId="48846"/>
    <cellStyle name="Comma 8 4 12" xfId="48847"/>
    <cellStyle name="Comma 8 4 13" xfId="48848"/>
    <cellStyle name="Comma 8 4 2" xfId="9177"/>
    <cellStyle name="Comma 8 4 2 10" xfId="48849"/>
    <cellStyle name="Comma 8 4 2 2" xfId="48850"/>
    <cellStyle name="Comma 8 4 2 2 2" xfId="48851"/>
    <cellStyle name="Comma 8 4 2 2 2 2" xfId="48852"/>
    <cellStyle name="Comma 8 4 2 2 2 2 2" xfId="48853"/>
    <cellStyle name="Comma 8 4 2 2 2 2 3" xfId="48854"/>
    <cellStyle name="Comma 8 4 2 2 2 3" xfId="48855"/>
    <cellStyle name="Comma 8 4 2 2 2 3 2" xfId="48856"/>
    <cellStyle name="Comma 8 4 2 2 2 3 3" xfId="48857"/>
    <cellStyle name="Comma 8 4 2 2 2 4" xfId="48858"/>
    <cellStyle name="Comma 8 4 2 2 2 4 2" xfId="48859"/>
    <cellStyle name="Comma 8 4 2 2 2 5" xfId="48860"/>
    <cellStyle name="Comma 8 4 2 2 2 6" xfId="48861"/>
    <cellStyle name="Comma 8 4 2 2 3" xfId="48862"/>
    <cellStyle name="Comma 8 4 2 2 3 2" xfId="48863"/>
    <cellStyle name="Comma 8 4 2 2 3 2 2" xfId="48864"/>
    <cellStyle name="Comma 8 4 2 2 3 2 3" xfId="48865"/>
    <cellStyle name="Comma 8 4 2 2 3 3" xfId="48866"/>
    <cellStyle name="Comma 8 4 2 2 3 3 2" xfId="48867"/>
    <cellStyle name="Comma 8 4 2 2 3 3 3" xfId="48868"/>
    <cellStyle name="Comma 8 4 2 2 3 4" xfId="48869"/>
    <cellStyle name="Comma 8 4 2 2 3 4 2" xfId="48870"/>
    <cellStyle name="Comma 8 4 2 2 3 5" xfId="48871"/>
    <cellStyle name="Comma 8 4 2 2 3 6" xfId="48872"/>
    <cellStyle name="Comma 8 4 2 2 4" xfId="48873"/>
    <cellStyle name="Comma 8 4 2 2 4 2" xfId="48874"/>
    <cellStyle name="Comma 8 4 2 2 4 2 2" xfId="48875"/>
    <cellStyle name="Comma 8 4 2 2 4 2 3" xfId="48876"/>
    <cellStyle name="Comma 8 4 2 2 4 3" xfId="48877"/>
    <cellStyle name="Comma 8 4 2 2 4 3 2" xfId="48878"/>
    <cellStyle name="Comma 8 4 2 2 4 4" xfId="48879"/>
    <cellStyle name="Comma 8 4 2 2 4 5" xfId="48880"/>
    <cellStyle name="Comma 8 4 2 2 5" xfId="48881"/>
    <cellStyle name="Comma 8 4 2 2 5 2" xfId="48882"/>
    <cellStyle name="Comma 8 4 2 2 5 3" xfId="48883"/>
    <cellStyle name="Comma 8 4 2 2 6" xfId="48884"/>
    <cellStyle name="Comma 8 4 2 2 6 2" xfId="48885"/>
    <cellStyle name="Comma 8 4 2 2 6 3" xfId="48886"/>
    <cellStyle name="Comma 8 4 2 2 7" xfId="48887"/>
    <cellStyle name="Comma 8 4 2 2 7 2" xfId="48888"/>
    <cellStyle name="Comma 8 4 2 2 8" xfId="48889"/>
    <cellStyle name="Comma 8 4 2 2 9" xfId="48890"/>
    <cellStyle name="Comma 8 4 2 3" xfId="48891"/>
    <cellStyle name="Comma 8 4 2 3 2" xfId="48892"/>
    <cellStyle name="Comma 8 4 2 3 2 2" xfId="48893"/>
    <cellStyle name="Comma 8 4 2 3 2 3" xfId="48894"/>
    <cellStyle name="Comma 8 4 2 3 3" xfId="48895"/>
    <cellStyle name="Comma 8 4 2 3 3 2" xfId="48896"/>
    <cellStyle name="Comma 8 4 2 3 3 3" xfId="48897"/>
    <cellStyle name="Comma 8 4 2 3 4" xfId="48898"/>
    <cellStyle name="Comma 8 4 2 3 4 2" xfId="48899"/>
    <cellStyle name="Comma 8 4 2 3 5" xfId="48900"/>
    <cellStyle name="Comma 8 4 2 3 6" xfId="48901"/>
    <cellStyle name="Comma 8 4 2 4" xfId="48902"/>
    <cellStyle name="Comma 8 4 2 4 2" xfId="48903"/>
    <cellStyle name="Comma 8 4 2 4 2 2" xfId="48904"/>
    <cellStyle name="Comma 8 4 2 4 2 3" xfId="48905"/>
    <cellStyle name="Comma 8 4 2 4 3" xfId="48906"/>
    <cellStyle name="Comma 8 4 2 4 3 2" xfId="48907"/>
    <cellStyle name="Comma 8 4 2 4 3 3" xfId="48908"/>
    <cellStyle name="Comma 8 4 2 4 4" xfId="48909"/>
    <cellStyle name="Comma 8 4 2 4 4 2" xfId="48910"/>
    <cellStyle name="Comma 8 4 2 4 5" xfId="48911"/>
    <cellStyle name="Comma 8 4 2 4 6" xfId="48912"/>
    <cellStyle name="Comma 8 4 2 5" xfId="48913"/>
    <cellStyle name="Comma 8 4 2 5 2" xfId="48914"/>
    <cellStyle name="Comma 8 4 2 5 2 2" xfId="48915"/>
    <cellStyle name="Comma 8 4 2 5 2 3" xfId="48916"/>
    <cellStyle name="Comma 8 4 2 5 3" xfId="48917"/>
    <cellStyle name="Comma 8 4 2 5 3 2" xfId="48918"/>
    <cellStyle name="Comma 8 4 2 5 4" xfId="48919"/>
    <cellStyle name="Comma 8 4 2 5 5" xfId="48920"/>
    <cellStyle name="Comma 8 4 2 6" xfId="48921"/>
    <cellStyle name="Comma 8 4 2 6 2" xfId="48922"/>
    <cellStyle name="Comma 8 4 2 6 3" xfId="48923"/>
    <cellStyle name="Comma 8 4 2 7" xfId="48924"/>
    <cellStyle name="Comma 8 4 2 7 2" xfId="48925"/>
    <cellStyle name="Comma 8 4 2 7 3" xfId="48926"/>
    <cellStyle name="Comma 8 4 2 8" xfId="48927"/>
    <cellStyle name="Comma 8 4 2 8 2" xfId="48928"/>
    <cellStyle name="Comma 8 4 2 9" xfId="48929"/>
    <cellStyle name="Comma 8 4 3" xfId="48930"/>
    <cellStyle name="Comma 8 4 3 2" xfId="48931"/>
    <cellStyle name="Comma 8 4 3 2 2" xfId="48932"/>
    <cellStyle name="Comma 8 4 3 2 2 2" xfId="48933"/>
    <cellStyle name="Comma 8 4 3 2 2 3" xfId="48934"/>
    <cellStyle name="Comma 8 4 3 2 3" xfId="48935"/>
    <cellStyle name="Comma 8 4 3 2 3 2" xfId="48936"/>
    <cellStyle name="Comma 8 4 3 2 3 3" xfId="48937"/>
    <cellStyle name="Comma 8 4 3 2 4" xfId="48938"/>
    <cellStyle name="Comma 8 4 3 2 4 2" xfId="48939"/>
    <cellStyle name="Comma 8 4 3 2 5" xfId="48940"/>
    <cellStyle name="Comma 8 4 3 2 6" xfId="48941"/>
    <cellStyle name="Comma 8 4 3 3" xfId="48942"/>
    <cellStyle name="Comma 8 4 3 3 2" xfId="48943"/>
    <cellStyle name="Comma 8 4 3 3 2 2" xfId="48944"/>
    <cellStyle name="Comma 8 4 3 3 2 3" xfId="48945"/>
    <cellStyle name="Comma 8 4 3 3 3" xfId="48946"/>
    <cellStyle name="Comma 8 4 3 3 3 2" xfId="48947"/>
    <cellStyle name="Comma 8 4 3 3 3 3" xfId="48948"/>
    <cellStyle name="Comma 8 4 3 3 4" xfId="48949"/>
    <cellStyle name="Comma 8 4 3 3 4 2" xfId="48950"/>
    <cellStyle name="Comma 8 4 3 3 5" xfId="48951"/>
    <cellStyle name="Comma 8 4 3 3 6" xfId="48952"/>
    <cellStyle name="Comma 8 4 3 4" xfId="48953"/>
    <cellStyle name="Comma 8 4 3 4 2" xfId="48954"/>
    <cellStyle name="Comma 8 4 3 4 2 2" xfId="48955"/>
    <cellStyle name="Comma 8 4 3 4 2 3" xfId="48956"/>
    <cellStyle name="Comma 8 4 3 4 3" xfId="48957"/>
    <cellStyle name="Comma 8 4 3 4 3 2" xfId="48958"/>
    <cellStyle name="Comma 8 4 3 4 4" xfId="48959"/>
    <cellStyle name="Comma 8 4 3 4 5" xfId="48960"/>
    <cellStyle name="Comma 8 4 3 5" xfId="48961"/>
    <cellStyle name="Comma 8 4 3 5 2" xfId="48962"/>
    <cellStyle name="Comma 8 4 3 5 3" xfId="48963"/>
    <cellStyle name="Comma 8 4 3 6" xfId="48964"/>
    <cellStyle name="Comma 8 4 3 6 2" xfId="48965"/>
    <cellStyle name="Comma 8 4 3 6 3" xfId="48966"/>
    <cellStyle name="Comma 8 4 3 7" xfId="48967"/>
    <cellStyle name="Comma 8 4 3 7 2" xfId="48968"/>
    <cellStyle name="Comma 8 4 3 8" xfId="48969"/>
    <cellStyle name="Comma 8 4 3 9" xfId="48970"/>
    <cellStyle name="Comma 8 4 4" xfId="48971"/>
    <cellStyle name="Comma 8 4 4 2" xfId="48972"/>
    <cellStyle name="Comma 8 4 4 2 2" xfId="48973"/>
    <cellStyle name="Comma 8 4 4 2 2 2" xfId="48974"/>
    <cellStyle name="Comma 8 4 4 2 2 3" xfId="48975"/>
    <cellStyle name="Comma 8 4 4 2 3" xfId="48976"/>
    <cellStyle name="Comma 8 4 4 2 3 2" xfId="48977"/>
    <cellStyle name="Comma 8 4 4 2 3 3" xfId="48978"/>
    <cellStyle name="Comma 8 4 4 2 4" xfId="48979"/>
    <cellStyle name="Comma 8 4 4 2 4 2" xfId="48980"/>
    <cellStyle name="Comma 8 4 4 2 5" xfId="48981"/>
    <cellStyle name="Comma 8 4 4 2 6" xfId="48982"/>
    <cellStyle name="Comma 8 4 4 3" xfId="48983"/>
    <cellStyle name="Comma 8 4 4 3 2" xfId="48984"/>
    <cellStyle name="Comma 8 4 4 3 2 2" xfId="48985"/>
    <cellStyle name="Comma 8 4 4 3 2 3" xfId="48986"/>
    <cellStyle name="Comma 8 4 4 3 3" xfId="48987"/>
    <cellStyle name="Comma 8 4 4 3 3 2" xfId="48988"/>
    <cellStyle name="Comma 8 4 4 3 3 3" xfId="48989"/>
    <cellStyle name="Comma 8 4 4 3 4" xfId="48990"/>
    <cellStyle name="Comma 8 4 4 3 4 2" xfId="48991"/>
    <cellStyle name="Comma 8 4 4 3 5" xfId="48992"/>
    <cellStyle name="Comma 8 4 4 3 6" xfId="48993"/>
    <cellStyle name="Comma 8 4 4 4" xfId="48994"/>
    <cellStyle name="Comma 8 4 4 4 2" xfId="48995"/>
    <cellStyle name="Comma 8 4 4 4 2 2" xfId="48996"/>
    <cellStyle name="Comma 8 4 4 4 2 3" xfId="48997"/>
    <cellStyle name="Comma 8 4 4 4 3" xfId="48998"/>
    <cellStyle name="Comma 8 4 4 4 3 2" xfId="48999"/>
    <cellStyle name="Comma 8 4 4 4 4" xfId="49000"/>
    <cellStyle name="Comma 8 4 4 4 5" xfId="49001"/>
    <cellStyle name="Comma 8 4 4 5" xfId="49002"/>
    <cellStyle name="Comma 8 4 4 5 2" xfId="49003"/>
    <cellStyle name="Comma 8 4 4 5 3" xfId="49004"/>
    <cellStyle name="Comma 8 4 4 6" xfId="49005"/>
    <cellStyle name="Comma 8 4 4 6 2" xfId="49006"/>
    <cellStyle name="Comma 8 4 4 6 3" xfId="49007"/>
    <cellStyle name="Comma 8 4 4 7" xfId="49008"/>
    <cellStyle name="Comma 8 4 4 7 2" xfId="49009"/>
    <cellStyle name="Comma 8 4 4 8" xfId="49010"/>
    <cellStyle name="Comma 8 4 4 9" xfId="49011"/>
    <cellStyle name="Comma 8 4 5" xfId="49012"/>
    <cellStyle name="Comma 8 4 5 2" xfId="49013"/>
    <cellStyle name="Comma 8 4 5 2 2" xfId="49014"/>
    <cellStyle name="Comma 8 4 5 2 3" xfId="49015"/>
    <cellStyle name="Comma 8 4 5 3" xfId="49016"/>
    <cellStyle name="Comma 8 4 5 3 2" xfId="49017"/>
    <cellStyle name="Comma 8 4 5 3 3" xfId="49018"/>
    <cellStyle name="Comma 8 4 5 4" xfId="49019"/>
    <cellStyle name="Comma 8 4 5 4 2" xfId="49020"/>
    <cellStyle name="Comma 8 4 5 5" xfId="49021"/>
    <cellStyle name="Comma 8 4 5 6" xfId="49022"/>
    <cellStyle name="Comma 8 4 6" xfId="49023"/>
    <cellStyle name="Comma 8 4 6 2" xfId="49024"/>
    <cellStyle name="Comma 8 4 6 2 2" xfId="49025"/>
    <cellStyle name="Comma 8 4 6 2 3" xfId="49026"/>
    <cellStyle name="Comma 8 4 6 3" xfId="49027"/>
    <cellStyle name="Comma 8 4 6 3 2" xfId="49028"/>
    <cellStyle name="Comma 8 4 6 3 3" xfId="49029"/>
    <cellStyle name="Comma 8 4 6 4" xfId="49030"/>
    <cellStyle name="Comma 8 4 6 4 2" xfId="49031"/>
    <cellStyle name="Comma 8 4 6 5" xfId="49032"/>
    <cellStyle name="Comma 8 4 6 6" xfId="49033"/>
    <cellStyle name="Comma 8 4 7" xfId="49034"/>
    <cellStyle name="Comma 8 4 7 2" xfId="49035"/>
    <cellStyle name="Comma 8 4 7 2 2" xfId="49036"/>
    <cellStyle name="Comma 8 4 7 2 3" xfId="49037"/>
    <cellStyle name="Comma 8 4 7 3" xfId="49038"/>
    <cellStyle name="Comma 8 4 7 3 2" xfId="49039"/>
    <cellStyle name="Comma 8 4 7 4" xfId="49040"/>
    <cellStyle name="Comma 8 4 7 5" xfId="49041"/>
    <cellStyle name="Comma 8 4 8" xfId="49042"/>
    <cellStyle name="Comma 8 4 8 2" xfId="49043"/>
    <cellStyle name="Comma 8 4 8 3" xfId="49044"/>
    <cellStyle name="Comma 8 4 9" xfId="49045"/>
    <cellStyle name="Comma 8 4 9 2" xfId="49046"/>
    <cellStyle name="Comma 8 4 9 3" xfId="49047"/>
    <cellStyle name="Comma 8 5" xfId="3745"/>
    <cellStyle name="Comma 8 5 10" xfId="49048"/>
    <cellStyle name="Comma 8 5 2" xfId="49049"/>
    <cellStyle name="Comma 8 5 2 2" xfId="49050"/>
    <cellStyle name="Comma 8 5 2 2 2" xfId="49051"/>
    <cellStyle name="Comma 8 5 2 2 2 2" xfId="49052"/>
    <cellStyle name="Comma 8 5 2 2 2 3" xfId="49053"/>
    <cellStyle name="Comma 8 5 2 2 3" xfId="49054"/>
    <cellStyle name="Comma 8 5 2 2 3 2" xfId="49055"/>
    <cellStyle name="Comma 8 5 2 2 3 3" xfId="49056"/>
    <cellStyle name="Comma 8 5 2 2 4" xfId="49057"/>
    <cellStyle name="Comma 8 5 2 2 4 2" xfId="49058"/>
    <cellStyle name="Comma 8 5 2 2 5" xfId="49059"/>
    <cellStyle name="Comma 8 5 2 2 6" xfId="49060"/>
    <cellStyle name="Comma 8 5 2 3" xfId="49061"/>
    <cellStyle name="Comma 8 5 2 3 2" xfId="49062"/>
    <cellStyle name="Comma 8 5 2 3 2 2" xfId="49063"/>
    <cellStyle name="Comma 8 5 2 3 2 3" xfId="49064"/>
    <cellStyle name="Comma 8 5 2 3 3" xfId="49065"/>
    <cellStyle name="Comma 8 5 2 3 3 2" xfId="49066"/>
    <cellStyle name="Comma 8 5 2 3 3 3" xfId="49067"/>
    <cellStyle name="Comma 8 5 2 3 4" xfId="49068"/>
    <cellStyle name="Comma 8 5 2 3 4 2" xfId="49069"/>
    <cellStyle name="Comma 8 5 2 3 5" xfId="49070"/>
    <cellStyle name="Comma 8 5 2 3 6" xfId="49071"/>
    <cellStyle name="Comma 8 5 2 4" xfId="49072"/>
    <cellStyle name="Comma 8 5 2 4 2" xfId="49073"/>
    <cellStyle name="Comma 8 5 2 4 2 2" xfId="49074"/>
    <cellStyle name="Comma 8 5 2 4 2 3" xfId="49075"/>
    <cellStyle name="Comma 8 5 2 4 3" xfId="49076"/>
    <cellStyle name="Comma 8 5 2 4 3 2" xfId="49077"/>
    <cellStyle name="Comma 8 5 2 4 4" xfId="49078"/>
    <cellStyle name="Comma 8 5 2 4 5" xfId="49079"/>
    <cellStyle name="Comma 8 5 2 5" xfId="49080"/>
    <cellStyle name="Comma 8 5 2 5 2" xfId="49081"/>
    <cellStyle name="Comma 8 5 2 5 3" xfId="49082"/>
    <cellStyle name="Comma 8 5 2 6" xfId="49083"/>
    <cellStyle name="Comma 8 5 2 6 2" xfId="49084"/>
    <cellStyle name="Comma 8 5 2 6 3" xfId="49085"/>
    <cellStyle name="Comma 8 5 2 7" xfId="49086"/>
    <cellStyle name="Comma 8 5 2 7 2" xfId="49087"/>
    <cellStyle name="Comma 8 5 2 8" xfId="49088"/>
    <cellStyle name="Comma 8 5 2 9" xfId="49089"/>
    <cellStyle name="Comma 8 5 3" xfId="49090"/>
    <cellStyle name="Comma 8 5 3 2" xfId="49091"/>
    <cellStyle name="Comma 8 5 3 2 2" xfId="49092"/>
    <cellStyle name="Comma 8 5 3 2 3" xfId="49093"/>
    <cellStyle name="Comma 8 5 3 3" xfId="49094"/>
    <cellStyle name="Comma 8 5 3 3 2" xfId="49095"/>
    <cellStyle name="Comma 8 5 3 3 3" xfId="49096"/>
    <cellStyle name="Comma 8 5 3 4" xfId="49097"/>
    <cellStyle name="Comma 8 5 3 4 2" xfId="49098"/>
    <cellStyle name="Comma 8 5 3 5" xfId="49099"/>
    <cellStyle name="Comma 8 5 3 6" xfId="49100"/>
    <cellStyle name="Comma 8 5 4" xfId="49101"/>
    <cellStyle name="Comma 8 5 4 2" xfId="49102"/>
    <cellStyle name="Comma 8 5 4 2 2" xfId="49103"/>
    <cellStyle name="Comma 8 5 4 2 3" xfId="49104"/>
    <cellStyle name="Comma 8 5 4 3" xfId="49105"/>
    <cellStyle name="Comma 8 5 4 3 2" xfId="49106"/>
    <cellStyle name="Comma 8 5 4 3 3" xfId="49107"/>
    <cellStyle name="Comma 8 5 4 4" xfId="49108"/>
    <cellStyle name="Comma 8 5 4 4 2" xfId="49109"/>
    <cellStyle name="Comma 8 5 4 5" xfId="49110"/>
    <cellStyle name="Comma 8 5 4 6" xfId="49111"/>
    <cellStyle name="Comma 8 5 5" xfId="49112"/>
    <cellStyle name="Comma 8 5 5 2" xfId="49113"/>
    <cellStyle name="Comma 8 5 5 2 2" xfId="49114"/>
    <cellStyle name="Comma 8 5 5 2 3" xfId="49115"/>
    <cellStyle name="Comma 8 5 5 3" xfId="49116"/>
    <cellStyle name="Comma 8 5 5 3 2" xfId="49117"/>
    <cellStyle name="Comma 8 5 5 4" xfId="49118"/>
    <cellStyle name="Comma 8 5 5 5" xfId="49119"/>
    <cellStyle name="Comma 8 5 6" xfId="49120"/>
    <cellStyle name="Comma 8 5 6 2" xfId="49121"/>
    <cellStyle name="Comma 8 5 6 3" xfId="49122"/>
    <cellStyle name="Comma 8 5 7" xfId="49123"/>
    <cellStyle name="Comma 8 5 7 2" xfId="49124"/>
    <cellStyle name="Comma 8 5 7 3" xfId="49125"/>
    <cellStyle name="Comma 8 5 8" xfId="49126"/>
    <cellStyle name="Comma 8 5 8 2" xfId="49127"/>
    <cellStyle name="Comma 8 5 9" xfId="49128"/>
    <cellStyle name="Comma 8 6" xfId="9178"/>
    <cellStyle name="Comma 8 6 2" xfId="49129"/>
    <cellStyle name="Comma 8 6 2 2" xfId="49130"/>
    <cellStyle name="Comma 8 6 2 2 2" xfId="49131"/>
    <cellStyle name="Comma 8 6 2 2 3" xfId="49132"/>
    <cellStyle name="Comma 8 6 2 3" xfId="49133"/>
    <cellStyle name="Comma 8 6 2 3 2" xfId="49134"/>
    <cellStyle name="Comma 8 6 2 3 3" xfId="49135"/>
    <cellStyle name="Comma 8 6 2 4" xfId="49136"/>
    <cellStyle name="Comma 8 6 2 4 2" xfId="49137"/>
    <cellStyle name="Comma 8 6 2 5" xfId="49138"/>
    <cellStyle name="Comma 8 6 2 6" xfId="49139"/>
    <cellStyle name="Comma 8 6 3" xfId="49140"/>
    <cellStyle name="Comma 8 6 3 2" xfId="49141"/>
    <cellStyle name="Comma 8 6 3 2 2" xfId="49142"/>
    <cellStyle name="Comma 8 6 3 2 3" xfId="49143"/>
    <cellStyle name="Comma 8 6 3 3" xfId="49144"/>
    <cellStyle name="Comma 8 6 3 3 2" xfId="49145"/>
    <cellStyle name="Comma 8 6 3 3 3" xfId="49146"/>
    <cellStyle name="Comma 8 6 3 4" xfId="49147"/>
    <cellStyle name="Comma 8 6 3 4 2" xfId="49148"/>
    <cellStyle name="Comma 8 6 3 5" xfId="49149"/>
    <cellStyle name="Comma 8 6 3 6" xfId="49150"/>
    <cellStyle name="Comma 8 6 4" xfId="49151"/>
    <cellStyle name="Comma 8 6 4 2" xfId="49152"/>
    <cellStyle name="Comma 8 6 4 2 2" xfId="49153"/>
    <cellStyle name="Comma 8 6 4 2 3" xfId="49154"/>
    <cellStyle name="Comma 8 6 4 3" xfId="49155"/>
    <cellStyle name="Comma 8 6 4 3 2" xfId="49156"/>
    <cellStyle name="Comma 8 6 4 4" xfId="49157"/>
    <cellStyle name="Comma 8 6 4 5" xfId="49158"/>
    <cellStyle name="Comma 8 6 5" xfId="49159"/>
    <cellStyle name="Comma 8 6 5 2" xfId="49160"/>
    <cellStyle name="Comma 8 6 5 3" xfId="49161"/>
    <cellStyle name="Comma 8 6 6" xfId="49162"/>
    <cellStyle name="Comma 8 6 6 2" xfId="49163"/>
    <cellStyle name="Comma 8 6 6 3" xfId="49164"/>
    <cellStyle name="Comma 8 6 7" xfId="49165"/>
    <cellStyle name="Comma 8 6 7 2" xfId="49166"/>
    <cellStyle name="Comma 8 6 8" xfId="49167"/>
    <cellStyle name="Comma 8 6 9" xfId="49168"/>
    <cellStyle name="Comma 8 7" xfId="49169"/>
    <cellStyle name="Comma 8 7 2" xfId="49170"/>
    <cellStyle name="Comma 8 7 2 2" xfId="49171"/>
    <cellStyle name="Comma 8 7 2 2 2" xfId="49172"/>
    <cellStyle name="Comma 8 7 2 2 3" xfId="49173"/>
    <cellStyle name="Comma 8 7 2 3" xfId="49174"/>
    <cellStyle name="Comma 8 7 2 3 2" xfId="49175"/>
    <cellStyle name="Comma 8 7 2 3 3" xfId="49176"/>
    <cellStyle name="Comma 8 7 2 4" xfId="49177"/>
    <cellStyle name="Comma 8 7 2 4 2" xfId="49178"/>
    <cellStyle name="Comma 8 7 2 5" xfId="49179"/>
    <cellStyle name="Comma 8 7 2 6" xfId="49180"/>
    <cellStyle name="Comma 8 7 3" xfId="49181"/>
    <cellStyle name="Comma 8 7 3 2" xfId="49182"/>
    <cellStyle name="Comma 8 7 3 2 2" xfId="49183"/>
    <cellStyle name="Comma 8 7 3 2 3" xfId="49184"/>
    <cellStyle name="Comma 8 7 3 3" xfId="49185"/>
    <cellStyle name="Comma 8 7 3 3 2" xfId="49186"/>
    <cellStyle name="Comma 8 7 3 3 3" xfId="49187"/>
    <cellStyle name="Comma 8 7 3 4" xfId="49188"/>
    <cellStyle name="Comma 8 7 3 4 2" xfId="49189"/>
    <cellStyle name="Comma 8 7 3 5" xfId="49190"/>
    <cellStyle name="Comma 8 7 3 6" xfId="49191"/>
    <cellStyle name="Comma 8 7 4" xfId="49192"/>
    <cellStyle name="Comma 8 7 4 2" xfId="49193"/>
    <cellStyle name="Comma 8 7 4 2 2" xfId="49194"/>
    <cellStyle name="Comma 8 7 4 2 3" xfId="49195"/>
    <cellStyle name="Comma 8 7 4 3" xfId="49196"/>
    <cellStyle name="Comma 8 7 4 3 2" xfId="49197"/>
    <cellStyle name="Comma 8 7 4 4" xfId="49198"/>
    <cellStyle name="Comma 8 7 4 5" xfId="49199"/>
    <cellStyle name="Comma 8 7 5" xfId="49200"/>
    <cellStyle name="Comma 8 7 5 2" xfId="49201"/>
    <cellStyle name="Comma 8 7 5 3" xfId="49202"/>
    <cellStyle name="Comma 8 7 6" xfId="49203"/>
    <cellStyle name="Comma 8 7 6 2" xfId="49204"/>
    <cellStyle name="Comma 8 7 6 3" xfId="49205"/>
    <cellStyle name="Comma 8 7 7" xfId="49206"/>
    <cellStyle name="Comma 8 7 7 2" xfId="49207"/>
    <cellStyle name="Comma 8 7 8" xfId="49208"/>
    <cellStyle name="Comma 8 7 9" xfId="49209"/>
    <cellStyle name="Comma 8 8" xfId="49210"/>
    <cellStyle name="Comma 8 8 2" xfId="49211"/>
    <cellStyle name="Comma 8 8 2 2" xfId="49212"/>
    <cellStyle name="Comma 8 8 2 3" xfId="49213"/>
    <cellStyle name="Comma 8 8 3" xfId="49214"/>
    <cellStyle name="Comma 8 8 3 2" xfId="49215"/>
    <cellStyle name="Comma 8 8 3 3" xfId="49216"/>
    <cellStyle name="Comma 8 8 4" xfId="49217"/>
    <cellStyle name="Comma 8 8 4 2" xfId="49218"/>
    <cellStyle name="Comma 8 8 5" xfId="49219"/>
    <cellStyle name="Comma 8 8 6" xfId="49220"/>
    <cellStyle name="Comma 8 9" xfId="49221"/>
    <cellStyle name="Comma 8 9 2" xfId="49222"/>
    <cellStyle name="Comma 8 9 2 2" xfId="49223"/>
    <cellStyle name="Comma 8 9 2 3" xfId="49224"/>
    <cellStyle name="Comma 8 9 3" xfId="49225"/>
    <cellStyle name="Comma 8 9 3 2" xfId="49226"/>
    <cellStyle name="Comma 8 9 3 3" xfId="49227"/>
    <cellStyle name="Comma 8 9 4" xfId="49228"/>
    <cellStyle name="Comma 8 9 4 2" xfId="49229"/>
    <cellStyle name="Comma 8 9 5" xfId="49230"/>
    <cellStyle name="Comma 8 9 6" xfId="49231"/>
    <cellStyle name="Comma 80" xfId="3746"/>
    <cellStyle name="Comma 81" xfId="3747"/>
    <cellStyle name="Comma 82" xfId="3748"/>
    <cellStyle name="Comma 83" xfId="3749"/>
    <cellStyle name="Comma 84" xfId="3750"/>
    <cellStyle name="Comma 85" xfId="3751"/>
    <cellStyle name="Comma 86" xfId="8668"/>
    <cellStyle name="Comma 87" xfId="8721"/>
    <cellStyle name="Comma 88" xfId="8722"/>
    <cellStyle name="Comma 89" xfId="8723"/>
    <cellStyle name="Comma 9" xfId="3752"/>
    <cellStyle name="Comma 9 10" xfId="9179"/>
    <cellStyle name="Comma 9 10 2" xfId="49232"/>
    <cellStyle name="Comma 9 10 2 2" xfId="49233"/>
    <cellStyle name="Comma 9 10 2 3" xfId="49234"/>
    <cellStyle name="Comma 9 10 3" xfId="49235"/>
    <cellStyle name="Comma 9 10 3 2" xfId="49236"/>
    <cellStyle name="Comma 9 10 4" xfId="49237"/>
    <cellStyle name="Comma 9 10 5" xfId="49238"/>
    <cellStyle name="Comma 9 11" xfId="49239"/>
    <cellStyle name="Comma 9 11 2" xfId="49240"/>
    <cellStyle name="Comma 9 11 3" xfId="49241"/>
    <cellStyle name="Comma 9 12" xfId="49242"/>
    <cellStyle name="Comma 9 12 2" xfId="49243"/>
    <cellStyle name="Comma 9 12 3" xfId="49244"/>
    <cellStyle name="Comma 9 13" xfId="49245"/>
    <cellStyle name="Comma 9 13 2" xfId="49246"/>
    <cellStyle name="Comma 9 14" xfId="49247"/>
    <cellStyle name="Comma 9 15" xfId="49248"/>
    <cellStyle name="Comma 9 16" xfId="49249"/>
    <cellStyle name="Comma 9 2" xfId="3753"/>
    <cellStyle name="Comma 9 2 10" xfId="49250"/>
    <cellStyle name="Comma 9 2 10 2" xfId="49251"/>
    <cellStyle name="Comma 9 2 10 3" xfId="49252"/>
    <cellStyle name="Comma 9 2 11" xfId="49253"/>
    <cellStyle name="Comma 9 2 11 2" xfId="49254"/>
    <cellStyle name="Comma 9 2 11 3" xfId="49255"/>
    <cellStyle name="Comma 9 2 12" xfId="49256"/>
    <cellStyle name="Comma 9 2 12 2" xfId="49257"/>
    <cellStyle name="Comma 9 2 13" xfId="49258"/>
    <cellStyle name="Comma 9 2 14" xfId="49259"/>
    <cellStyle name="Comma 9 2 15" xfId="49260"/>
    <cellStyle name="Comma 9 2 2" xfId="3754"/>
    <cellStyle name="Comma 9 2 2 10" xfId="49261"/>
    <cellStyle name="Comma 9 2 2 10 2" xfId="49262"/>
    <cellStyle name="Comma 9 2 2 10 3" xfId="49263"/>
    <cellStyle name="Comma 9 2 2 11" xfId="49264"/>
    <cellStyle name="Comma 9 2 2 11 2" xfId="49265"/>
    <cellStyle name="Comma 9 2 2 12" xfId="49266"/>
    <cellStyle name="Comma 9 2 2 13" xfId="49267"/>
    <cellStyle name="Comma 9 2 2 14" xfId="49268"/>
    <cellStyle name="Comma 9 2 2 2" xfId="3755"/>
    <cellStyle name="Comma 9 2 2 2 10" xfId="49269"/>
    <cellStyle name="Comma 9 2 2 2 10 2" xfId="49270"/>
    <cellStyle name="Comma 9 2 2 2 11" xfId="49271"/>
    <cellStyle name="Comma 9 2 2 2 12" xfId="49272"/>
    <cellStyle name="Comma 9 2 2 2 2" xfId="3756"/>
    <cellStyle name="Comma 9 2 2 2 2 10" xfId="49273"/>
    <cellStyle name="Comma 9 2 2 2 2 2" xfId="3757"/>
    <cellStyle name="Comma 9 2 2 2 2 2 2" xfId="3758"/>
    <cellStyle name="Comma 9 2 2 2 2 2 2 2" xfId="49274"/>
    <cellStyle name="Comma 9 2 2 2 2 2 2 2 2" xfId="49275"/>
    <cellStyle name="Comma 9 2 2 2 2 2 2 2 3" xfId="49276"/>
    <cellStyle name="Comma 9 2 2 2 2 2 2 3" xfId="49277"/>
    <cellStyle name="Comma 9 2 2 2 2 2 2 3 2" xfId="49278"/>
    <cellStyle name="Comma 9 2 2 2 2 2 2 3 3" xfId="49279"/>
    <cellStyle name="Comma 9 2 2 2 2 2 2 4" xfId="49280"/>
    <cellStyle name="Comma 9 2 2 2 2 2 2 4 2" xfId="49281"/>
    <cellStyle name="Comma 9 2 2 2 2 2 2 5" xfId="49282"/>
    <cellStyle name="Comma 9 2 2 2 2 2 2 6" xfId="49283"/>
    <cellStyle name="Comma 9 2 2 2 2 2 3" xfId="49284"/>
    <cellStyle name="Comma 9 2 2 2 2 2 3 2" xfId="49285"/>
    <cellStyle name="Comma 9 2 2 2 2 2 3 2 2" xfId="49286"/>
    <cellStyle name="Comma 9 2 2 2 2 2 3 2 3" xfId="49287"/>
    <cellStyle name="Comma 9 2 2 2 2 2 3 3" xfId="49288"/>
    <cellStyle name="Comma 9 2 2 2 2 2 3 3 2" xfId="49289"/>
    <cellStyle name="Comma 9 2 2 2 2 2 3 3 3" xfId="49290"/>
    <cellStyle name="Comma 9 2 2 2 2 2 3 4" xfId="49291"/>
    <cellStyle name="Comma 9 2 2 2 2 2 3 4 2" xfId="49292"/>
    <cellStyle name="Comma 9 2 2 2 2 2 3 5" xfId="49293"/>
    <cellStyle name="Comma 9 2 2 2 2 2 3 6" xfId="49294"/>
    <cellStyle name="Comma 9 2 2 2 2 2 4" xfId="49295"/>
    <cellStyle name="Comma 9 2 2 2 2 2 4 2" xfId="49296"/>
    <cellStyle name="Comma 9 2 2 2 2 2 4 2 2" xfId="49297"/>
    <cellStyle name="Comma 9 2 2 2 2 2 4 2 3" xfId="49298"/>
    <cellStyle name="Comma 9 2 2 2 2 2 4 3" xfId="49299"/>
    <cellStyle name="Comma 9 2 2 2 2 2 4 3 2" xfId="49300"/>
    <cellStyle name="Comma 9 2 2 2 2 2 4 4" xfId="49301"/>
    <cellStyle name="Comma 9 2 2 2 2 2 4 5" xfId="49302"/>
    <cellStyle name="Comma 9 2 2 2 2 2 5" xfId="49303"/>
    <cellStyle name="Comma 9 2 2 2 2 2 5 2" xfId="49304"/>
    <cellStyle name="Comma 9 2 2 2 2 2 5 3" xfId="49305"/>
    <cellStyle name="Comma 9 2 2 2 2 2 6" xfId="49306"/>
    <cellStyle name="Comma 9 2 2 2 2 2 6 2" xfId="49307"/>
    <cellStyle name="Comma 9 2 2 2 2 2 6 3" xfId="49308"/>
    <cellStyle name="Comma 9 2 2 2 2 2 7" xfId="49309"/>
    <cellStyle name="Comma 9 2 2 2 2 2 7 2" xfId="49310"/>
    <cellStyle name="Comma 9 2 2 2 2 2 8" xfId="49311"/>
    <cellStyle name="Comma 9 2 2 2 2 2 9" xfId="49312"/>
    <cellStyle name="Comma 9 2 2 2 2 3" xfId="3759"/>
    <cellStyle name="Comma 9 2 2 2 2 3 2" xfId="49313"/>
    <cellStyle name="Comma 9 2 2 2 2 3 2 2" xfId="49314"/>
    <cellStyle name="Comma 9 2 2 2 2 3 2 3" xfId="49315"/>
    <cellStyle name="Comma 9 2 2 2 2 3 3" xfId="49316"/>
    <cellStyle name="Comma 9 2 2 2 2 3 3 2" xfId="49317"/>
    <cellStyle name="Comma 9 2 2 2 2 3 3 3" xfId="49318"/>
    <cellStyle name="Comma 9 2 2 2 2 3 4" xfId="49319"/>
    <cellStyle name="Comma 9 2 2 2 2 3 4 2" xfId="49320"/>
    <cellStyle name="Comma 9 2 2 2 2 3 5" xfId="49321"/>
    <cellStyle name="Comma 9 2 2 2 2 3 6" xfId="49322"/>
    <cellStyle name="Comma 9 2 2 2 2 4" xfId="49323"/>
    <cellStyle name="Comma 9 2 2 2 2 4 2" xfId="49324"/>
    <cellStyle name="Comma 9 2 2 2 2 4 2 2" xfId="49325"/>
    <cellStyle name="Comma 9 2 2 2 2 4 2 3" xfId="49326"/>
    <cellStyle name="Comma 9 2 2 2 2 4 3" xfId="49327"/>
    <cellStyle name="Comma 9 2 2 2 2 4 3 2" xfId="49328"/>
    <cellStyle name="Comma 9 2 2 2 2 4 3 3" xfId="49329"/>
    <cellStyle name="Comma 9 2 2 2 2 4 4" xfId="49330"/>
    <cellStyle name="Comma 9 2 2 2 2 4 4 2" xfId="49331"/>
    <cellStyle name="Comma 9 2 2 2 2 4 5" xfId="49332"/>
    <cellStyle name="Comma 9 2 2 2 2 4 6" xfId="49333"/>
    <cellStyle name="Comma 9 2 2 2 2 5" xfId="49334"/>
    <cellStyle name="Comma 9 2 2 2 2 5 2" xfId="49335"/>
    <cellStyle name="Comma 9 2 2 2 2 5 2 2" xfId="49336"/>
    <cellStyle name="Comma 9 2 2 2 2 5 2 3" xfId="49337"/>
    <cellStyle name="Comma 9 2 2 2 2 5 3" xfId="49338"/>
    <cellStyle name="Comma 9 2 2 2 2 5 3 2" xfId="49339"/>
    <cellStyle name="Comma 9 2 2 2 2 5 4" xfId="49340"/>
    <cellStyle name="Comma 9 2 2 2 2 5 5" xfId="49341"/>
    <cellStyle name="Comma 9 2 2 2 2 6" xfId="49342"/>
    <cellStyle name="Comma 9 2 2 2 2 6 2" xfId="49343"/>
    <cellStyle name="Comma 9 2 2 2 2 6 3" xfId="49344"/>
    <cellStyle name="Comma 9 2 2 2 2 7" xfId="49345"/>
    <cellStyle name="Comma 9 2 2 2 2 7 2" xfId="49346"/>
    <cellStyle name="Comma 9 2 2 2 2 7 3" xfId="49347"/>
    <cellStyle name="Comma 9 2 2 2 2 8" xfId="49348"/>
    <cellStyle name="Comma 9 2 2 2 2 8 2" xfId="49349"/>
    <cellStyle name="Comma 9 2 2 2 2 9" xfId="49350"/>
    <cellStyle name="Comma 9 2 2 2 3" xfId="3760"/>
    <cellStyle name="Comma 9 2 2 2 3 2" xfId="3761"/>
    <cellStyle name="Comma 9 2 2 2 3 2 2" xfId="49351"/>
    <cellStyle name="Comma 9 2 2 2 3 2 2 2" xfId="49352"/>
    <cellStyle name="Comma 9 2 2 2 3 2 2 3" xfId="49353"/>
    <cellStyle name="Comma 9 2 2 2 3 2 3" xfId="49354"/>
    <cellStyle name="Comma 9 2 2 2 3 2 3 2" xfId="49355"/>
    <cellStyle name="Comma 9 2 2 2 3 2 3 3" xfId="49356"/>
    <cellStyle name="Comma 9 2 2 2 3 2 4" xfId="49357"/>
    <cellStyle name="Comma 9 2 2 2 3 2 4 2" xfId="49358"/>
    <cellStyle name="Comma 9 2 2 2 3 2 5" xfId="49359"/>
    <cellStyle name="Comma 9 2 2 2 3 2 6" xfId="49360"/>
    <cellStyle name="Comma 9 2 2 2 3 3" xfId="49361"/>
    <cellStyle name="Comma 9 2 2 2 3 3 2" xfId="49362"/>
    <cellStyle name="Comma 9 2 2 2 3 3 2 2" xfId="49363"/>
    <cellStyle name="Comma 9 2 2 2 3 3 2 3" xfId="49364"/>
    <cellStyle name="Comma 9 2 2 2 3 3 3" xfId="49365"/>
    <cellStyle name="Comma 9 2 2 2 3 3 3 2" xfId="49366"/>
    <cellStyle name="Comma 9 2 2 2 3 3 3 3" xfId="49367"/>
    <cellStyle name="Comma 9 2 2 2 3 3 4" xfId="49368"/>
    <cellStyle name="Comma 9 2 2 2 3 3 4 2" xfId="49369"/>
    <cellStyle name="Comma 9 2 2 2 3 3 5" xfId="49370"/>
    <cellStyle name="Comma 9 2 2 2 3 3 6" xfId="49371"/>
    <cellStyle name="Comma 9 2 2 2 3 4" xfId="49372"/>
    <cellStyle name="Comma 9 2 2 2 3 4 2" xfId="49373"/>
    <cellStyle name="Comma 9 2 2 2 3 4 2 2" xfId="49374"/>
    <cellStyle name="Comma 9 2 2 2 3 4 2 3" xfId="49375"/>
    <cellStyle name="Comma 9 2 2 2 3 4 3" xfId="49376"/>
    <cellStyle name="Comma 9 2 2 2 3 4 3 2" xfId="49377"/>
    <cellStyle name="Comma 9 2 2 2 3 4 4" xfId="49378"/>
    <cellStyle name="Comma 9 2 2 2 3 4 5" xfId="49379"/>
    <cellStyle name="Comma 9 2 2 2 3 5" xfId="49380"/>
    <cellStyle name="Comma 9 2 2 2 3 5 2" xfId="49381"/>
    <cellStyle name="Comma 9 2 2 2 3 5 3" xfId="49382"/>
    <cellStyle name="Comma 9 2 2 2 3 6" xfId="49383"/>
    <cellStyle name="Comma 9 2 2 2 3 6 2" xfId="49384"/>
    <cellStyle name="Comma 9 2 2 2 3 6 3" xfId="49385"/>
    <cellStyle name="Comma 9 2 2 2 3 7" xfId="49386"/>
    <cellStyle name="Comma 9 2 2 2 3 7 2" xfId="49387"/>
    <cellStyle name="Comma 9 2 2 2 3 8" xfId="49388"/>
    <cellStyle name="Comma 9 2 2 2 3 9" xfId="49389"/>
    <cellStyle name="Comma 9 2 2 2 4" xfId="3762"/>
    <cellStyle name="Comma 9 2 2 2 4 2" xfId="49390"/>
    <cellStyle name="Comma 9 2 2 2 4 2 2" xfId="49391"/>
    <cellStyle name="Comma 9 2 2 2 4 2 2 2" xfId="49392"/>
    <cellStyle name="Comma 9 2 2 2 4 2 2 3" xfId="49393"/>
    <cellStyle name="Comma 9 2 2 2 4 2 3" xfId="49394"/>
    <cellStyle name="Comma 9 2 2 2 4 2 3 2" xfId="49395"/>
    <cellStyle name="Comma 9 2 2 2 4 2 3 3" xfId="49396"/>
    <cellStyle name="Comma 9 2 2 2 4 2 4" xfId="49397"/>
    <cellStyle name="Comma 9 2 2 2 4 2 4 2" xfId="49398"/>
    <cellStyle name="Comma 9 2 2 2 4 2 5" xfId="49399"/>
    <cellStyle name="Comma 9 2 2 2 4 2 6" xfId="49400"/>
    <cellStyle name="Comma 9 2 2 2 4 3" xfId="49401"/>
    <cellStyle name="Comma 9 2 2 2 4 3 2" xfId="49402"/>
    <cellStyle name="Comma 9 2 2 2 4 3 2 2" xfId="49403"/>
    <cellStyle name="Comma 9 2 2 2 4 3 2 3" xfId="49404"/>
    <cellStyle name="Comma 9 2 2 2 4 3 3" xfId="49405"/>
    <cellStyle name="Comma 9 2 2 2 4 3 3 2" xfId="49406"/>
    <cellStyle name="Comma 9 2 2 2 4 3 3 3" xfId="49407"/>
    <cellStyle name="Comma 9 2 2 2 4 3 4" xfId="49408"/>
    <cellStyle name="Comma 9 2 2 2 4 3 4 2" xfId="49409"/>
    <cellStyle name="Comma 9 2 2 2 4 3 5" xfId="49410"/>
    <cellStyle name="Comma 9 2 2 2 4 3 6" xfId="49411"/>
    <cellStyle name="Comma 9 2 2 2 4 4" xfId="49412"/>
    <cellStyle name="Comma 9 2 2 2 4 4 2" xfId="49413"/>
    <cellStyle name="Comma 9 2 2 2 4 4 2 2" xfId="49414"/>
    <cellStyle name="Comma 9 2 2 2 4 4 2 3" xfId="49415"/>
    <cellStyle name="Comma 9 2 2 2 4 4 3" xfId="49416"/>
    <cellStyle name="Comma 9 2 2 2 4 4 3 2" xfId="49417"/>
    <cellStyle name="Comma 9 2 2 2 4 4 4" xfId="49418"/>
    <cellStyle name="Comma 9 2 2 2 4 4 5" xfId="49419"/>
    <cellStyle name="Comma 9 2 2 2 4 5" xfId="49420"/>
    <cellStyle name="Comma 9 2 2 2 4 5 2" xfId="49421"/>
    <cellStyle name="Comma 9 2 2 2 4 5 3" xfId="49422"/>
    <cellStyle name="Comma 9 2 2 2 4 6" xfId="49423"/>
    <cellStyle name="Comma 9 2 2 2 4 6 2" xfId="49424"/>
    <cellStyle name="Comma 9 2 2 2 4 6 3" xfId="49425"/>
    <cellStyle name="Comma 9 2 2 2 4 7" xfId="49426"/>
    <cellStyle name="Comma 9 2 2 2 4 7 2" xfId="49427"/>
    <cellStyle name="Comma 9 2 2 2 4 8" xfId="49428"/>
    <cellStyle name="Comma 9 2 2 2 4 9" xfId="49429"/>
    <cellStyle name="Comma 9 2 2 2 5" xfId="49430"/>
    <cellStyle name="Comma 9 2 2 2 5 2" xfId="49431"/>
    <cellStyle name="Comma 9 2 2 2 5 2 2" xfId="49432"/>
    <cellStyle name="Comma 9 2 2 2 5 2 3" xfId="49433"/>
    <cellStyle name="Comma 9 2 2 2 5 3" xfId="49434"/>
    <cellStyle name="Comma 9 2 2 2 5 3 2" xfId="49435"/>
    <cellStyle name="Comma 9 2 2 2 5 3 3" xfId="49436"/>
    <cellStyle name="Comma 9 2 2 2 5 4" xfId="49437"/>
    <cellStyle name="Comma 9 2 2 2 5 4 2" xfId="49438"/>
    <cellStyle name="Comma 9 2 2 2 5 5" xfId="49439"/>
    <cellStyle name="Comma 9 2 2 2 5 6" xfId="49440"/>
    <cellStyle name="Comma 9 2 2 2 6" xfId="49441"/>
    <cellStyle name="Comma 9 2 2 2 6 2" xfId="49442"/>
    <cellStyle name="Comma 9 2 2 2 6 2 2" xfId="49443"/>
    <cellStyle name="Comma 9 2 2 2 6 2 3" xfId="49444"/>
    <cellStyle name="Comma 9 2 2 2 6 3" xfId="49445"/>
    <cellStyle name="Comma 9 2 2 2 6 3 2" xfId="49446"/>
    <cellStyle name="Comma 9 2 2 2 6 3 3" xfId="49447"/>
    <cellStyle name="Comma 9 2 2 2 6 4" xfId="49448"/>
    <cellStyle name="Comma 9 2 2 2 6 4 2" xfId="49449"/>
    <cellStyle name="Comma 9 2 2 2 6 5" xfId="49450"/>
    <cellStyle name="Comma 9 2 2 2 6 6" xfId="49451"/>
    <cellStyle name="Comma 9 2 2 2 7" xfId="49452"/>
    <cellStyle name="Comma 9 2 2 2 7 2" xfId="49453"/>
    <cellStyle name="Comma 9 2 2 2 7 2 2" xfId="49454"/>
    <cellStyle name="Comma 9 2 2 2 7 2 3" xfId="49455"/>
    <cellStyle name="Comma 9 2 2 2 7 3" xfId="49456"/>
    <cellStyle name="Comma 9 2 2 2 7 3 2" xfId="49457"/>
    <cellStyle name="Comma 9 2 2 2 7 4" xfId="49458"/>
    <cellStyle name="Comma 9 2 2 2 7 5" xfId="49459"/>
    <cellStyle name="Comma 9 2 2 2 8" xfId="49460"/>
    <cellStyle name="Comma 9 2 2 2 8 2" xfId="49461"/>
    <cellStyle name="Comma 9 2 2 2 8 3" xfId="49462"/>
    <cellStyle name="Comma 9 2 2 2 9" xfId="49463"/>
    <cellStyle name="Comma 9 2 2 2 9 2" xfId="49464"/>
    <cellStyle name="Comma 9 2 2 2 9 3" xfId="49465"/>
    <cellStyle name="Comma 9 2 2 3" xfId="3763"/>
    <cellStyle name="Comma 9 2 2 3 10" xfId="49466"/>
    <cellStyle name="Comma 9 2 2 3 2" xfId="3764"/>
    <cellStyle name="Comma 9 2 2 3 2 2" xfId="3765"/>
    <cellStyle name="Comma 9 2 2 3 2 2 2" xfId="49467"/>
    <cellStyle name="Comma 9 2 2 3 2 2 2 2" xfId="49468"/>
    <cellStyle name="Comma 9 2 2 3 2 2 2 3" xfId="49469"/>
    <cellStyle name="Comma 9 2 2 3 2 2 3" xfId="49470"/>
    <cellStyle name="Comma 9 2 2 3 2 2 3 2" xfId="49471"/>
    <cellStyle name="Comma 9 2 2 3 2 2 3 3" xfId="49472"/>
    <cellStyle name="Comma 9 2 2 3 2 2 4" xfId="49473"/>
    <cellStyle name="Comma 9 2 2 3 2 2 4 2" xfId="49474"/>
    <cellStyle name="Comma 9 2 2 3 2 2 5" xfId="49475"/>
    <cellStyle name="Comma 9 2 2 3 2 2 6" xfId="49476"/>
    <cellStyle name="Comma 9 2 2 3 2 3" xfId="49477"/>
    <cellStyle name="Comma 9 2 2 3 2 3 2" xfId="49478"/>
    <cellStyle name="Comma 9 2 2 3 2 3 2 2" xfId="49479"/>
    <cellStyle name="Comma 9 2 2 3 2 3 2 3" xfId="49480"/>
    <cellStyle name="Comma 9 2 2 3 2 3 3" xfId="49481"/>
    <cellStyle name="Comma 9 2 2 3 2 3 3 2" xfId="49482"/>
    <cellStyle name="Comma 9 2 2 3 2 3 3 3" xfId="49483"/>
    <cellStyle name="Comma 9 2 2 3 2 3 4" xfId="49484"/>
    <cellStyle name="Comma 9 2 2 3 2 3 4 2" xfId="49485"/>
    <cellStyle name="Comma 9 2 2 3 2 3 5" xfId="49486"/>
    <cellStyle name="Comma 9 2 2 3 2 3 6" xfId="49487"/>
    <cellStyle name="Comma 9 2 2 3 2 4" xfId="49488"/>
    <cellStyle name="Comma 9 2 2 3 2 4 2" xfId="49489"/>
    <cellStyle name="Comma 9 2 2 3 2 4 2 2" xfId="49490"/>
    <cellStyle name="Comma 9 2 2 3 2 4 2 3" xfId="49491"/>
    <cellStyle name="Comma 9 2 2 3 2 4 3" xfId="49492"/>
    <cellStyle name="Comma 9 2 2 3 2 4 3 2" xfId="49493"/>
    <cellStyle name="Comma 9 2 2 3 2 4 4" xfId="49494"/>
    <cellStyle name="Comma 9 2 2 3 2 4 5" xfId="49495"/>
    <cellStyle name="Comma 9 2 2 3 2 5" xfId="49496"/>
    <cellStyle name="Comma 9 2 2 3 2 5 2" xfId="49497"/>
    <cellStyle name="Comma 9 2 2 3 2 5 3" xfId="49498"/>
    <cellStyle name="Comma 9 2 2 3 2 6" xfId="49499"/>
    <cellStyle name="Comma 9 2 2 3 2 6 2" xfId="49500"/>
    <cellStyle name="Comma 9 2 2 3 2 6 3" xfId="49501"/>
    <cellStyle name="Comma 9 2 2 3 2 7" xfId="49502"/>
    <cellStyle name="Comma 9 2 2 3 2 7 2" xfId="49503"/>
    <cellStyle name="Comma 9 2 2 3 2 8" xfId="49504"/>
    <cellStyle name="Comma 9 2 2 3 2 9" xfId="49505"/>
    <cellStyle name="Comma 9 2 2 3 3" xfId="3766"/>
    <cellStyle name="Comma 9 2 2 3 3 2" xfId="49506"/>
    <cellStyle name="Comma 9 2 2 3 3 2 2" xfId="49507"/>
    <cellStyle name="Comma 9 2 2 3 3 2 3" xfId="49508"/>
    <cellStyle name="Comma 9 2 2 3 3 3" xfId="49509"/>
    <cellStyle name="Comma 9 2 2 3 3 3 2" xfId="49510"/>
    <cellStyle name="Comma 9 2 2 3 3 3 3" xfId="49511"/>
    <cellStyle name="Comma 9 2 2 3 3 4" xfId="49512"/>
    <cellStyle name="Comma 9 2 2 3 3 4 2" xfId="49513"/>
    <cellStyle name="Comma 9 2 2 3 3 5" xfId="49514"/>
    <cellStyle name="Comma 9 2 2 3 3 6" xfId="49515"/>
    <cellStyle name="Comma 9 2 2 3 4" xfId="49516"/>
    <cellStyle name="Comma 9 2 2 3 4 2" xfId="49517"/>
    <cellStyle name="Comma 9 2 2 3 4 2 2" xfId="49518"/>
    <cellStyle name="Comma 9 2 2 3 4 2 3" xfId="49519"/>
    <cellStyle name="Comma 9 2 2 3 4 3" xfId="49520"/>
    <cellStyle name="Comma 9 2 2 3 4 3 2" xfId="49521"/>
    <cellStyle name="Comma 9 2 2 3 4 3 3" xfId="49522"/>
    <cellStyle name="Comma 9 2 2 3 4 4" xfId="49523"/>
    <cellStyle name="Comma 9 2 2 3 4 4 2" xfId="49524"/>
    <cellStyle name="Comma 9 2 2 3 4 5" xfId="49525"/>
    <cellStyle name="Comma 9 2 2 3 4 6" xfId="49526"/>
    <cellStyle name="Comma 9 2 2 3 5" xfId="49527"/>
    <cellStyle name="Comma 9 2 2 3 5 2" xfId="49528"/>
    <cellStyle name="Comma 9 2 2 3 5 2 2" xfId="49529"/>
    <cellStyle name="Comma 9 2 2 3 5 2 3" xfId="49530"/>
    <cellStyle name="Comma 9 2 2 3 5 3" xfId="49531"/>
    <cellStyle name="Comma 9 2 2 3 5 3 2" xfId="49532"/>
    <cellStyle name="Comma 9 2 2 3 5 4" xfId="49533"/>
    <cellStyle name="Comma 9 2 2 3 5 5" xfId="49534"/>
    <cellStyle name="Comma 9 2 2 3 6" xfId="49535"/>
    <cellStyle name="Comma 9 2 2 3 6 2" xfId="49536"/>
    <cellStyle name="Comma 9 2 2 3 6 3" xfId="49537"/>
    <cellStyle name="Comma 9 2 2 3 7" xfId="49538"/>
    <cellStyle name="Comma 9 2 2 3 7 2" xfId="49539"/>
    <cellStyle name="Comma 9 2 2 3 7 3" xfId="49540"/>
    <cellStyle name="Comma 9 2 2 3 8" xfId="49541"/>
    <cellStyle name="Comma 9 2 2 3 8 2" xfId="49542"/>
    <cellStyle name="Comma 9 2 2 3 9" xfId="49543"/>
    <cellStyle name="Comma 9 2 2 4" xfId="3767"/>
    <cellStyle name="Comma 9 2 2 4 2" xfId="3768"/>
    <cellStyle name="Comma 9 2 2 4 2 2" xfId="49544"/>
    <cellStyle name="Comma 9 2 2 4 2 2 2" xfId="49545"/>
    <cellStyle name="Comma 9 2 2 4 2 2 3" xfId="49546"/>
    <cellStyle name="Comma 9 2 2 4 2 3" xfId="49547"/>
    <cellStyle name="Comma 9 2 2 4 2 3 2" xfId="49548"/>
    <cellStyle name="Comma 9 2 2 4 2 3 3" xfId="49549"/>
    <cellStyle name="Comma 9 2 2 4 2 4" xfId="49550"/>
    <cellStyle name="Comma 9 2 2 4 2 4 2" xfId="49551"/>
    <cellStyle name="Comma 9 2 2 4 2 5" xfId="49552"/>
    <cellStyle name="Comma 9 2 2 4 2 6" xfId="49553"/>
    <cellStyle name="Comma 9 2 2 4 3" xfId="49554"/>
    <cellStyle name="Comma 9 2 2 4 3 2" xfId="49555"/>
    <cellStyle name="Comma 9 2 2 4 3 2 2" xfId="49556"/>
    <cellStyle name="Comma 9 2 2 4 3 2 3" xfId="49557"/>
    <cellStyle name="Comma 9 2 2 4 3 3" xfId="49558"/>
    <cellStyle name="Comma 9 2 2 4 3 3 2" xfId="49559"/>
    <cellStyle name="Comma 9 2 2 4 3 3 3" xfId="49560"/>
    <cellStyle name="Comma 9 2 2 4 3 4" xfId="49561"/>
    <cellStyle name="Comma 9 2 2 4 3 4 2" xfId="49562"/>
    <cellStyle name="Comma 9 2 2 4 3 5" xfId="49563"/>
    <cellStyle name="Comma 9 2 2 4 3 6" xfId="49564"/>
    <cellStyle name="Comma 9 2 2 4 4" xfId="49565"/>
    <cellStyle name="Comma 9 2 2 4 4 2" xfId="49566"/>
    <cellStyle name="Comma 9 2 2 4 4 2 2" xfId="49567"/>
    <cellStyle name="Comma 9 2 2 4 4 2 3" xfId="49568"/>
    <cellStyle name="Comma 9 2 2 4 4 3" xfId="49569"/>
    <cellStyle name="Comma 9 2 2 4 4 3 2" xfId="49570"/>
    <cellStyle name="Comma 9 2 2 4 4 4" xfId="49571"/>
    <cellStyle name="Comma 9 2 2 4 4 5" xfId="49572"/>
    <cellStyle name="Comma 9 2 2 4 5" xfId="49573"/>
    <cellStyle name="Comma 9 2 2 4 5 2" xfId="49574"/>
    <cellStyle name="Comma 9 2 2 4 5 3" xfId="49575"/>
    <cellStyle name="Comma 9 2 2 4 6" xfId="49576"/>
    <cellStyle name="Comma 9 2 2 4 6 2" xfId="49577"/>
    <cellStyle name="Comma 9 2 2 4 6 3" xfId="49578"/>
    <cellStyle name="Comma 9 2 2 4 7" xfId="49579"/>
    <cellStyle name="Comma 9 2 2 4 7 2" xfId="49580"/>
    <cellStyle name="Comma 9 2 2 4 8" xfId="49581"/>
    <cellStyle name="Comma 9 2 2 4 9" xfId="49582"/>
    <cellStyle name="Comma 9 2 2 5" xfId="3769"/>
    <cellStyle name="Comma 9 2 2 5 2" xfId="49583"/>
    <cellStyle name="Comma 9 2 2 5 2 2" xfId="49584"/>
    <cellStyle name="Comma 9 2 2 5 2 2 2" xfId="49585"/>
    <cellStyle name="Comma 9 2 2 5 2 2 3" xfId="49586"/>
    <cellStyle name="Comma 9 2 2 5 2 3" xfId="49587"/>
    <cellStyle name="Comma 9 2 2 5 2 3 2" xfId="49588"/>
    <cellStyle name="Comma 9 2 2 5 2 3 3" xfId="49589"/>
    <cellStyle name="Comma 9 2 2 5 2 4" xfId="49590"/>
    <cellStyle name="Comma 9 2 2 5 2 4 2" xfId="49591"/>
    <cellStyle name="Comma 9 2 2 5 2 5" xfId="49592"/>
    <cellStyle name="Comma 9 2 2 5 2 6" xfId="49593"/>
    <cellStyle name="Comma 9 2 2 5 3" xfId="49594"/>
    <cellStyle name="Comma 9 2 2 5 3 2" xfId="49595"/>
    <cellStyle name="Comma 9 2 2 5 3 2 2" xfId="49596"/>
    <cellStyle name="Comma 9 2 2 5 3 2 3" xfId="49597"/>
    <cellStyle name="Comma 9 2 2 5 3 3" xfId="49598"/>
    <cellStyle name="Comma 9 2 2 5 3 3 2" xfId="49599"/>
    <cellStyle name="Comma 9 2 2 5 3 3 3" xfId="49600"/>
    <cellStyle name="Comma 9 2 2 5 3 4" xfId="49601"/>
    <cellStyle name="Comma 9 2 2 5 3 4 2" xfId="49602"/>
    <cellStyle name="Comma 9 2 2 5 3 5" xfId="49603"/>
    <cellStyle name="Comma 9 2 2 5 3 6" xfId="49604"/>
    <cellStyle name="Comma 9 2 2 5 4" xfId="49605"/>
    <cellStyle name="Comma 9 2 2 5 4 2" xfId="49606"/>
    <cellStyle name="Comma 9 2 2 5 4 2 2" xfId="49607"/>
    <cellStyle name="Comma 9 2 2 5 4 2 3" xfId="49608"/>
    <cellStyle name="Comma 9 2 2 5 4 3" xfId="49609"/>
    <cellStyle name="Comma 9 2 2 5 4 3 2" xfId="49610"/>
    <cellStyle name="Comma 9 2 2 5 4 4" xfId="49611"/>
    <cellStyle name="Comma 9 2 2 5 4 5" xfId="49612"/>
    <cellStyle name="Comma 9 2 2 5 5" xfId="49613"/>
    <cellStyle name="Comma 9 2 2 5 5 2" xfId="49614"/>
    <cellStyle name="Comma 9 2 2 5 5 3" xfId="49615"/>
    <cellStyle name="Comma 9 2 2 5 6" xfId="49616"/>
    <cellStyle name="Comma 9 2 2 5 6 2" xfId="49617"/>
    <cellStyle name="Comma 9 2 2 5 6 3" xfId="49618"/>
    <cellStyle name="Comma 9 2 2 5 7" xfId="49619"/>
    <cellStyle name="Comma 9 2 2 5 7 2" xfId="49620"/>
    <cellStyle name="Comma 9 2 2 5 8" xfId="49621"/>
    <cellStyle name="Comma 9 2 2 5 9" xfId="49622"/>
    <cellStyle name="Comma 9 2 2 6" xfId="49623"/>
    <cellStyle name="Comma 9 2 2 6 2" xfId="49624"/>
    <cellStyle name="Comma 9 2 2 6 2 2" xfId="49625"/>
    <cellStyle name="Comma 9 2 2 6 2 3" xfId="49626"/>
    <cellStyle name="Comma 9 2 2 6 3" xfId="49627"/>
    <cellStyle name="Comma 9 2 2 6 3 2" xfId="49628"/>
    <cellStyle name="Comma 9 2 2 6 3 3" xfId="49629"/>
    <cellStyle name="Comma 9 2 2 6 4" xfId="49630"/>
    <cellStyle name="Comma 9 2 2 6 4 2" xfId="49631"/>
    <cellStyle name="Comma 9 2 2 6 5" xfId="49632"/>
    <cellStyle name="Comma 9 2 2 6 6" xfId="49633"/>
    <cellStyle name="Comma 9 2 2 7" xfId="49634"/>
    <cellStyle name="Comma 9 2 2 7 2" xfId="49635"/>
    <cellStyle name="Comma 9 2 2 7 2 2" xfId="49636"/>
    <cellStyle name="Comma 9 2 2 7 2 3" xfId="49637"/>
    <cellStyle name="Comma 9 2 2 7 3" xfId="49638"/>
    <cellStyle name="Comma 9 2 2 7 3 2" xfId="49639"/>
    <cellStyle name="Comma 9 2 2 7 3 3" xfId="49640"/>
    <cellStyle name="Comma 9 2 2 7 4" xfId="49641"/>
    <cellStyle name="Comma 9 2 2 7 4 2" xfId="49642"/>
    <cellStyle name="Comma 9 2 2 7 5" xfId="49643"/>
    <cellStyle name="Comma 9 2 2 7 6" xfId="49644"/>
    <cellStyle name="Comma 9 2 2 8" xfId="49645"/>
    <cellStyle name="Comma 9 2 2 8 2" xfId="49646"/>
    <cellStyle name="Comma 9 2 2 8 2 2" xfId="49647"/>
    <cellStyle name="Comma 9 2 2 8 2 3" xfId="49648"/>
    <cellStyle name="Comma 9 2 2 8 3" xfId="49649"/>
    <cellStyle name="Comma 9 2 2 8 3 2" xfId="49650"/>
    <cellStyle name="Comma 9 2 2 8 4" xfId="49651"/>
    <cellStyle name="Comma 9 2 2 8 5" xfId="49652"/>
    <cellStyle name="Comma 9 2 2 9" xfId="49653"/>
    <cellStyle name="Comma 9 2 2 9 2" xfId="49654"/>
    <cellStyle name="Comma 9 2 2 9 3" xfId="49655"/>
    <cellStyle name="Comma 9 2 3" xfId="3770"/>
    <cellStyle name="Comma 9 2 3 10" xfId="49656"/>
    <cellStyle name="Comma 9 2 3 10 2" xfId="49657"/>
    <cellStyle name="Comma 9 2 3 11" xfId="49658"/>
    <cellStyle name="Comma 9 2 3 12" xfId="49659"/>
    <cellStyle name="Comma 9 2 3 2" xfId="3771"/>
    <cellStyle name="Comma 9 2 3 2 10" xfId="49660"/>
    <cellStyle name="Comma 9 2 3 2 2" xfId="3772"/>
    <cellStyle name="Comma 9 2 3 2 2 2" xfId="3773"/>
    <cellStyle name="Comma 9 2 3 2 2 2 2" xfId="49661"/>
    <cellStyle name="Comma 9 2 3 2 2 2 2 2" xfId="49662"/>
    <cellStyle name="Comma 9 2 3 2 2 2 2 3" xfId="49663"/>
    <cellStyle name="Comma 9 2 3 2 2 2 3" xfId="49664"/>
    <cellStyle name="Comma 9 2 3 2 2 2 3 2" xfId="49665"/>
    <cellStyle name="Comma 9 2 3 2 2 2 3 3" xfId="49666"/>
    <cellStyle name="Comma 9 2 3 2 2 2 4" xfId="49667"/>
    <cellStyle name="Comma 9 2 3 2 2 2 4 2" xfId="49668"/>
    <cellStyle name="Comma 9 2 3 2 2 2 5" xfId="49669"/>
    <cellStyle name="Comma 9 2 3 2 2 2 6" xfId="49670"/>
    <cellStyle name="Comma 9 2 3 2 2 3" xfId="49671"/>
    <cellStyle name="Comma 9 2 3 2 2 3 2" xfId="49672"/>
    <cellStyle name="Comma 9 2 3 2 2 3 2 2" xfId="49673"/>
    <cellStyle name="Comma 9 2 3 2 2 3 2 3" xfId="49674"/>
    <cellStyle name="Comma 9 2 3 2 2 3 3" xfId="49675"/>
    <cellStyle name="Comma 9 2 3 2 2 3 3 2" xfId="49676"/>
    <cellStyle name="Comma 9 2 3 2 2 3 3 3" xfId="49677"/>
    <cellStyle name="Comma 9 2 3 2 2 3 4" xfId="49678"/>
    <cellStyle name="Comma 9 2 3 2 2 3 4 2" xfId="49679"/>
    <cellStyle name="Comma 9 2 3 2 2 3 5" xfId="49680"/>
    <cellStyle name="Comma 9 2 3 2 2 3 6" xfId="49681"/>
    <cellStyle name="Comma 9 2 3 2 2 4" xfId="49682"/>
    <cellStyle name="Comma 9 2 3 2 2 4 2" xfId="49683"/>
    <cellStyle name="Comma 9 2 3 2 2 4 2 2" xfId="49684"/>
    <cellStyle name="Comma 9 2 3 2 2 4 2 3" xfId="49685"/>
    <cellStyle name="Comma 9 2 3 2 2 4 3" xfId="49686"/>
    <cellStyle name="Comma 9 2 3 2 2 4 3 2" xfId="49687"/>
    <cellStyle name="Comma 9 2 3 2 2 4 4" xfId="49688"/>
    <cellStyle name="Comma 9 2 3 2 2 4 5" xfId="49689"/>
    <cellStyle name="Comma 9 2 3 2 2 5" xfId="49690"/>
    <cellStyle name="Comma 9 2 3 2 2 5 2" xfId="49691"/>
    <cellStyle name="Comma 9 2 3 2 2 5 3" xfId="49692"/>
    <cellStyle name="Comma 9 2 3 2 2 6" xfId="49693"/>
    <cellStyle name="Comma 9 2 3 2 2 6 2" xfId="49694"/>
    <cellStyle name="Comma 9 2 3 2 2 6 3" xfId="49695"/>
    <cellStyle name="Comma 9 2 3 2 2 7" xfId="49696"/>
    <cellStyle name="Comma 9 2 3 2 2 7 2" xfId="49697"/>
    <cellStyle name="Comma 9 2 3 2 2 8" xfId="49698"/>
    <cellStyle name="Comma 9 2 3 2 2 9" xfId="49699"/>
    <cellStyle name="Comma 9 2 3 2 3" xfId="3774"/>
    <cellStyle name="Comma 9 2 3 2 3 2" xfId="49700"/>
    <cellStyle name="Comma 9 2 3 2 3 2 2" xfId="49701"/>
    <cellStyle name="Comma 9 2 3 2 3 2 3" xfId="49702"/>
    <cellStyle name="Comma 9 2 3 2 3 3" xfId="49703"/>
    <cellStyle name="Comma 9 2 3 2 3 3 2" xfId="49704"/>
    <cellStyle name="Comma 9 2 3 2 3 3 3" xfId="49705"/>
    <cellStyle name="Comma 9 2 3 2 3 4" xfId="49706"/>
    <cellStyle name="Comma 9 2 3 2 3 4 2" xfId="49707"/>
    <cellStyle name="Comma 9 2 3 2 3 5" xfId="49708"/>
    <cellStyle name="Comma 9 2 3 2 3 6" xfId="49709"/>
    <cellStyle name="Comma 9 2 3 2 4" xfId="49710"/>
    <cellStyle name="Comma 9 2 3 2 4 2" xfId="49711"/>
    <cellStyle name="Comma 9 2 3 2 4 2 2" xfId="49712"/>
    <cellStyle name="Comma 9 2 3 2 4 2 3" xfId="49713"/>
    <cellStyle name="Comma 9 2 3 2 4 3" xfId="49714"/>
    <cellStyle name="Comma 9 2 3 2 4 3 2" xfId="49715"/>
    <cellStyle name="Comma 9 2 3 2 4 3 3" xfId="49716"/>
    <cellStyle name="Comma 9 2 3 2 4 4" xfId="49717"/>
    <cellStyle name="Comma 9 2 3 2 4 4 2" xfId="49718"/>
    <cellStyle name="Comma 9 2 3 2 4 5" xfId="49719"/>
    <cellStyle name="Comma 9 2 3 2 4 6" xfId="49720"/>
    <cellStyle name="Comma 9 2 3 2 5" xfId="49721"/>
    <cellStyle name="Comma 9 2 3 2 5 2" xfId="49722"/>
    <cellStyle name="Comma 9 2 3 2 5 2 2" xfId="49723"/>
    <cellStyle name="Comma 9 2 3 2 5 2 3" xfId="49724"/>
    <cellStyle name="Comma 9 2 3 2 5 3" xfId="49725"/>
    <cellStyle name="Comma 9 2 3 2 5 3 2" xfId="49726"/>
    <cellStyle name="Comma 9 2 3 2 5 4" xfId="49727"/>
    <cellStyle name="Comma 9 2 3 2 5 5" xfId="49728"/>
    <cellStyle name="Comma 9 2 3 2 6" xfId="49729"/>
    <cellStyle name="Comma 9 2 3 2 6 2" xfId="49730"/>
    <cellStyle name="Comma 9 2 3 2 6 3" xfId="49731"/>
    <cellStyle name="Comma 9 2 3 2 7" xfId="49732"/>
    <cellStyle name="Comma 9 2 3 2 7 2" xfId="49733"/>
    <cellStyle name="Comma 9 2 3 2 7 3" xfId="49734"/>
    <cellStyle name="Comma 9 2 3 2 8" xfId="49735"/>
    <cellStyle name="Comma 9 2 3 2 8 2" xfId="49736"/>
    <cellStyle name="Comma 9 2 3 2 9" xfId="49737"/>
    <cellStyle name="Comma 9 2 3 3" xfId="3775"/>
    <cellStyle name="Comma 9 2 3 3 2" xfId="3776"/>
    <cellStyle name="Comma 9 2 3 3 2 2" xfId="49738"/>
    <cellStyle name="Comma 9 2 3 3 2 2 2" xfId="49739"/>
    <cellStyle name="Comma 9 2 3 3 2 2 3" xfId="49740"/>
    <cellStyle name="Comma 9 2 3 3 2 3" xfId="49741"/>
    <cellStyle name="Comma 9 2 3 3 2 3 2" xfId="49742"/>
    <cellStyle name="Comma 9 2 3 3 2 3 3" xfId="49743"/>
    <cellStyle name="Comma 9 2 3 3 2 4" xfId="49744"/>
    <cellStyle name="Comma 9 2 3 3 2 4 2" xfId="49745"/>
    <cellStyle name="Comma 9 2 3 3 2 5" xfId="49746"/>
    <cellStyle name="Comma 9 2 3 3 2 6" xfId="49747"/>
    <cellStyle name="Comma 9 2 3 3 3" xfId="49748"/>
    <cellStyle name="Comma 9 2 3 3 3 2" xfId="49749"/>
    <cellStyle name="Comma 9 2 3 3 3 2 2" xfId="49750"/>
    <cellStyle name="Comma 9 2 3 3 3 2 3" xfId="49751"/>
    <cellStyle name="Comma 9 2 3 3 3 3" xfId="49752"/>
    <cellStyle name="Comma 9 2 3 3 3 3 2" xfId="49753"/>
    <cellStyle name="Comma 9 2 3 3 3 3 3" xfId="49754"/>
    <cellStyle name="Comma 9 2 3 3 3 4" xfId="49755"/>
    <cellStyle name="Comma 9 2 3 3 3 4 2" xfId="49756"/>
    <cellStyle name="Comma 9 2 3 3 3 5" xfId="49757"/>
    <cellStyle name="Comma 9 2 3 3 3 6" xfId="49758"/>
    <cellStyle name="Comma 9 2 3 3 4" xfId="49759"/>
    <cellStyle name="Comma 9 2 3 3 4 2" xfId="49760"/>
    <cellStyle name="Comma 9 2 3 3 4 2 2" xfId="49761"/>
    <cellStyle name="Comma 9 2 3 3 4 2 3" xfId="49762"/>
    <cellStyle name="Comma 9 2 3 3 4 3" xfId="49763"/>
    <cellStyle name="Comma 9 2 3 3 4 3 2" xfId="49764"/>
    <cellStyle name="Comma 9 2 3 3 4 4" xfId="49765"/>
    <cellStyle name="Comma 9 2 3 3 4 5" xfId="49766"/>
    <cellStyle name="Comma 9 2 3 3 5" xfId="49767"/>
    <cellStyle name="Comma 9 2 3 3 5 2" xfId="49768"/>
    <cellStyle name="Comma 9 2 3 3 5 3" xfId="49769"/>
    <cellStyle name="Comma 9 2 3 3 6" xfId="49770"/>
    <cellStyle name="Comma 9 2 3 3 6 2" xfId="49771"/>
    <cellStyle name="Comma 9 2 3 3 6 3" xfId="49772"/>
    <cellStyle name="Comma 9 2 3 3 7" xfId="49773"/>
    <cellStyle name="Comma 9 2 3 3 7 2" xfId="49774"/>
    <cellStyle name="Comma 9 2 3 3 8" xfId="49775"/>
    <cellStyle name="Comma 9 2 3 3 9" xfId="49776"/>
    <cellStyle name="Comma 9 2 3 4" xfId="3777"/>
    <cellStyle name="Comma 9 2 3 4 2" xfId="49777"/>
    <cellStyle name="Comma 9 2 3 4 2 2" xfId="49778"/>
    <cellStyle name="Comma 9 2 3 4 2 2 2" xfId="49779"/>
    <cellStyle name="Comma 9 2 3 4 2 2 3" xfId="49780"/>
    <cellStyle name="Comma 9 2 3 4 2 3" xfId="49781"/>
    <cellStyle name="Comma 9 2 3 4 2 3 2" xfId="49782"/>
    <cellStyle name="Comma 9 2 3 4 2 3 3" xfId="49783"/>
    <cellStyle name="Comma 9 2 3 4 2 4" xfId="49784"/>
    <cellStyle name="Comma 9 2 3 4 2 4 2" xfId="49785"/>
    <cellStyle name="Comma 9 2 3 4 2 5" xfId="49786"/>
    <cellStyle name="Comma 9 2 3 4 2 6" xfId="49787"/>
    <cellStyle name="Comma 9 2 3 4 3" xfId="49788"/>
    <cellStyle name="Comma 9 2 3 4 3 2" xfId="49789"/>
    <cellStyle name="Comma 9 2 3 4 3 2 2" xfId="49790"/>
    <cellStyle name="Comma 9 2 3 4 3 2 3" xfId="49791"/>
    <cellStyle name="Comma 9 2 3 4 3 3" xfId="49792"/>
    <cellStyle name="Comma 9 2 3 4 3 3 2" xfId="49793"/>
    <cellStyle name="Comma 9 2 3 4 3 3 3" xfId="49794"/>
    <cellStyle name="Comma 9 2 3 4 3 4" xfId="49795"/>
    <cellStyle name="Comma 9 2 3 4 3 4 2" xfId="49796"/>
    <cellStyle name="Comma 9 2 3 4 3 5" xfId="49797"/>
    <cellStyle name="Comma 9 2 3 4 3 6" xfId="49798"/>
    <cellStyle name="Comma 9 2 3 4 4" xfId="49799"/>
    <cellStyle name="Comma 9 2 3 4 4 2" xfId="49800"/>
    <cellStyle name="Comma 9 2 3 4 4 2 2" xfId="49801"/>
    <cellStyle name="Comma 9 2 3 4 4 2 3" xfId="49802"/>
    <cellStyle name="Comma 9 2 3 4 4 3" xfId="49803"/>
    <cellStyle name="Comma 9 2 3 4 4 3 2" xfId="49804"/>
    <cellStyle name="Comma 9 2 3 4 4 4" xfId="49805"/>
    <cellStyle name="Comma 9 2 3 4 4 5" xfId="49806"/>
    <cellStyle name="Comma 9 2 3 4 5" xfId="49807"/>
    <cellStyle name="Comma 9 2 3 4 5 2" xfId="49808"/>
    <cellStyle name="Comma 9 2 3 4 5 3" xfId="49809"/>
    <cellStyle name="Comma 9 2 3 4 6" xfId="49810"/>
    <cellStyle name="Comma 9 2 3 4 6 2" xfId="49811"/>
    <cellStyle name="Comma 9 2 3 4 6 3" xfId="49812"/>
    <cellStyle name="Comma 9 2 3 4 7" xfId="49813"/>
    <cellStyle name="Comma 9 2 3 4 7 2" xfId="49814"/>
    <cellStyle name="Comma 9 2 3 4 8" xfId="49815"/>
    <cellStyle name="Comma 9 2 3 4 9" xfId="49816"/>
    <cellStyle name="Comma 9 2 3 5" xfId="49817"/>
    <cellStyle name="Comma 9 2 3 5 2" xfId="49818"/>
    <cellStyle name="Comma 9 2 3 5 2 2" xfId="49819"/>
    <cellStyle name="Comma 9 2 3 5 2 3" xfId="49820"/>
    <cellStyle name="Comma 9 2 3 5 3" xfId="49821"/>
    <cellStyle name="Comma 9 2 3 5 3 2" xfId="49822"/>
    <cellStyle name="Comma 9 2 3 5 3 3" xfId="49823"/>
    <cellStyle name="Comma 9 2 3 5 4" xfId="49824"/>
    <cellStyle name="Comma 9 2 3 5 4 2" xfId="49825"/>
    <cellStyle name="Comma 9 2 3 5 5" xfId="49826"/>
    <cellStyle name="Comma 9 2 3 5 6" xfId="49827"/>
    <cellStyle name="Comma 9 2 3 6" xfId="49828"/>
    <cellStyle name="Comma 9 2 3 6 2" xfId="49829"/>
    <cellStyle name="Comma 9 2 3 6 2 2" xfId="49830"/>
    <cellStyle name="Comma 9 2 3 6 2 3" xfId="49831"/>
    <cellStyle name="Comma 9 2 3 6 3" xfId="49832"/>
    <cellStyle name="Comma 9 2 3 6 3 2" xfId="49833"/>
    <cellStyle name="Comma 9 2 3 6 3 3" xfId="49834"/>
    <cellStyle name="Comma 9 2 3 6 4" xfId="49835"/>
    <cellStyle name="Comma 9 2 3 6 4 2" xfId="49836"/>
    <cellStyle name="Comma 9 2 3 6 5" xfId="49837"/>
    <cellStyle name="Comma 9 2 3 6 6" xfId="49838"/>
    <cellStyle name="Comma 9 2 3 7" xfId="49839"/>
    <cellStyle name="Comma 9 2 3 7 2" xfId="49840"/>
    <cellStyle name="Comma 9 2 3 7 2 2" xfId="49841"/>
    <cellStyle name="Comma 9 2 3 7 2 3" xfId="49842"/>
    <cellStyle name="Comma 9 2 3 7 3" xfId="49843"/>
    <cellStyle name="Comma 9 2 3 7 3 2" xfId="49844"/>
    <cellStyle name="Comma 9 2 3 7 4" xfId="49845"/>
    <cellStyle name="Comma 9 2 3 7 5" xfId="49846"/>
    <cellStyle name="Comma 9 2 3 8" xfId="49847"/>
    <cellStyle name="Comma 9 2 3 8 2" xfId="49848"/>
    <cellStyle name="Comma 9 2 3 8 3" xfId="49849"/>
    <cellStyle name="Comma 9 2 3 9" xfId="49850"/>
    <cellStyle name="Comma 9 2 3 9 2" xfId="49851"/>
    <cellStyle name="Comma 9 2 3 9 3" xfId="49852"/>
    <cellStyle name="Comma 9 2 4" xfId="3778"/>
    <cellStyle name="Comma 9 2 4 10" xfId="49853"/>
    <cellStyle name="Comma 9 2 4 2" xfId="3779"/>
    <cellStyle name="Comma 9 2 4 2 2" xfId="3780"/>
    <cellStyle name="Comma 9 2 4 2 2 2" xfId="49854"/>
    <cellStyle name="Comma 9 2 4 2 2 2 2" xfId="49855"/>
    <cellStyle name="Comma 9 2 4 2 2 2 3" xfId="49856"/>
    <cellStyle name="Comma 9 2 4 2 2 3" xfId="49857"/>
    <cellStyle name="Comma 9 2 4 2 2 3 2" xfId="49858"/>
    <cellStyle name="Comma 9 2 4 2 2 3 3" xfId="49859"/>
    <cellStyle name="Comma 9 2 4 2 2 4" xfId="49860"/>
    <cellStyle name="Comma 9 2 4 2 2 4 2" xfId="49861"/>
    <cellStyle name="Comma 9 2 4 2 2 5" xfId="49862"/>
    <cellStyle name="Comma 9 2 4 2 2 6" xfId="49863"/>
    <cellStyle name="Comma 9 2 4 2 3" xfId="49864"/>
    <cellStyle name="Comma 9 2 4 2 3 2" xfId="49865"/>
    <cellStyle name="Comma 9 2 4 2 3 2 2" xfId="49866"/>
    <cellStyle name="Comma 9 2 4 2 3 2 3" xfId="49867"/>
    <cellStyle name="Comma 9 2 4 2 3 3" xfId="49868"/>
    <cellStyle name="Comma 9 2 4 2 3 3 2" xfId="49869"/>
    <cellStyle name="Comma 9 2 4 2 3 3 3" xfId="49870"/>
    <cellStyle name="Comma 9 2 4 2 3 4" xfId="49871"/>
    <cellStyle name="Comma 9 2 4 2 3 4 2" xfId="49872"/>
    <cellStyle name="Comma 9 2 4 2 3 5" xfId="49873"/>
    <cellStyle name="Comma 9 2 4 2 3 6" xfId="49874"/>
    <cellStyle name="Comma 9 2 4 2 4" xfId="49875"/>
    <cellStyle name="Comma 9 2 4 2 4 2" xfId="49876"/>
    <cellStyle name="Comma 9 2 4 2 4 2 2" xfId="49877"/>
    <cellStyle name="Comma 9 2 4 2 4 2 3" xfId="49878"/>
    <cellStyle name="Comma 9 2 4 2 4 3" xfId="49879"/>
    <cellStyle name="Comma 9 2 4 2 4 3 2" xfId="49880"/>
    <cellStyle name="Comma 9 2 4 2 4 4" xfId="49881"/>
    <cellStyle name="Comma 9 2 4 2 4 5" xfId="49882"/>
    <cellStyle name="Comma 9 2 4 2 5" xfId="49883"/>
    <cellStyle name="Comma 9 2 4 2 5 2" xfId="49884"/>
    <cellStyle name="Comma 9 2 4 2 5 3" xfId="49885"/>
    <cellStyle name="Comma 9 2 4 2 6" xfId="49886"/>
    <cellStyle name="Comma 9 2 4 2 6 2" xfId="49887"/>
    <cellStyle name="Comma 9 2 4 2 6 3" xfId="49888"/>
    <cellStyle name="Comma 9 2 4 2 7" xfId="49889"/>
    <cellStyle name="Comma 9 2 4 2 7 2" xfId="49890"/>
    <cellStyle name="Comma 9 2 4 2 8" xfId="49891"/>
    <cellStyle name="Comma 9 2 4 2 9" xfId="49892"/>
    <cellStyle name="Comma 9 2 4 3" xfId="3781"/>
    <cellStyle name="Comma 9 2 4 3 2" xfId="49893"/>
    <cellStyle name="Comma 9 2 4 3 2 2" xfId="49894"/>
    <cellStyle name="Comma 9 2 4 3 2 3" xfId="49895"/>
    <cellStyle name="Comma 9 2 4 3 3" xfId="49896"/>
    <cellStyle name="Comma 9 2 4 3 3 2" xfId="49897"/>
    <cellStyle name="Comma 9 2 4 3 3 3" xfId="49898"/>
    <cellStyle name="Comma 9 2 4 3 4" xfId="49899"/>
    <cellStyle name="Comma 9 2 4 3 4 2" xfId="49900"/>
    <cellStyle name="Comma 9 2 4 3 5" xfId="49901"/>
    <cellStyle name="Comma 9 2 4 3 6" xfId="49902"/>
    <cellStyle name="Comma 9 2 4 4" xfId="49903"/>
    <cellStyle name="Comma 9 2 4 4 2" xfId="49904"/>
    <cellStyle name="Comma 9 2 4 4 2 2" xfId="49905"/>
    <cellStyle name="Comma 9 2 4 4 2 3" xfId="49906"/>
    <cellStyle name="Comma 9 2 4 4 3" xfId="49907"/>
    <cellStyle name="Comma 9 2 4 4 3 2" xfId="49908"/>
    <cellStyle name="Comma 9 2 4 4 3 3" xfId="49909"/>
    <cellStyle name="Comma 9 2 4 4 4" xfId="49910"/>
    <cellStyle name="Comma 9 2 4 4 4 2" xfId="49911"/>
    <cellStyle name="Comma 9 2 4 4 5" xfId="49912"/>
    <cellStyle name="Comma 9 2 4 4 6" xfId="49913"/>
    <cellStyle name="Comma 9 2 4 5" xfId="49914"/>
    <cellStyle name="Comma 9 2 4 5 2" xfId="49915"/>
    <cellStyle name="Comma 9 2 4 5 2 2" xfId="49916"/>
    <cellStyle name="Comma 9 2 4 5 2 3" xfId="49917"/>
    <cellStyle name="Comma 9 2 4 5 3" xfId="49918"/>
    <cellStyle name="Comma 9 2 4 5 3 2" xfId="49919"/>
    <cellStyle name="Comma 9 2 4 5 4" xfId="49920"/>
    <cellStyle name="Comma 9 2 4 5 5" xfId="49921"/>
    <cellStyle name="Comma 9 2 4 6" xfId="49922"/>
    <cellStyle name="Comma 9 2 4 6 2" xfId="49923"/>
    <cellStyle name="Comma 9 2 4 6 3" xfId="49924"/>
    <cellStyle name="Comma 9 2 4 7" xfId="49925"/>
    <cellStyle name="Comma 9 2 4 7 2" xfId="49926"/>
    <cellStyle name="Comma 9 2 4 7 3" xfId="49927"/>
    <cellStyle name="Comma 9 2 4 8" xfId="49928"/>
    <cellStyle name="Comma 9 2 4 8 2" xfId="49929"/>
    <cellStyle name="Comma 9 2 4 9" xfId="49930"/>
    <cellStyle name="Comma 9 2 5" xfId="3782"/>
    <cellStyle name="Comma 9 2 5 2" xfId="3783"/>
    <cellStyle name="Comma 9 2 5 2 2" xfId="49931"/>
    <cellStyle name="Comma 9 2 5 2 2 2" xfId="49932"/>
    <cellStyle name="Comma 9 2 5 2 2 3" xfId="49933"/>
    <cellStyle name="Comma 9 2 5 2 3" xfId="49934"/>
    <cellStyle name="Comma 9 2 5 2 3 2" xfId="49935"/>
    <cellStyle name="Comma 9 2 5 2 3 3" xfId="49936"/>
    <cellStyle name="Comma 9 2 5 2 4" xfId="49937"/>
    <cellStyle name="Comma 9 2 5 2 4 2" xfId="49938"/>
    <cellStyle name="Comma 9 2 5 2 5" xfId="49939"/>
    <cellStyle name="Comma 9 2 5 2 6" xfId="49940"/>
    <cellStyle name="Comma 9 2 5 3" xfId="49941"/>
    <cellStyle name="Comma 9 2 5 3 2" xfId="49942"/>
    <cellStyle name="Comma 9 2 5 3 2 2" xfId="49943"/>
    <cellStyle name="Comma 9 2 5 3 2 3" xfId="49944"/>
    <cellStyle name="Comma 9 2 5 3 3" xfId="49945"/>
    <cellStyle name="Comma 9 2 5 3 3 2" xfId="49946"/>
    <cellStyle name="Comma 9 2 5 3 3 3" xfId="49947"/>
    <cellStyle name="Comma 9 2 5 3 4" xfId="49948"/>
    <cellStyle name="Comma 9 2 5 3 4 2" xfId="49949"/>
    <cellStyle name="Comma 9 2 5 3 5" xfId="49950"/>
    <cellStyle name="Comma 9 2 5 3 6" xfId="49951"/>
    <cellStyle name="Comma 9 2 5 4" xfId="49952"/>
    <cellStyle name="Comma 9 2 5 4 2" xfId="49953"/>
    <cellStyle name="Comma 9 2 5 4 2 2" xfId="49954"/>
    <cellStyle name="Comma 9 2 5 4 2 3" xfId="49955"/>
    <cellStyle name="Comma 9 2 5 4 3" xfId="49956"/>
    <cellStyle name="Comma 9 2 5 4 3 2" xfId="49957"/>
    <cellStyle name="Comma 9 2 5 4 4" xfId="49958"/>
    <cellStyle name="Comma 9 2 5 4 5" xfId="49959"/>
    <cellStyle name="Comma 9 2 5 5" xfId="49960"/>
    <cellStyle name="Comma 9 2 5 5 2" xfId="49961"/>
    <cellStyle name="Comma 9 2 5 5 3" xfId="49962"/>
    <cellStyle name="Comma 9 2 5 6" xfId="49963"/>
    <cellStyle name="Comma 9 2 5 6 2" xfId="49964"/>
    <cellStyle name="Comma 9 2 5 6 3" xfId="49965"/>
    <cellStyle name="Comma 9 2 5 7" xfId="49966"/>
    <cellStyle name="Comma 9 2 5 7 2" xfId="49967"/>
    <cellStyle name="Comma 9 2 5 8" xfId="49968"/>
    <cellStyle name="Comma 9 2 5 9" xfId="49969"/>
    <cellStyle name="Comma 9 2 6" xfId="3784"/>
    <cellStyle name="Comma 9 2 6 2" xfId="49970"/>
    <cellStyle name="Comma 9 2 6 2 2" xfId="49971"/>
    <cellStyle name="Comma 9 2 6 2 2 2" xfId="49972"/>
    <cellStyle name="Comma 9 2 6 2 2 3" xfId="49973"/>
    <cellStyle name="Comma 9 2 6 2 3" xfId="49974"/>
    <cellStyle name="Comma 9 2 6 2 3 2" xfId="49975"/>
    <cellStyle name="Comma 9 2 6 2 3 3" xfId="49976"/>
    <cellStyle name="Comma 9 2 6 2 4" xfId="49977"/>
    <cellStyle name="Comma 9 2 6 2 4 2" xfId="49978"/>
    <cellStyle name="Comma 9 2 6 2 5" xfId="49979"/>
    <cellStyle name="Comma 9 2 6 2 6" xfId="49980"/>
    <cellStyle name="Comma 9 2 6 3" xfId="49981"/>
    <cellStyle name="Comma 9 2 6 3 2" xfId="49982"/>
    <cellStyle name="Comma 9 2 6 3 2 2" xfId="49983"/>
    <cellStyle name="Comma 9 2 6 3 2 3" xfId="49984"/>
    <cellStyle name="Comma 9 2 6 3 3" xfId="49985"/>
    <cellStyle name="Comma 9 2 6 3 3 2" xfId="49986"/>
    <cellStyle name="Comma 9 2 6 3 3 3" xfId="49987"/>
    <cellStyle name="Comma 9 2 6 3 4" xfId="49988"/>
    <cellStyle name="Comma 9 2 6 3 4 2" xfId="49989"/>
    <cellStyle name="Comma 9 2 6 3 5" xfId="49990"/>
    <cellStyle name="Comma 9 2 6 3 6" xfId="49991"/>
    <cellStyle name="Comma 9 2 6 4" xfId="49992"/>
    <cellStyle name="Comma 9 2 6 4 2" xfId="49993"/>
    <cellStyle name="Comma 9 2 6 4 2 2" xfId="49994"/>
    <cellStyle name="Comma 9 2 6 4 2 3" xfId="49995"/>
    <cellStyle name="Comma 9 2 6 4 3" xfId="49996"/>
    <cellStyle name="Comma 9 2 6 4 3 2" xfId="49997"/>
    <cellStyle name="Comma 9 2 6 4 4" xfId="49998"/>
    <cellStyle name="Comma 9 2 6 4 5" xfId="49999"/>
    <cellStyle name="Comma 9 2 6 5" xfId="50000"/>
    <cellStyle name="Comma 9 2 6 5 2" xfId="50001"/>
    <cellStyle name="Comma 9 2 6 5 3" xfId="50002"/>
    <cellStyle name="Comma 9 2 6 6" xfId="50003"/>
    <cellStyle name="Comma 9 2 6 6 2" xfId="50004"/>
    <cellStyle name="Comma 9 2 6 6 3" xfId="50005"/>
    <cellStyle name="Comma 9 2 6 7" xfId="50006"/>
    <cellStyle name="Comma 9 2 6 7 2" xfId="50007"/>
    <cellStyle name="Comma 9 2 6 8" xfId="50008"/>
    <cellStyle name="Comma 9 2 6 9" xfId="50009"/>
    <cellStyle name="Comma 9 2 7" xfId="3785"/>
    <cellStyle name="Comma 9 2 7 2" xfId="50010"/>
    <cellStyle name="Comma 9 2 7 2 2" xfId="50011"/>
    <cellStyle name="Comma 9 2 7 2 3" xfId="50012"/>
    <cellStyle name="Comma 9 2 7 3" xfId="50013"/>
    <cellStyle name="Comma 9 2 7 3 2" xfId="50014"/>
    <cellStyle name="Comma 9 2 7 3 3" xfId="50015"/>
    <cellStyle name="Comma 9 2 7 4" xfId="50016"/>
    <cellStyle name="Comma 9 2 7 4 2" xfId="50017"/>
    <cellStyle name="Comma 9 2 7 5" xfId="50018"/>
    <cellStyle name="Comma 9 2 7 6" xfId="50019"/>
    <cellStyle name="Comma 9 2 8" xfId="50020"/>
    <cellStyle name="Comma 9 2 8 2" xfId="50021"/>
    <cellStyle name="Comma 9 2 8 2 2" xfId="50022"/>
    <cellStyle name="Comma 9 2 8 2 3" xfId="50023"/>
    <cellStyle name="Comma 9 2 8 3" xfId="50024"/>
    <cellStyle name="Comma 9 2 8 3 2" xfId="50025"/>
    <cellStyle name="Comma 9 2 8 3 3" xfId="50026"/>
    <cellStyle name="Comma 9 2 8 4" xfId="50027"/>
    <cellStyle name="Comma 9 2 8 4 2" xfId="50028"/>
    <cellStyle name="Comma 9 2 8 5" xfId="50029"/>
    <cellStyle name="Comma 9 2 8 6" xfId="50030"/>
    <cellStyle name="Comma 9 2 9" xfId="50031"/>
    <cellStyle name="Comma 9 2 9 2" xfId="50032"/>
    <cellStyle name="Comma 9 2 9 2 2" xfId="50033"/>
    <cellStyle name="Comma 9 2 9 2 3" xfId="50034"/>
    <cellStyle name="Comma 9 2 9 3" xfId="50035"/>
    <cellStyle name="Comma 9 2 9 3 2" xfId="50036"/>
    <cellStyle name="Comma 9 2 9 4" xfId="50037"/>
    <cellStyle name="Comma 9 2 9 5" xfId="50038"/>
    <cellStyle name="Comma 9 3" xfId="3786"/>
    <cellStyle name="Comma 9 3 10" xfId="50039"/>
    <cellStyle name="Comma 9 3 10 2" xfId="50040"/>
    <cellStyle name="Comma 9 3 10 3" xfId="50041"/>
    <cellStyle name="Comma 9 3 11" xfId="50042"/>
    <cellStyle name="Comma 9 3 11 2" xfId="50043"/>
    <cellStyle name="Comma 9 3 12" xfId="50044"/>
    <cellStyle name="Comma 9 3 13" xfId="50045"/>
    <cellStyle name="Comma 9 3 14" xfId="50046"/>
    <cellStyle name="Comma 9 3 2" xfId="3787"/>
    <cellStyle name="Comma 9 3 2 10" xfId="50047"/>
    <cellStyle name="Comma 9 3 2 10 2" xfId="50048"/>
    <cellStyle name="Comma 9 3 2 11" xfId="50049"/>
    <cellStyle name="Comma 9 3 2 12" xfId="50050"/>
    <cellStyle name="Comma 9 3 2 2" xfId="3788"/>
    <cellStyle name="Comma 9 3 2 2 10" xfId="50051"/>
    <cellStyle name="Comma 9 3 2 2 2" xfId="3789"/>
    <cellStyle name="Comma 9 3 2 2 2 2" xfId="3790"/>
    <cellStyle name="Comma 9 3 2 2 2 2 2" xfId="50052"/>
    <cellStyle name="Comma 9 3 2 2 2 2 2 2" xfId="50053"/>
    <cellStyle name="Comma 9 3 2 2 2 2 2 3" xfId="50054"/>
    <cellStyle name="Comma 9 3 2 2 2 2 3" xfId="50055"/>
    <cellStyle name="Comma 9 3 2 2 2 2 3 2" xfId="50056"/>
    <cellStyle name="Comma 9 3 2 2 2 2 3 3" xfId="50057"/>
    <cellStyle name="Comma 9 3 2 2 2 2 4" xfId="50058"/>
    <cellStyle name="Comma 9 3 2 2 2 2 4 2" xfId="50059"/>
    <cellStyle name="Comma 9 3 2 2 2 2 5" xfId="50060"/>
    <cellStyle name="Comma 9 3 2 2 2 2 6" xfId="50061"/>
    <cellStyle name="Comma 9 3 2 2 2 3" xfId="50062"/>
    <cellStyle name="Comma 9 3 2 2 2 3 2" xfId="50063"/>
    <cellStyle name="Comma 9 3 2 2 2 3 2 2" xfId="50064"/>
    <cellStyle name="Comma 9 3 2 2 2 3 2 3" xfId="50065"/>
    <cellStyle name="Comma 9 3 2 2 2 3 3" xfId="50066"/>
    <cellStyle name="Comma 9 3 2 2 2 3 3 2" xfId="50067"/>
    <cellStyle name="Comma 9 3 2 2 2 3 3 3" xfId="50068"/>
    <cellStyle name="Comma 9 3 2 2 2 3 4" xfId="50069"/>
    <cellStyle name="Comma 9 3 2 2 2 3 4 2" xfId="50070"/>
    <cellStyle name="Comma 9 3 2 2 2 3 5" xfId="50071"/>
    <cellStyle name="Comma 9 3 2 2 2 3 6" xfId="50072"/>
    <cellStyle name="Comma 9 3 2 2 2 4" xfId="50073"/>
    <cellStyle name="Comma 9 3 2 2 2 4 2" xfId="50074"/>
    <cellStyle name="Comma 9 3 2 2 2 4 2 2" xfId="50075"/>
    <cellStyle name="Comma 9 3 2 2 2 4 2 3" xfId="50076"/>
    <cellStyle name="Comma 9 3 2 2 2 4 3" xfId="50077"/>
    <cellStyle name="Comma 9 3 2 2 2 4 3 2" xfId="50078"/>
    <cellStyle name="Comma 9 3 2 2 2 4 4" xfId="50079"/>
    <cellStyle name="Comma 9 3 2 2 2 4 5" xfId="50080"/>
    <cellStyle name="Comma 9 3 2 2 2 5" xfId="50081"/>
    <cellStyle name="Comma 9 3 2 2 2 5 2" xfId="50082"/>
    <cellStyle name="Comma 9 3 2 2 2 5 3" xfId="50083"/>
    <cellStyle name="Comma 9 3 2 2 2 6" xfId="50084"/>
    <cellStyle name="Comma 9 3 2 2 2 6 2" xfId="50085"/>
    <cellStyle name="Comma 9 3 2 2 2 6 3" xfId="50086"/>
    <cellStyle name="Comma 9 3 2 2 2 7" xfId="50087"/>
    <cellStyle name="Comma 9 3 2 2 2 7 2" xfId="50088"/>
    <cellStyle name="Comma 9 3 2 2 2 8" xfId="50089"/>
    <cellStyle name="Comma 9 3 2 2 2 9" xfId="50090"/>
    <cellStyle name="Comma 9 3 2 2 3" xfId="3791"/>
    <cellStyle name="Comma 9 3 2 2 3 2" xfId="50091"/>
    <cellStyle name="Comma 9 3 2 2 3 2 2" xfId="50092"/>
    <cellStyle name="Comma 9 3 2 2 3 2 3" xfId="50093"/>
    <cellStyle name="Comma 9 3 2 2 3 3" xfId="50094"/>
    <cellStyle name="Comma 9 3 2 2 3 3 2" xfId="50095"/>
    <cellStyle name="Comma 9 3 2 2 3 3 3" xfId="50096"/>
    <cellStyle name="Comma 9 3 2 2 3 4" xfId="50097"/>
    <cellStyle name="Comma 9 3 2 2 3 4 2" xfId="50098"/>
    <cellStyle name="Comma 9 3 2 2 3 5" xfId="50099"/>
    <cellStyle name="Comma 9 3 2 2 3 6" xfId="50100"/>
    <cellStyle name="Comma 9 3 2 2 4" xfId="50101"/>
    <cellStyle name="Comma 9 3 2 2 4 2" xfId="50102"/>
    <cellStyle name="Comma 9 3 2 2 4 2 2" xfId="50103"/>
    <cellStyle name="Comma 9 3 2 2 4 2 3" xfId="50104"/>
    <cellStyle name="Comma 9 3 2 2 4 3" xfId="50105"/>
    <cellStyle name="Comma 9 3 2 2 4 3 2" xfId="50106"/>
    <cellStyle name="Comma 9 3 2 2 4 3 3" xfId="50107"/>
    <cellStyle name="Comma 9 3 2 2 4 4" xfId="50108"/>
    <cellStyle name="Comma 9 3 2 2 4 4 2" xfId="50109"/>
    <cellStyle name="Comma 9 3 2 2 4 5" xfId="50110"/>
    <cellStyle name="Comma 9 3 2 2 4 6" xfId="50111"/>
    <cellStyle name="Comma 9 3 2 2 5" xfId="50112"/>
    <cellStyle name="Comma 9 3 2 2 5 2" xfId="50113"/>
    <cellStyle name="Comma 9 3 2 2 5 2 2" xfId="50114"/>
    <cellStyle name="Comma 9 3 2 2 5 2 3" xfId="50115"/>
    <cellStyle name="Comma 9 3 2 2 5 3" xfId="50116"/>
    <cellStyle name="Comma 9 3 2 2 5 3 2" xfId="50117"/>
    <cellStyle name="Comma 9 3 2 2 5 4" xfId="50118"/>
    <cellStyle name="Comma 9 3 2 2 5 5" xfId="50119"/>
    <cellStyle name="Comma 9 3 2 2 6" xfId="50120"/>
    <cellStyle name="Comma 9 3 2 2 6 2" xfId="50121"/>
    <cellStyle name="Comma 9 3 2 2 6 3" xfId="50122"/>
    <cellStyle name="Comma 9 3 2 2 7" xfId="50123"/>
    <cellStyle name="Comma 9 3 2 2 7 2" xfId="50124"/>
    <cellStyle name="Comma 9 3 2 2 7 3" xfId="50125"/>
    <cellStyle name="Comma 9 3 2 2 8" xfId="50126"/>
    <cellStyle name="Comma 9 3 2 2 8 2" xfId="50127"/>
    <cellStyle name="Comma 9 3 2 2 9" xfId="50128"/>
    <cellStyle name="Comma 9 3 2 3" xfId="3792"/>
    <cellStyle name="Comma 9 3 2 3 2" xfId="3793"/>
    <cellStyle name="Comma 9 3 2 3 2 2" xfId="50129"/>
    <cellStyle name="Comma 9 3 2 3 2 2 2" xfId="50130"/>
    <cellStyle name="Comma 9 3 2 3 2 2 3" xfId="50131"/>
    <cellStyle name="Comma 9 3 2 3 2 3" xfId="50132"/>
    <cellStyle name="Comma 9 3 2 3 2 3 2" xfId="50133"/>
    <cellStyle name="Comma 9 3 2 3 2 3 3" xfId="50134"/>
    <cellStyle name="Comma 9 3 2 3 2 4" xfId="50135"/>
    <cellStyle name="Comma 9 3 2 3 2 4 2" xfId="50136"/>
    <cellStyle name="Comma 9 3 2 3 2 5" xfId="50137"/>
    <cellStyle name="Comma 9 3 2 3 2 6" xfId="50138"/>
    <cellStyle name="Comma 9 3 2 3 3" xfId="50139"/>
    <cellStyle name="Comma 9 3 2 3 3 2" xfId="50140"/>
    <cellStyle name="Comma 9 3 2 3 3 2 2" xfId="50141"/>
    <cellStyle name="Comma 9 3 2 3 3 2 3" xfId="50142"/>
    <cellStyle name="Comma 9 3 2 3 3 3" xfId="50143"/>
    <cellStyle name="Comma 9 3 2 3 3 3 2" xfId="50144"/>
    <cellStyle name="Comma 9 3 2 3 3 3 3" xfId="50145"/>
    <cellStyle name="Comma 9 3 2 3 3 4" xfId="50146"/>
    <cellStyle name="Comma 9 3 2 3 3 4 2" xfId="50147"/>
    <cellStyle name="Comma 9 3 2 3 3 5" xfId="50148"/>
    <cellStyle name="Comma 9 3 2 3 3 6" xfId="50149"/>
    <cellStyle name="Comma 9 3 2 3 4" xfId="50150"/>
    <cellStyle name="Comma 9 3 2 3 4 2" xfId="50151"/>
    <cellStyle name="Comma 9 3 2 3 4 2 2" xfId="50152"/>
    <cellStyle name="Comma 9 3 2 3 4 2 3" xfId="50153"/>
    <cellStyle name="Comma 9 3 2 3 4 3" xfId="50154"/>
    <cellStyle name="Comma 9 3 2 3 4 3 2" xfId="50155"/>
    <cellStyle name="Comma 9 3 2 3 4 4" xfId="50156"/>
    <cellStyle name="Comma 9 3 2 3 4 5" xfId="50157"/>
    <cellStyle name="Comma 9 3 2 3 5" xfId="50158"/>
    <cellStyle name="Comma 9 3 2 3 5 2" xfId="50159"/>
    <cellStyle name="Comma 9 3 2 3 5 3" xfId="50160"/>
    <cellStyle name="Comma 9 3 2 3 6" xfId="50161"/>
    <cellStyle name="Comma 9 3 2 3 6 2" xfId="50162"/>
    <cellStyle name="Comma 9 3 2 3 6 3" xfId="50163"/>
    <cellStyle name="Comma 9 3 2 3 7" xfId="50164"/>
    <cellStyle name="Comma 9 3 2 3 7 2" xfId="50165"/>
    <cellStyle name="Comma 9 3 2 3 8" xfId="50166"/>
    <cellStyle name="Comma 9 3 2 3 9" xfId="50167"/>
    <cellStyle name="Comma 9 3 2 4" xfId="3794"/>
    <cellStyle name="Comma 9 3 2 4 2" xfId="50168"/>
    <cellStyle name="Comma 9 3 2 4 2 2" xfId="50169"/>
    <cellStyle name="Comma 9 3 2 4 2 2 2" xfId="50170"/>
    <cellStyle name="Comma 9 3 2 4 2 2 3" xfId="50171"/>
    <cellStyle name="Comma 9 3 2 4 2 3" xfId="50172"/>
    <cellStyle name="Comma 9 3 2 4 2 3 2" xfId="50173"/>
    <cellStyle name="Comma 9 3 2 4 2 3 3" xfId="50174"/>
    <cellStyle name="Comma 9 3 2 4 2 4" xfId="50175"/>
    <cellStyle name="Comma 9 3 2 4 2 4 2" xfId="50176"/>
    <cellStyle name="Comma 9 3 2 4 2 5" xfId="50177"/>
    <cellStyle name="Comma 9 3 2 4 2 6" xfId="50178"/>
    <cellStyle name="Comma 9 3 2 4 3" xfId="50179"/>
    <cellStyle name="Comma 9 3 2 4 3 2" xfId="50180"/>
    <cellStyle name="Comma 9 3 2 4 3 2 2" xfId="50181"/>
    <cellStyle name="Comma 9 3 2 4 3 2 3" xfId="50182"/>
    <cellStyle name="Comma 9 3 2 4 3 3" xfId="50183"/>
    <cellStyle name="Comma 9 3 2 4 3 3 2" xfId="50184"/>
    <cellStyle name="Comma 9 3 2 4 3 3 3" xfId="50185"/>
    <cellStyle name="Comma 9 3 2 4 3 4" xfId="50186"/>
    <cellStyle name="Comma 9 3 2 4 3 4 2" xfId="50187"/>
    <cellStyle name="Comma 9 3 2 4 3 5" xfId="50188"/>
    <cellStyle name="Comma 9 3 2 4 3 6" xfId="50189"/>
    <cellStyle name="Comma 9 3 2 4 4" xfId="50190"/>
    <cellStyle name="Comma 9 3 2 4 4 2" xfId="50191"/>
    <cellStyle name="Comma 9 3 2 4 4 2 2" xfId="50192"/>
    <cellStyle name="Comma 9 3 2 4 4 2 3" xfId="50193"/>
    <cellStyle name="Comma 9 3 2 4 4 3" xfId="50194"/>
    <cellStyle name="Comma 9 3 2 4 4 3 2" xfId="50195"/>
    <cellStyle name="Comma 9 3 2 4 4 4" xfId="50196"/>
    <cellStyle name="Comma 9 3 2 4 4 5" xfId="50197"/>
    <cellStyle name="Comma 9 3 2 4 5" xfId="50198"/>
    <cellStyle name="Comma 9 3 2 4 5 2" xfId="50199"/>
    <cellStyle name="Comma 9 3 2 4 5 3" xfId="50200"/>
    <cellStyle name="Comma 9 3 2 4 6" xfId="50201"/>
    <cellStyle name="Comma 9 3 2 4 6 2" xfId="50202"/>
    <cellStyle name="Comma 9 3 2 4 6 3" xfId="50203"/>
    <cellStyle name="Comma 9 3 2 4 7" xfId="50204"/>
    <cellStyle name="Comma 9 3 2 4 7 2" xfId="50205"/>
    <cellStyle name="Comma 9 3 2 4 8" xfId="50206"/>
    <cellStyle name="Comma 9 3 2 4 9" xfId="50207"/>
    <cellStyle name="Comma 9 3 2 5" xfId="50208"/>
    <cellStyle name="Comma 9 3 2 5 2" xfId="50209"/>
    <cellStyle name="Comma 9 3 2 5 2 2" xfId="50210"/>
    <cellStyle name="Comma 9 3 2 5 2 3" xfId="50211"/>
    <cellStyle name="Comma 9 3 2 5 3" xfId="50212"/>
    <cellStyle name="Comma 9 3 2 5 3 2" xfId="50213"/>
    <cellStyle name="Comma 9 3 2 5 3 3" xfId="50214"/>
    <cellStyle name="Comma 9 3 2 5 4" xfId="50215"/>
    <cellStyle name="Comma 9 3 2 5 4 2" xfId="50216"/>
    <cellStyle name="Comma 9 3 2 5 5" xfId="50217"/>
    <cellStyle name="Comma 9 3 2 5 6" xfId="50218"/>
    <cellStyle name="Comma 9 3 2 6" xfId="50219"/>
    <cellStyle name="Comma 9 3 2 6 2" xfId="50220"/>
    <cellStyle name="Comma 9 3 2 6 2 2" xfId="50221"/>
    <cellStyle name="Comma 9 3 2 6 2 3" xfId="50222"/>
    <cellStyle name="Comma 9 3 2 6 3" xfId="50223"/>
    <cellStyle name="Comma 9 3 2 6 3 2" xfId="50224"/>
    <cellStyle name="Comma 9 3 2 6 3 3" xfId="50225"/>
    <cellStyle name="Comma 9 3 2 6 4" xfId="50226"/>
    <cellStyle name="Comma 9 3 2 6 4 2" xfId="50227"/>
    <cellStyle name="Comma 9 3 2 6 5" xfId="50228"/>
    <cellStyle name="Comma 9 3 2 6 6" xfId="50229"/>
    <cellStyle name="Comma 9 3 2 7" xfId="50230"/>
    <cellStyle name="Comma 9 3 2 7 2" xfId="50231"/>
    <cellStyle name="Comma 9 3 2 7 2 2" xfId="50232"/>
    <cellStyle name="Comma 9 3 2 7 2 3" xfId="50233"/>
    <cellStyle name="Comma 9 3 2 7 3" xfId="50234"/>
    <cellStyle name="Comma 9 3 2 7 3 2" xfId="50235"/>
    <cellStyle name="Comma 9 3 2 7 4" xfId="50236"/>
    <cellStyle name="Comma 9 3 2 7 5" xfId="50237"/>
    <cellStyle name="Comma 9 3 2 8" xfId="50238"/>
    <cellStyle name="Comma 9 3 2 8 2" xfId="50239"/>
    <cellStyle name="Comma 9 3 2 8 3" xfId="50240"/>
    <cellStyle name="Comma 9 3 2 9" xfId="50241"/>
    <cellStyle name="Comma 9 3 2 9 2" xfId="50242"/>
    <cellStyle name="Comma 9 3 2 9 3" xfId="50243"/>
    <cellStyle name="Comma 9 3 3" xfId="3795"/>
    <cellStyle name="Comma 9 3 3 10" xfId="50244"/>
    <cellStyle name="Comma 9 3 3 2" xfId="3796"/>
    <cellStyle name="Comma 9 3 3 2 2" xfId="3797"/>
    <cellStyle name="Comma 9 3 3 2 2 2" xfId="50245"/>
    <cellStyle name="Comma 9 3 3 2 2 2 2" xfId="50246"/>
    <cellStyle name="Comma 9 3 3 2 2 2 3" xfId="50247"/>
    <cellStyle name="Comma 9 3 3 2 2 3" xfId="50248"/>
    <cellStyle name="Comma 9 3 3 2 2 3 2" xfId="50249"/>
    <cellStyle name="Comma 9 3 3 2 2 3 3" xfId="50250"/>
    <cellStyle name="Comma 9 3 3 2 2 4" xfId="50251"/>
    <cellStyle name="Comma 9 3 3 2 2 4 2" xfId="50252"/>
    <cellStyle name="Comma 9 3 3 2 2 5" xfId="50253"/>
    <cellStyle name="Comma 9 3 3 2 2 6" xfId="50254"/>
    <cellStyle name="Comma 9 3 3 2 3" xfId="50255"/>
    <cellStyle name="Comma 9 3 3 2 3 2" xfId="50256"/>
    <cellStyle name="Comma 9 3 3 2 3 2 2" xfId="50257"/>
    <cellStyle name="Comma 9 3 3 2 3 2 3" xfId="50258"/>
    <cellStyle name="Comma 9 3 3 2 3 3" xfId="50259"/>
    <cellStyle name="Comma 9 3 3 2 3 3 2" xfId="50260"/>
    <cellStyle name="Comma 9 3 3 2 3 3 3" xfId="50261"/>
    <cellStyle name="Comma 9 3 3 2 3 4" xfId="50262"/>
    <cellStyle name="Comma 9 3 3 2 3 4 2" xfId="50263"/>
    <cellStyle name="Comma 9 3 3 2 3 5" xfId="50264"/>
    <cellStyle name="Comma 9 3 3 2 3 6" xfId="50265"/>
    <cellStyle name="Comma 9 3 3 2 4" xfId="50266"/>
    <cellStyle name="Comma 9 3 3 2 4 2" xfId="50267"/>
    <cellStyle name="Comma 9 3 3 2 4 2 2" xfId="50268"/>
    <cellStyle name="Comma 9 3 3 2 4 2 3" xfId="50269"/>
    <cellStyle name="Comma 9 3 3 2 4 3" xfId="50270"/>
    <cellStyle name="Comma 9 3 3 2 4 3 2" xfId="50271"/>
    <cellStyle name="Comma 9 3 3 2 4 4" xfId="50272"/>
    <cellStyle name="Comma 9 3 3 2 4 5" xfId="50273"/>
    <cellStyle name="Comma 9 3 3 2 5" xfId="50274"/>
    <cellStyle name="Comma 9 3 3 2 5 2" xfId="50275"/>
    <cellStyle name="Comma 9 3 3 2 5 3" xfId="50276"/>
    <cellStyle name="Comma 9 3 3 2 6" xfId="50277"/>
    <cellStyle name="Comma 9 3 3 2 6 2" xfId="50278"/>
    <cellStyle name="Comma 9 3 3 2 6 3" xfId="50279"/>
    <cellStyle name="Comma 9 3 3 2 7" xfId="50280"/>
    <cellStyle name="Comma 9 3 3 2 7 2" xfId="50281"/>
    <cellStyle name="Comma 9 3 3 2 8" xfId="50282"/>
    <cellStyle name="Comma 9 3 3 2 9" xfId="50283"/>
    <cellStyle name="Comma 9 3 3 3" xfId="3798"/>
    <cellStyle name="Comma 9 3 3 3 2" xfId="50284"/>
    <cellStyle name="Comma 9 3 3 3 2 2" xfId="50285"/>
    <cellStyle name="Comma 9 3 3 3 2 3" xfId="50286"/>
    <cellStyle name="Comma 9 3 3 3 3" xfId="50287"/>
    <cellStyle name="Comma 9 3 3 3 3 2" xfId="50288"/>
    <cellStyle name="Comma 9 3 3 3 3 3" xfId="50289"/>
    <cellStyle name="Comma 9 3 3 3 4" xfId="50290"/>
    <cellStyle name="Comma 9 3 3 3 4 2" xfId="50291"/>
    <cellStyle name="Comma 9 3 3 3 5" xfId="50292"/>
    <cellStyle name="Comma 9 3 3 3 6" xfId="50293"/>
    <cellStyle name="Comma 9 3 3 4" xfId="50294"/>
    <cellStyle name="Comma 9 3 3 4 2" xfId="50295"/>
    <cellStyle name="Comma 9 3 3 4 2 2" xfId="50296"/>
    <cellStyle name="Comma 9 3 3 4 2 3" xfId="50297"/>
    <cellStyle name="Comma 9 3 3 4 3" xfId="50298"/>
    <cellStyle name="Comma 9 3 3 4 3 2" xfId="50299"/>
    <cellStyle name="Comma 9 3 3 4 3 3" xfId="50300"/>
    <cellStyle name="Comma 9 3 3 4 4" xfId="50301"/>
    <cellStyle name="Comma 9 3 3 4 4 2" xfId="50302"/>
    <cellStyle name="Comma 9 3 3 4 5" xfId="50303"/>
    <cellStyle name="Comma 9 3 3 4 6" xfId="50304"/>
    <cellStyle name="Comma 9 3 3 5" xfId="50305"/>
    <cellStyle name="Comma 9 3 3 5 2" xfId="50306"/>
    <cellStyle name="Comma 9 3 3 5 2 2" xfId="50307"/>
    <cellStyle name="Comma 9 3 3 5 2 3" xfId="50308"/>
    <cellStyle name="Comma 9 3 3 5 3" xfId="50309"/>
    <cellStyle name="Comma 9 3 3 5 3 2" xfId="50310"/>
    <cellStyle name="Comma 9 3 3 5 4" xfId="50311"/>
    <cellStyle name="Comma 9 3 3 5 5" xfId="50312"/>
    <cellStyle name="Comma 9 3 3 6" xfId="50313"/>
    <cellStyle name="Comma 9 3 3 6 2" xfId="50314"/>
    <cellStyle name="Comma 9 3 3 6 3" xfId="50315"/>
    <cellStyle name="Comma 9 3 3 7" xfId="50316"/>
    <cellStyle name="Comma 9 3 3 7 2" xfId="50317"/>
    <cellStyle name="Comma 9 3 3 7 3" xfId="50318"/>
    <cellStyle name="Comma 9 3 3 8" xfId="50319"/>
    <cellStyle name="Comma 9 3 3 8 2" xfId="50320"/>
    <cellStyle name="Comma 9 3 3 9" xfId="50321"/>
    <cellStyle name="Comma 9 3 4" xfId="3799"/>
    <cellStyle name="Comma 9 3 4 2" xfId="3800"/>
    <cellStyle name="Comma 9 3 4 2 2" xfId="50322"/>
    <cellStyle name="Comma 9 3 4 2 2 2" xfId="50323"/>
    <cellStyle name="Comma 9 3 4 2 2 3" xfId="50324"/>
    <cellStyle name="Comma 9 3 4 2 3" xfId="50325"/>
    <cellStyle name="Comma 9 3 4 2 3 2" xfId="50326"/>
    <cellStyle name="Comma 9 3 4 2 3 3" xfId="50327"/>
    <cellStyle name="Comma 9 3 4 2 4" xfId="50328"/>
    <cellStyle name="Comma 9 3 4 2 4 2" xfId="50329"/>
    <cellStyle name="Comma 9 3 4 2 5" xfId="50330"/>
    <cellStyle name="Comma 9 3 4 2 6" xfId="50331"/>
    <cellStyle name="Comma 9 3 4 3" xfId="50332"/>
    <cellStyle name="Comma 9 3 4 3 2" xfId="50333"/>
    <cellStyle name="Comma 9 3 4 3 2 2" xfId="50334"/>
    <cellStyle name="Comma 9 3 4 3 2 3" xfId="50335"/>
    <cellStyle name="Comma 9 3 4 3 3" xfId="50336"/>
    <cellStyle name="Comma 9 3 4 3 3 2" xfId="50337"/>
    <cellStyle name="Comma 9 3 4 3 3 3" xfId="50338"/>
    <cellStyle name="Comma 9 3 4 3 4" xfId="50339"/>
    <cellStyle name="Comma 9 3 4 3 4 2" xfId="50340"/>
    <cellStyle name="Comma 9 3 4 3 5" xfId="50341"/>
    <cellStyle name="Comma 9 3 4 3 6" xfId="50342"/>
    <cellStyle name="Comma 9 3 4 4" xfId="50343"/>
    <cellStyle name="Comma 9 3 4 4 2" xfId="50344"/>
    <cellStyle name="Comma 9 3 4 4 2 2" xfId="50345"/>
    <cellStyle name="Comma 9 3 4 4 2 3" xfId="50346"/>
    <cellStyle name="Comma 9 3 4 4 3" xfId="50347"/>
    <cellStyle name="Comma 9 3 4 4 3 2" xfId="50348"/>
    <cellStyle name="Comma 9 3 4 4 4" xfId="50349"/>
    <cellStyle name="Comma 9 3 4 4 5" xfId="50350"/>
    <cellStyle name="Comma 9 3 4 5" xfId="50351"/>
    <cellStyle name="Comma 9 3 4 5 2" xfId="50352"/>
    <cellStyle name="Comma 9 3 4 5 3" xfId="50353"/>
    <cellStyle name="Comma 9 3 4 6" xfId="50354"/>
    <cellStyle name="Comma 9 3 4 6 2" xfId="50355"/>
    <cellStyle name="Comma 9 3 4 6 3" xfId="50356"/>
    <cellStyle name="Comma 9 3 4 7" xfId="50357"/>
    <cellStyle name="Comma 9 3 4 7 2" xfId="50358"/>
    <cellStyle name="Comma 9 3 4 8" xfId="50359"/>
    <cellStyle name="Comma 9 3 4 9" xfId="50360"/>
    <cellStyle name="Comma 9 3 5" xfId="3801"/>
    <cellStyle name="Comma 9 3 5 2" xfId="50361"/>
    <cellStyle name="Comma 9 3 5 2 2" xfId="50362"/>
    <cellStyle name="Comma 9 3 5 2 2 2" xfId="50363"/>
    <cellStyle name="Comma 9 3 5 2 2 3" xfId="50364"/>
    <cellStyle name="Comma 9 3 5 2 3" xfId="50365"/>
    <cellStyle name="Comma 9 3 5 2 3 2" xfId="50366"/>
    <cellStyle name="Comma 9 3 5 2 3 3" xfId="50367"/>
    <cellStyle name="Comma 9 3 5 2 4" xfId="50368"/>
    <cellStyle name="Comma 9 3 5 2 4 2" xfId="50369"/>
    <cellStyle name="Comma 9 3 5 2 5" xfId="50370"/>
    <cellStyle name="Comma 9 3 5 2 6" xfId="50371"/>
    <cellStyle name="Comma 9 3 5 3" xfId="50372"/>
    <cellStyle name="Comma 9 3 5 3 2" xfId="50373"/>
    <cellStyle name="Comma 9 3 5 3 2 2" xfId="50374"/>
    <cellStyle name="Comma 9 3 5 3 2 3" xfId="50375"/>
    <cellStyle name="Comma 9 3 5 3 3" xfId="50376"/>
    <cellStyle name="Comma 9 3 5 3 3 2" xfId="50377"/>
    <cellStyle name="Comma 9 3 5 3 3 3" xfId="50378"/>
    <cellStyle name="Comma 9 3 5 3 4" xfId="50379"/>
    <cellStyle name="Comma 9 3 5 3 4 2" xfId="50380"/>
    <cellStyle name="Comma 9 3 5 3 5" xfId="50381"/>
    <cellStyle name="Comma 9 3 5 3 6" xfId="50382"/>
    <cellStyle name="Comma 9 3 5 4" xfId="50383"/>
    <cellStyle name="Comma 9 3 5 4 2" xfId="50384"/>
    <cellStyle name="Comma 9 3 5 4 2 2" xfId="50385"/>
    <cellStyle name="Comma 9 3 5 4 2 3" xfId="50386"/>
    <cellStyle name="Comma 9 3 5 4 3" xfId="50387"/>
    <cellStyle name="Comma 9 3 5 4 3 2" xfId="50388"/>
    <cellStyle name="Comma 9 3 5 4 4" xfId="50389"/>
    <cellStyle name="Comma 9 3 5 4 5" xfId="50390"/>
    <cellStyle name="Comma 9 3 5 5" xfId="50391"/>
    <cellStyle name="Comma 9 3 5 5 2" xfId="50392"/>
    <cellStyle name="Comma 9 3 5 5 3" xfId="50393"/>
    <cellStyle name="Comma 9 3 5 6" xfId="50394"/>
    <cellStyle name="Comma 9 3 5 6 2" xfId="50395"/>
    <cellStyle name="Comma 9 3 5 6 3" xfId="50396"/>
    <cellStyle name="Comma 9 3 5 7" xfId="50397"/>
    <cellStyle name="Comma 9 3 5 7 2" xfId="50398"/>
    <cellStyle name="Comma 9 3 5 8" xfId="50399"/>
    <cellStyle name="Comma 9 3 5 9" xfId="50400"/>
    <cellStyle name="Comma 9 3 6" xfId="50401"/>
    <cellStyle name="Comma 9 3 6 2" xfId="50402"/>
    <cellStyle name="Comma 9 3 6 2 2" xfId="50403"/>
    <cellStyle name="Comma 9 3 6 2 3" xfId="50404"/>
    <cellStyle name="Comma 9 3 6 3" xfId="50405"/>
    <cellStyle name="Comma 9 3 6 3 2" xfId="50406"/>
    <cellStyle name="Comma 9 3 6 3 3" xfId="50407"/>
    <cellStyle name="Comma 9 3 6 4" xfId="50408"/>
    <cellStyle name="Comma 9 3 6 4 2" xfId="50409"/>
    <cellStyle name="Comma 9 3 6 5" xfId="50410"/>
    <cellStyle name="Comma 9 3 6 6" xfId="50411"/>
    <cellStyle name="Comma 9 3 7" xfId="50412"/>
    <cellStyle name="Comma 9 3 7 2" xfId="50413"/>
    <cellStyle name="Comma 9 3 7 2 2" xfId="50414"/>
    <cellStyle name="Comma 9 3 7 2 3" xfId="50415"/>
    <cellStyle name="Comma 9 3 7 3" xfId="50416"/>
    <cellStyle name="Comma 9 3 7 3 2" xfId="50417"/>
    <cellStyle name="Comma 9 3 7 3 3" xfId="50418"/>
    <cellStyle name="Comma 9 3 7 4" xfId="50419"/>
    <cellStyle name="Comma 9 3 7 4 2" xfId="50420"/>
    <cellStyle name="Comma 9 3 7 5" xfId="50421"/>
    <cellStyle name="Comma 9 3 7 6" xfId="50422"/>
    <cellStyle name="Comma 9 3 8" xfId="50423"/>
    <cellStyle name="Comma 9 3 8 2" xfId="50424"/>
    <cellStyle name="Comma 9 3 8 2 2" xfId="50425"/>
    <cellStyle name="Comma 9 3 8 2 3" xfId="50426"/>
    <cellStyle name="Comma 9 3 8 3" xfId="50427"/>
    <cellStyle name="Comma 9 3 8 3 2" xfId="50428"/>
    <cellStyle name="Comma 9 3 8 4" xfId="50429"/>
    <cellStyle name="Comma 9 3 8 5" xfId="50430"/>
    <cellStyle name="Comma 9 3 9" xfId="50431"/>
    <cellStyle name="Comma 9 3 9 2" xfId="50432"/>
    <cellStyle name="Comma 9 3 9 3" xfId="50433"/>
    <cellStyle name="Comma 9 4" xfId="3802"/>
    <cellStyle name="Comma 9 4 10" xfId="50434"/>
    <cellStyle name="Comma 9 4 10 2" xfId="50435"/>
    <cellStyle name="Comma 9 4 11" xfId="50436"/>
    <cellStyle name="Comma 9 4 12" xfId="50437"/>
    <cellStyle name="Comma 9 4 2" xfId="3803"/>
    <cellStyle name="Comma 9 4 2 10" xfId="50438"/>
    <cellStyle name="Comma 9 4 2 2" xfId="3804"/>
    <cellStyle name="Comma 9 4 2 2 2" xfId="3805"/>
    <cellStyle name="Comma 9 4 2 2 2 2" xfId="50439"/>
    <cellStyle name="Comma 9 4 2 2 2 2 2" xfId="50440"/>
    <cellStyle name="Comma 9 4 2 2 2 2 3" xfId="50441"/>
    <cellStyle name="Comma 9 4 2 2 2 3" xfId="50442"/>
    <cellStyle name="Comma 9 4 2 2 2 3 2" xfId="50443"/>
    <cellStyle name="Comma 9 4 2 2 2 3 3" xfId="50444"/>
    <cellStyle name="Comma 9 4 2 2 2 4" xfId="50445"/>
    <cellStyle name="Comma 9 4 2 2 2 4 2" xfId="50446"/>
    <cellStyle name="Comma 9 4 2 2 2 5" xfId="50447"/>
    <cellStyle name="Comma 9 4 2 2 2 6" xfId="50448"/>
    <cellStyle name="Comma 9 4 2 2 3" xfId="50449"/>
    <cellStyle name="Comma 9 4 2 2 3 2" xfId="50450"/>
    <cellStyle name="Comma 9 4 2 2 3 2 2" xfId="50451"/>
    <cellStyle name="Comma 9 4 2 2 3 2 3" xfId="50452"/>
    <cellStyle name="Comma 9 4 2 2 3 3" xfId="50453"/>
    <cellStyle name="Comma 9 4 2 2 3 3 2" xfId="50454"/>
    <cellStyle name="Comma 9 4 2 2 3 3 3" xfId="50455"/>
    <cellStyle name="Comma 9 4 2 2 3 4" xfId="50456"/>
    <cellStyle name="Comma 9 4 2 2 3 4 2" xfId="50457"/>
    <cellStyle name="Comma 9 4 2 2 3 5" xfId="50458"/>
    <cellStyle name="Comma 9 4 2 2 3 6" xfId="50459"/>
    <cellStyle name="Comma 9 4 2 2 4" xfId="50460"/>
    <cellStyle name="Comma 9 4 2 2 4 2" xfId="50461"/>
    <cellStyle name="Comma 9 4 2 2 4 2 2" xfId="50462"/>
    <cellStyle name="Comma 9 4 2 2 4 2 3" xfId="50463"/>
    <cellStyle name="Comma 9 4 2 2 4 3" xfId="50464"/>
    <cellStyle name="Comma 9 4 2 2 4 3 2" xfId="50465"/>
    <cellStyle name="Comma 9 4 2 2 4 4" xfId="50466"/>
    <cellStyle name="Comma 9 4 2 2 4 5" xfId="50467"/>
    <cellStyle name="Comma 9 4 2 2 5" xfId="50468"/>
    <cellStyle name="Comma 9 4 2 2 5 2" xfId="50469"/>
    <cellStyle name="Comma 9 4 2 2 5 3" xfId="50470"/>
    <cellStyle name="Comma 9 4 2 2 6" xfId="50471"/>
    <cellStyle name="Comma 9 4 2 2 6 2" xfId="50472"/>
    <cellStyle name="Comma 9 4 2 2 6 3" xfId="50473"/>
    <cellStyle name="Comma 9 4 2 2 7" xfId="50474"/>
    <cellStyle name="Comma 9 4 2 2 7 2" xfId="50475"/>
    <cellStyle name="Comma 9 4 2 2 8" xfId="50476"/>
    <cellStyle name="Comma 9 4 2 2 9" xfId="50477"/>
    <cellStyle name="Comma 9 4 2 3" xfId="3806"/>
    <cellStyle name="Comma 9 4 2 3 2" xfId="50478"/>
    <cellStyle name="Comma 9 4 2 3 2 2" xfId="50479"/>
    <cellStyle name="Comma 9 4 2 3 2 3" xfId="50480"/>
    <cellStyle name="Comma 9 4 2 3 3" xfId="50481"/>
    <cellStyle name="Comma 9 4 2 3 3 2" xfId="50482"/>
    <cellStyle name="Comma 9 4 2 3 3 3" xfId="50483"/>
    <cellStyle name="Comma 9 4 2 3 4" xfId="50484"/>
    <cellStyle name="Comma 9 4 2 3 4 2" xfId="50485"/>
    <cellStyle name="Comma 9 4 2 3 5" xfId="50486"/>
    <cellStyle name="Comma 9 4 2 3 6" xfId="50487"/>
    <cellStyle name="Comma 9 4 2 4" xfId="50488"/>
    <cellStyle name="Comma 9 4 2 4 2" xfId="50489"/>
    <cellStyle name="Comma 9 4 2 4 2 2" xfId="50490"/>
    <cellStyle name="Comma 9 4 2 4 2 3" xfId="50491"/>
    <cellStyle name="Comma 9 4 2 4 3" xfId="50492"/>
    <cellStyle name="Comma 9 4 2 4 3 2" xfId="50493"/>
    <cellStyle name="Comma 9 4 2 4 3 3" xfId="50494"/>
    <cellStyle name="Comma 9 4 2 4 4" xfId="50495"/>
    <cellStyle name="Comma 9 4 2 4 4 2" xfId="50496"/>
    <cellStyle name="Comma 9 4 2 4 5" xfId="50497"/>
    <cellStyle name="Comma 9 4 2 4 6" xfId="50498"/>
    <cellStyle name="Comma 9 4 2 5" xfId="50499"/>
    <cellStyle name="Comma 9 4 2 5 2" xfId="50500"/>
    <cellStyle name="Comma 9 4 2 5 2 2" xfId="50501"/>
    <cellStyle name="Comma 9 4 2 5 2 3" xfId="50502"/>
    <cellStyle name="Comma 9 4 2 5 3" xfId="50503"/>
    <cellStyle name="Comma 9 4 2 5 3 2" xfId="50504"/>
    <cellStyle name="Comma 9 4 2 5 4" xfId="50505"/>
    <cellStyle name="Comma 9 4 2 5 5" xfId="50506"/>
    <cellStyle name="Comma 9 4 2 6" xfId="50507"/>
    <cellStyle name="Comma 9 4 2 6 2" xfId="50508"/>
    <cellStyle name="Comma 9 4 2 6 3" xfId="50509"/>
    <cellStyle name="Comma 9 4 2 7" xfId="50510"/>
    <cellStyle name="Comma 9 4 2 7 2" xfId="50511"/>
    <cellStyle name="Comma 9 4 2 7 3" xfId="50512"/>
    <cellStyle name="Comma 9 4 2 8" xfId="50513"/>
    <cellStyle name="Comma 9 4 2 8 2" xfId="50514"/>
    <cellStyle name="Comma 9 4 2 9" xfId="50515"/>
    <cellStyle name="Comma 9 4 3" xfId="3807"/>
    <cellStyle name="Comma 9 4 3 2" xfId="3808"/>
    <cellStyle name="Comma 9 4 3 2 2" xfId="50516"/>
    <cellStyle name="Comma 9 4 3 2 2 2" xfId="50517"/>
    <cellStyle name="Comma 9 4 3 2 2 3" xfId="50518"/>
    <cellStyle name="Comma 9 4 3 2 3" xfId="50519"/>
    <cellStyle name="Comma 9 4 3 2 3 2" xfId="50520"/>
    <cellStyle name="Comma 9 4 3 2 3 3" xfId="50521"/>
    <cellStyle name="Comma 9 4 3 2 4" xfId="50522"/>
    <cellStyle name="Comma 9 4 3 2 4 2" xfId="50523"/>
    <cellStyle name="Comma 9 4 3 2 5" xfId="50524"/>
    <cellStyle name="Comma 9 4 3 2 6" xfId="50525"/>
    <cellStyle name="Comma 9 4 3 3" xfId="50526"/>
    <cellStyle name="Comma 9 4 3 3 2" xfId="50527"/>
    <cellStyle name="Comma 9 4 3 3 2 2" xfId="50528"/>
    <cellStyle name="Comma 9 4 3 3 2 3" xfId="50529"/>
    <cellStyle name="Comma 9 4 3 3 3" xfId="50530"/>
    <cellStyle name="Comma 9 4 3 3 3 2" xfId="50531"/>
    <cellStyle name="Comma 9 4 3 3 3 3" xfId="50532"/>
    <cellStyle name="Comma 9 4 3 3 4" xfId="50533"/>
    <cellStyle name="Comma 9 4 3 3 4 2" xfId="50534"/>
    <cellStyle name="Comma 9 4 3 3 5" xfId="50535"/>
    <cellStyle name="Comma 9 4 3 3 6" xfId="50536"/>
    <cellStyle name="Comma 9 4 3 4" xfId="50537"/>
    <cellStyle name="Comma 9 4 3 4 2" xfId="50538"/>
    <cellStyle name="Comma 9 4 3 4 2 2" xfId="50539"/>
    <cellStyle name="Comma 9 4 3 4 2 3" xfId="50540"/>
    <cellStyle name="Comma 9 4 3 4 3" xfId="50541"/>
    <cellStyle name="Comma 9 4 3 4 3 2" xfId="50542"/>
    <cellStyle name="Comma 9 4 3 4 4" xfId="50543"/>
    <cellStyle name="Comma 9 4 3 4 5" xfId="50544"/>
    <cellStyle name="Comma 9 4 3 5" xfId="50545"/>
    <cellStyle name="Comma 9 4 3 5 2" xfId="50546"/>
    <cellStyle name="Comma 9 4 3 5 3" xfId="50547"/>
    <cellStyle name="Comma 9 4 3 6" xfId="50548"/>
    <cellStyle name="Comma 9 4 3 6 2" xfId="50549"/>
    <cellStyle name="Comma 9 4 3 6 3" xfId="50550"/>
    <cellStyle name="Comma 9 4 3 7" xfId="50551"/>
    <cellStyle name="Comma 9 4 3 7 2" xfId="50552"/>
    <cellStyle name="Comma 9 4 3 8" xfId="50553"/>
    <cellStyle name="Comma 9 4 3 9" xfId="50554"/>
    <cellStyle name="Comma 9 4 4" xfId="3809"/>
    <cellStyle name="Comma 9 4 4 2" xfId="50555"/>
    <cellStyle name="Comma 9 4 4 2 2" xfId="50556"/>
    <cellStyle name="Comma 9 4 4 2 2 2" xfId="50557"/>
    <cellStyle name="Comma 9 4 4 2 2 3" xfId="50558"/>
    <cellStyle name="Comma 9 4 4 2 3" xfId="50559"/>
    <cellStyle name="Comma 9 4 4 2 3 2" xfId="50560"/>
    <cellStyle name="Comma 9 4 4 2 3 3" xfId="50561"/>
    <cellStyle name="Comma 9 4 4 2 4" xfId="50562"/>
    <cellStyle name="Comma 9 4 4 2 4 2" xfId="50563"/>
    <cellStyle name="Comma 9 4 4 2 5" xfId="50564"/>
    <cellStyle name="Comma 9 4 4 2 6" xfId="50565"/>
    <cellStyle name="Comma 9 4 4 3" xfId="50566"/>
    <cellStyle name="Comma 9 4 4 3 2" xfId="50567"/>
    <cellStyle name="Comma 9 4 4 3 2 2" xfId="50568"/>
    <cellStyle name="Comma 9 4 4 3 2 3" xfId="50569"/>
    <cellStyle name="Comma 9 4 4 3 3" xfId="50570"/>
    <cellStyle name="Comma 9 4 4 3 3 2" xfId="50571"/>
    <cellStyle name="Comma 9 4 4 3 3 3" xfId="50572"/>
    <cellStyle name="Comma 9 4 4 3 4" xfId="50573"/>
    <cellStyle name="Comma 9 4 4 3 4 2" xfId="50574"/>
    <cellStyle name="Comma 9 4 4 3 5" xfId="50575"/>
    <cellStyle name="Comma 9 4 4 3 6" xfId="50576"/>
    <cellStyle name="Comma 9 4 4 4" xfId="50577"/>
    <cellStyle name="Comma 9 4 4 4 2" xfId="50578"/>
    <cellStyle name="Comma 9 4 4 4 2 2" xfId="50579"/>
    <cellStyle name="Comma 9 4 4 4 2 3" xfId="50580"/>
    <cellStyle name="Comma 9 4 4 4 3" xfId="50581"/>
    <cellStyle name="Comma 9 4 4 4 3 2" xfId="50582"/>
    <cellStyle name="Comma 9 4 4 4 4" xfId="50583"/>
    <cellStyle name="Comma 9 4 4 4 5" xfId="50584"/>
    <cellStyle name="Comma 9 4 4 5" xfId="50585"/>
    <cellStyle name="Comma 9 4 4 5 2" xfId="50586"/>
    <cellStyle name="Comma 9 4 4 5 3" xfId="50587"/>
    <cellStyle name="Comma 9 4 4 6" xfId="50588"/>
    <cellStyle name="Comma 9 4 4 6 2" xfId="50589"/>
    <cellStyle name="Comma 9 4 4 6 3" xfId="50590"/>
    <cellStyle name="Comma 9 4 4 7" xfId="50591"/>
    <cellStyle name="Comma 9 4 4 7 2" xfId="50592"/>
    <cellStyle name="Comma 9 4 4 8" xfId="50593"/>
    <cellStyle name="Comma 9 4 4 9" xfId="50594"/>
    <cellStyle name="Comma 9 4 5" xfId="50595"/>
    <cellStyle name="Comma 9 4 5 2" xfId="50596"/>
    <cellStyle name="Comma 9 4 5 2 2" xfId="50597"/>
    <cellStyle name="Comma 9 4 5 2 3" xfId="50598"/>
    <cellStyle name="Comma 9 4 5 3" xfId="50599"/>
    <cellStyle name="Comma 9 4 5 3 2" xfId="50600"/>
    <cellStyle name="Comma 9 4 5 3 3" xfId="50601"/>
    <cellStyle name="Comma 9 4 5 4" xfId="50602"/>
    <cellStyle name="Comma 9 4 5 4 2" xfId="50603"/>
    <cellStyle name="Comma 9 4 5 5" xfId="50604"/>
    <cellStyle name="Comma 9 4 5 6" xfId="50605"/>
    <cellStyle name="Comma 9 4 6" xfId="50606"/>
    <cellStyle name="Comma 9 4 6 2" xfId="50607"/>
    <cellStyle name="Comma 9 4 6 2 2" xfId="50608"/>
    <cellStyle name="Comma 9 4 6 2 3" xfId="50609"/>
    <cellStyle name="Comma 9 4 6 3" xfId="50610"/>
    <cellStyle name="Comma 9 4 6 3 2" xfId="50611"/>
    <cellStyle name="Comma 9 4 6 3 3" xfId="50612"/>
    <cellStyle name="Comma 9 4 6 4" xfId="50613"/>
    <cellStyle name="Comma 9 4 6 4 2" xfId="50614"/>
    <cellStyle name="Comma 9 4 6 5" xfId="50615"/>
    <cellStyle name="Comma 9 4 6 6" xfId="50616"/>
    <cellStyle name="Comma 9 4 7" xfId="50617"/>
    <cellStyle name="Comma 9 4 7 2" xfId="50618"/>
    <cellStyle name="Comma 9 4 7 2 2" xfId="50619"/>
    <cellStyle name="Comma 9 4 7 2 3" xfId="50620"/>
    <cellStyle name="Comma 9 4 7 3" xfId="50621"/>
    <cellStyle name="Comma 9 4 7 3 2" xfId="50622"/>
    <cellStyle name="Comma 9 4 7 4" xfId="50623"/>
    <cellStyle name="Comma 9 4 7 5" xfId="50624"/>
    <cellStyle name="Comma 9 4 8" xfId="50625"/>
    <cellStyle name="Comma 9 4 8 2" xfId="50626"/>
    <cellStyle name="Comma 9 4 8 3" xfId="50627"/>
    <cellStyle name="Comma 9 4 9" xfId="50628"/>
    <cellStyle name="Comma 9 4 9 2" xfId="50629"/>
    <cellStyle name="Comma 9 4 9 3" xfId="50630"/>
    <cellStyle name="Comma 9 5" xfId="3810"/>
    <cellStyle name="Comma 9 5 10" xfId="50631"/>
    <cellStyle name="Comma 9 5 2" xfId="3811"/>
    <cellStyle name="Comma 9 5 2 2" xfId="3812"/>
    <cellStyle name="Comma 9 5 2 2 2" xfId="50632"/>
    <cellStyle name="Comma 9 5 2 2 2 2" xfId="50633"/>
    <cellStyle name="Comma 9 5 2 2 2 3" xfId="50634"/>
    <cellStyle name="Comma 9 5 2 2 3" xfId="50635"/>
    <cellStyle name="Comma 9 5 2 2 3 2" xfId="50636"/>
    <cellStyle name="Comma 9 5 2 2 3 3" xfId="50637"/>
    <cellStyle name="Comma 9 5 2 2 4" xfId="50638"/>
    <cellStyle name="Comma 9 5 2 2 4 2" xfId="50639"/>
    <cellStyle name="Comma 9 5 2 2 5" xfId="50640"/>
    <cellStyle name="Comma 9 5 2 2 6" xfId="50641"/>
    <cellStyle name="Comma 9 5 2 3" xfId="50642"/>
    <cellStyle name="Comma 9 5 2 3 2" xfId="50643"/>
    <cellStyle name="Comma 9 5 2 3 2 2" xfId="50644"/>
    <cellStyle name="Comma 9 5 2 3 2 3" xfId="50645"/>
    <cellStyle name="Comma 9 5 2 3 3" xfId="50646"/>
    <cellStyle name="Comma 9 5 2 3 3 2" xfId="50647"/>
    <cellStyle name="Comma 9 5 2 3 3 3" xfId="50648"/>
    <cellStyle name="Comma 9 5 2 3 4" xfId="50649"/>
    <cellStyle name="Comma 9 5 2 3 4 2" xfId="50650"/>
    <cellStyle name="Comma 9 5 2 3 5" xfId="50651"/>
    <cellStyle name="Comma 9 5 2 3 6" xfId="50652"/>
    <cellStyle name="Comma 9 5 2 4" xfId="50653"/>
    <cellStyle name="Comma 9 5 2 4 2" xfId="50654"/>
    <cellStyle name="Comma 9 5 2 4 2 2" xfId="50655"/>
    <cellStyle name="Comma 9 5 2 4 2 3" xfId="50656"/>
    <cellStyle name="Comma 9 5 2 4 3" xfId="50657"/>
    <cellStyle name="Comma 9 5 2 4 3 2" xfId="50658"/>
    <cellStyle name="Comma 9 5 2 4 4" xfId="50659"/>
    <cellStyle name="Comma 9 5 2 4 5" xfId="50660"/>
    <cellStyle name="Comma 9 5 2 5" xfId="50661"/>
    <cellStyle name="Comma 9 5 2 5 2" xfId="50662"/>
    <cellStyle name="Comma 9 5 2 5 3" xfId="50663"/>
    <cellStyle name="Comma 9 5 2 6" xfId="50664"/>
    <cellStyle name="Comma 9 5 2 6 2" xfId="50665"/>
    <cellStyle name="Comma 9 5 2 6 3" xfId="50666"/>
    <cellStyle name="Comma 9 5 2 7" xfId="50667"/>
    <cellStyle name="Comma 9 5 2 7 2" xfId="50668"/>
    <cellStyle name="Comma 9 5 2 8" xfId="50669"/>
    <cellStyle name="Comma 9 5 2 9" xfId="50670"/>
    <cellStyle name="Comma 9 5 3" xfId="3813"/>
    <cellStyle name="Comma 9 5 3 2" xfId="50671"/>
    <cellStyle name="Comma 9 5 3 2 2" xfId="50672"/>
    <cellStyle name="Comma 9 5 3 2 3" xfId="50673"/>
    <cellStyle name="Comma 9 5 3 3" xfId="50674"/>
    <cellStyle name="Comma 9 5 3 3 2" xfId="50675"/>
    <cellStyle name="Comma 9 5 3 3 3" xfId="50676"/>
    <cellStyle name="Comma 9 5 3 4" xfId="50677"/>
    <cellStyle name="Comma 9 5 3 4 2" xfId="50678"/>
    <cellStyle name="Comma 9 5 3 5" xfId="50679"/>
    <cellStyle name="Comma 9 5 3 6" xfId="50680"/>
    <cellStyle name="Comma 9 5 4" xfId="50681"/>
    <cellStyle name="Comma 9 5 4 2" xfId="50682"/>
    <cellStyle name="Comma 9 5 4 2 2" xfId="50683"/>
    <cellStyle name="Comma 9 5 4 2 3" xfId="50684"/>
    <cellStyle name="Comma 9 5 4 3" xfId="50685"/>
    <cellStyle name="Comma 9 5 4 3 2" xfId="50686"/>
    <cellStyle name="Comma 9 5 4 3 3" xfId="50687"/>
    <cellStyle name="Comma 9 5 4 4" xfId="50688"/>
    <cellStyle name="Comma 9 5 4 4 2" xfId="50689"/>
    <cellStyle name="Comma 9 5 4 5" xfId="50690"/>
    <cellStyle name="Comma 9 5 4 6" xfId="50691"/>
    <cellStyle name="Comma 9 5 5" xfId="50692"/>
    <cellStyle name="Comma 9 5 5 2" xfId="50693"/>
    <cellStyle name="Comma 9 5 5 2 2" xfId="50694"/>
    <cellStyle name="Comma 9 5 5 2 3" xfId="50695"/>
    <cellStyle name="Comma 9 5 5 3" xfId="50696"/>
    <cellStyle name="Comma 9 5 5 3 2" xfId="50697"/>
    <cellStyle name="Comma 9 5 5 4" xfId="50698"/>
    <cellStyle name="Comma 9 5 5 5" xfId="50699"/>
    <cellStyle name="Comma 9 5 6" xfId="50700"/>
    <cellStyle name="Comma 9 5 6 2" xfId="50701"/>
    <cellStyle name="Comma 9 5 6 3" xfId="50702"/>
    <cellStyle name="Comma 9 5 7" xfId="50703"/>
    <cellStyle name="Comma 9 5 7 2" xfId="50704"/>
    <cellStyle name="Comma 9 5 7 3" xfId="50705"/>
    <cellStyle name="Comma 9 5 8" xfId="50706"/>
    <cellStyle name="Comma 9 5 8 2" xfId="50707"/>
    <cellStyle name="Comma 9 5 9" xfId="50708"/>
    <cellStyle name="Comma 9 6" xfId="3814"/>
    <cellStyle name="Comma 9 6 2" xfId="3815"/>
    <cellStyle name="Comma 9 6 2 2" xfId="50709"/>
    <cellStyle name="Comma 9 6 2 2 2" xfId="50710"/>
    <cellStyle name="Comma 9 6 2 2 3" xfId="50711"/>
    <cellStyle name="Comma 9 6 2 3" xfId="50712"/>
    <cellStyle name="Comma 9 6 2 3 2" xfId="50713"/>
    <cellStyle name="Comma 9 6 2 3 3" xfId="50714"/>
    <cellStyle name="Comma 9 6 2 4" xfId="50715"/>
    <cellStyle name="Comma 9 6 2 4 2" xfId="50716"/>
    <cellStyle name="Comma 9 6 2 5" xfId="50717"/>
    <cellStyle name="Comma 9 6 2 6" xfId="50718"/>
    <cellStyle name="Comma 9 6 3" xfId="50719"/>
    <cellStyle name="Comma 9 6 3 2" xfId="50720"/>
    <cellStyle name="Comma 9 6 3 2 2" xfId="50721"/>
    <cellStyle name="Comma 9 6 3 2 3" xfId="50722"/>
    <cellStyle name="Comma 9 6 3 3" xfId="50723"/>
    <cellStyle name="Comma 9 6 3 3 2" xfId="50724"/>
    <cellStyle name="Comma 9 6 3 3 3" xfId="50725"/>
    <cellStyle name="Comma 9 6 3 4" xfId="50726"/>
    <cellStyle name="Comma 9 6 3 4 2" xfId="50727"/>
    <cellStyle name="Comma 9 6 3 5" xfId="50728"/>
    <cellStyle name="Comma 9 6 3 6" xfId="50729"/>
    <cellStyle name="Comma 9 6 4" xfId="50730"/>
    <cellStyle name="Comma 9 6 4 2" xfId="50731"/>
    <cellStyle name="Comma 9 6 4 2 2" xfId="50732"/>
    <cellStyle name="Comma 9 6 4 2 3" xfId="50733"/>
    <cellStyle name="Comma 9 6 4 3" xfId="50734"/>
    <cellStyle name="Comma 9 6 4 3 2" xfId="50735"/>
    <cellStyle name="Comma 9 6 4 4" xfId="50736"/>
    <cellStyle name="Comma 9 6 4 5" xfId="50737"/>
    <cellStyle name="Comma 9 6 5" xfId="50738"/>
    <cellStyle name="Comma 9 6 5 2" xfId="50739"/>
    <cellStyle name="Comma 9 6 5 3" xfId="50740"/>
    <cellStyle name="Comma 9 6 6" xfId="50741"/>
    <cellStyle name="Comma 9 6 6 2" xfId="50742"/>
    <cellStyle name="Comma 9 6 6 3" xfId="50743"/>
    <cellStyle name="Comma 9 6 7" xfId="50744"/>
    <cellStyle name="Comma 9 6 7 2" xfId="50745"/>
    <cellStyle name="Comma 9 6 8" xfId="50746"/>
    <cellStyle name="Comma 9 6 9" xfId="50747"/>
    <cellStyle name="Comma 9 7" xfId="3816"/>
    <cellStyle name="Comma 9 7 2" xfId="50748"/>
    <cellStyle name="Comma 9 7 2 2" xfId="50749"/>
    <cellStyle name="Comma 9 7 2 2 2" xfId="50750"/>
    <cellStyle name="Comma 9 7 2 2 3" xfId="50751"/>
    <cellStyle name="Comma 9 7 2 3" xfId="50752"/>
    <cellStyle name="Comma 9 7 2 3 2" xfId="50753"/>
    <cellStyle name="Comma 9 7 2 3 3" xfId="50754"/>
    <cellStyle name="Comma 9 7 2 4" xfId="50755"/>
    <cellStyle name="Comma 9 7 2 4 2" xfId="50756"/>
    <cellStyle name="Comma 9 7 2 5" xfId="50757"/>
    <cellStyle name="Comma 9 7 2 6" xfId="50758"/>
    <cellStyle name="Comma 9 7 3" xfId="50759"/>
    <cellStyle name="Comma 9 7 3 2" xfId="50760"/>
    <cellStyle name="Comma 9 7 3 2 2" xfId="50761"/>
    <cellStyle name="Comma 9 7 3 2 3" xfId="50762"/>
    <cellStyle name="Comma 9 7 3 3" xfId="50763"/>
    <cellStyle name="Comma 9 7 3 3 2" xfId="50764"/>
    <cellStyle name="Comma 9 7 3 3 3" xfId="50765"/>
    <cellStyle name="Comma 9 7 3 4" xfId="50766"/>
    <cellStyle name="Comma 9 7 3 4 2" xfId="50767"/>
    <cellStyle name="Comma 9 7 3 5" xfId="50768"/>
    <cellStyle name="Comma 9 7 3 6" xfId="50769"/>
    <cellStyle name="Comma 9 7 4" xfId="50770"/>
    <cellStyle name="Comma 9 7 4 2" xfId="50771"/>
    <cellStyle name="Comma 9 7 4 2 2" xfId="50772"/>
    <cellStyle name="Comma 9 7 4 2 3" xfId="50773"/>
    <cellStyle name="Comma 9 7 4 3" xfId="50774"/>
    <cellStyle name="Comma 9 7 4 3 2" xfId="50775"/>
    <cellStyle name="Comma 9 7 4 4" xfId="50776"/>
    <cellStyle name="Comma 9 7 4 5" xfId="50777"/>
    <cellStyle name="Comma 9 7 5" xfId="50778"/>
    <cellStyle name="Comma 9 7 5 2" xfId="50779"/>
    <cellStyle name="Comma 9 7 5 3" xfId="50780"/>
    <cellStyle name="Comma 9 7 6" xfId="50781"/>
    <cellStyle name="Comma 9 7 6 2" xfId="50782"/>
    <cellStyle name="Comma 9 7 6 3" xfId="50783"/>
    <cellStyle name="Comma 9 7 7" xfId="50784"/>
    <cellStyle name="Comma 9 7 7 2" xfId="50785"/>
    <cellStyle name="Comma 9 7 8" xfId="50786"/>
    <cellStyle name="Comma 9 7 9" xfId="50787"/>
    <cellStyle name="Comma 9 8" xfId="3817"/>
    <cellStyle name="Comma 9 8 2" xfId="50788"/>
    <cellStyle name="Comma 9 8 2 2" xfId="50789"/>
    <cellStyle name="Comma 9 8 2 3" xfId="50790"/>
    <cellStyle name="Comma 9 8 3" xfId="50791"/>
    <cellStyle name="Comma 9 8 3 2" xfId="50792"/>
    <cellStyle name="Comma 9 8 3 3" xfId="50793"/>
    <cellStyle name="Comma 9 8 4" xfId="50794"/>
    <cellStyle name="Comma 9 8 4 2" xfId="50795"/>
    <cellStyle name="Comma 9 8 5" xfId="50796"/>
    <cellStyle name="Comma 9 8 6" xfId="50797"/>
    <cellStyle name="Comma 9 9" xfId="3818"/>
    <cellStyle name="Comma 9 9 2" xfId="50798"/>
    <cellStyle name="Comma 9 9 2 2" xfId="50799"/>
    <cellStyle name="Comma 9 9 2 3" xfId="50800"/>
    <cellStyle name="Comma 9 9 3" xfId="50801"/>
    <cellStyle name="Comma 9 9 3 2" xfId="50802"/>
    <cellStyle name="Comma 9 9 3 3" xfId="50803"/>
    <cellStyle name="Comma 9 9 4" xfId="50804"/>
    <cellStyle name="Comma 9 9 4 2" xfId="50805"/>
    <cellStyle name="Comma 9 9 5" xfId="50806"/>
    <cellStyle name="Comma 9 9 6" xfId="50807"/>
    <cellStyle name="Comma 90" xfId="8792"/>
    <cellStyle name="Comma 91" xfId="8724"/>
    <cellStyle name="Comma 92" xfId="8725"/>
    <cellStyle name="Comma 93" xfId="8726"/>
    <cellStyle name="Comma 94" xfId="8727"/>
    <cellStyle name="Comma 95" xfId="8728"/>
    <cellStyle name="Comma 96" xfId="8729"/>
    <cellStyle name="Comma 97" xfId="8814"/>
    <cellStyle name="Comma 98" xfId="8730"/>
    <cellStyle name="Comma 99" xfId="8731"/>
    <cellStyle name="Comma0" xfId="3819"/>
    <cellStyle name="Comma0 2" xfId="3820"/>
    <cellStyle name="Comma0 2 2" xfId="3821"/>
    <cellStyle name="Comma0 2 2 2" xfId="59030"/>
    <cellStyle name="Comma0 2 3" xfId="57876"/>
    <cellStyle name="Comma0 2 4" xfId="59031"/>
    <cellStyle name="Comma0 3" xfId="3822"/>
    <cellStyle name="Comma0 3 2" xfId="50808"/>
    <cellStyle name="Comma0 3 2 2" xfId="59032"/>
    <cellStyle name="Comma0 3 3" xfId="59033"/>
    <cellStyle name="Comma0 3 4" xfId="59034"/>
    <cellStyle name="Comma0 4" xfId="57877"/>
    <cellStyle name="Comma0_SCH11 Not Done" xfId="50809"/>
    <cellStyle name="Currency [0] 2" xfId="3823"/>
    <cellStyle name="Currency [0] 2 2" xfId="3824"/>
    <cellStyle name="Currency [0] 2 2 2" xfId="59035"/>
    <cellStyle name="Currency [0] 2 2 2 2" xfId="59036"/>
    <cellStyle name="Currency [0] 2 2 3" xfId="59037"/>
    <cellStyle name="Currency [0] 2 2 4" xfId="59038"/>
    <cellStyle name="Currency [0] 2 3" xfId="3825"/>
    <cellStyle name="Currency [0] 2 3 2" xfId="59039"/>
    <cellStyle name="Currency [0] 2 4" xfId="59040"/>
    <cellStyle name="Currency [0] 2 4 2" xfId="59041"/>
    <cellStyle name="Currency [0] 2 5" xfId="59042"/>
    <cellStyle name="Currency [0] 2 6" xfId="59043"/>
    <cellStyle name="Currency [0] 3" xfId="3826"/>
    <cellStyle name="Currency [0] 3 2" xfId="3827"/>
    <cellStyle name="Currency [0] 3 2 2" xfId="59044"/>
    <cellStyle name="Currency [0] 3 3" xfId="3828"/>
    <cellStyle name="Currency [0] 3 4" xfId="59045"/>
    <cellStyle name="Currency [0] 4" xfId="3829"/>
    <cellStyle name="Currency [0] 4 2" xfId="3830"/>
    <cellStyle name="Currency [0] 5" xfId="3831"/>
    <cellStyle name="Currency [0] 5 2" xfId="3832"/>
    <cellStyle name="Currency [0] 6" xfId="9180"/>
    <cellStyle name="Currency 10" xfId="3833"/>
    <cellStyle name="Currency 10 2" xfId="3834"/>
    <cellStyle name="Currency 10 2 2" xfId="57878"/>
    <cellStyle name="Currency 10 2 3" xfId="59046"/>
    <cellStyle name="Currency 10 3" xfId="59047"/>
    <cellStyle name="Currency 10 3 2" xfId="59048"/>
    <cellStyle name="Currency 10 4" xfId="59049"/>
    <cellStyle name="Currency 10 5" xfId="59050"/>
    <cellStyle name="Currency 10 6" xfId="59051"/>
    <cellStyle name="Currency 100" xfId="50810"/>
    <cellStyle name="Currency 101" xfId="50811"/>
    <cellStyle name="Currency 102" xfId="50812"/>
    <cellStyle name="Currency 103" xfId="50813"/>
    <cellStyle name="Currency 104" xfId="50814"/>
    <cellStyle name="Currency 105" xfId="50815"/>
    <cellStyle name="Currency 106" xfId="50816"/>
    <cellStyle name="Currency 107" xfId="50817"/>
    <cellStyle name="Currency 108" xfId="50818"/>
    <cellStyle name="Currency 109" xfId="50819"/>
    <cellStyle name="Currency 11" xfId="3835"/>
    <cellStyle name="Currency 11 2" xfId="3836"/>
    <cellStyle name="Currency 11 2 2" xfId="59052"/>
    <cellStyle name="Currency 11 3" xfId="3837"/>
    <cellStyle name="Currency 11 3 2" xfId="59053"/>
    <cellStyle name="Currency 11 4" xfId="59054"/>
    <cellStyle name="Currency 11 5" xfId="59055"/>
    <cellStyle name="Currency 110" xfId="50820"/>
    <cellStyle name="Currency 111" xfId="50821"/>
    <cellStyle name="Currency 112" xfId="50822"/>
    <cellStyle name="Currency 113" xfId="50823"/>
    <cellStyle name="Currency 114" xfId="50824"/>
    <cellStyle name="Currency 115" xfId="50825"/>
    <cellStyle name="Currency 116" xfId="50826"/>
    <cellStyle name="Currency 117" xfId="50827"/>
    <cellStyle name="Currency 118" xfId="50828"/>
    <cellStyle name="Currency 119" xfId="50829"/>
    <cellStyle name="Currency 12" xfId="3838"/>
    <cellStyle name="Currency 12 2" xfId="3839"/>
    <cellStyle name="Currency 12 2 2" xfId="59056"/>
    <cellStyle name="Currency 12 3" xfId="3840"/>
    <cellStyle name="Currency 12 3 2" xfId="59057"/>
    <cellStyle name="Currency 12 4" xfId="59058"/>
    <cellStyle name="Currency 12 5" xfId="59059"/>
    <cellStyle name="Currency 120" xfId="50830"/>
    <cellStyle name="Currency 120 2" xfId="50831"/>
    <cellStyle name="Currency 120 3" xfId="57879"/>
    <cellStyle name="Currency 121" xfId="50832"/>
    <cellStyle name="Currency 121 2" xfId="50833"/>
    <cellStyle name="Currency 121 3" xfId="57880"/>
    <cellStyle name="Currency 122" xfId="50834"/>
    <cellStyle name="Currency 122 2" xfId="59060"/>
    <cellStyle name="Currency 123" xfId="50835"/>
    <cellStyle name="Currency 123 2" xfId="59061"/>
    <cellStyle name="Currency 124" xfId="50836"/>
    <cellStyle name="Currency 124 2" xfId="59062"/>
    <cellStyle name="Currency 125" xfId="50837"/>
    <cellStyle name="Currency 126" xfId="57881"/>
    <cellStyle name="Currency 127" xfId="57882"/>
    <cellStyle name="Currency 128" xfId="57883"/>
    <cellStyle name="Currency 129" xfId="57884"/>
    <cellStyle name="Currency 13" xfId="3841"/>
    <cellStyle name="Currency 13 2" xfId="3842"/>
    <cellStyle name="Currency 13 2 2" xfId="59063"/>
    <cellStyle name="Currency 13 3" xfId="3843"/>
    <cellStyle name="Currency 13 3 2" xfId="59064"/>
    <cellStyle name="Currency 13 4" xfId="59065"/>
    <cellStyle name="Currency 13 5" xfId="59066"/>
    <cellStyle name="Currency 130" xfId="57885"/>
    <cellStyle name="Currency 131" xfId="57886"/>
    <cellStyle name="Currency 132" xfId="57887"/>
    <cellStyle name="Currency 133" xfId="57888"/>
    <cellStyle name="Currency 134" xfId="57889"/>
    <cellStyle name="Currency 135" xfId="57890"/>
    <cellStyle name="Currency 136" xfId="57891"/>
    <cellStyle name="Currency 136 2" xfId="59067"/>
    <cellStyle name="Currency 137" xfId="57892"/>
    <cellStyle name="Currency 138" xfId="57893"/>
    <cellStyle name="Currency 139" xfId="57894"/>
    <cellStyle name="Currency 14" xfId="3844"/>
    <cellStyle name="Currency 14 2" xfId="3845"/>
    <cellStyle name="Currency 14 2 2" xfId="59068"/>
    <cellStyle name="Currency 14 3" xfId="3846"/>
    <cellStyle name="Currency 14 3 2" xfId="59069"/>
    <cellStyle name="Currency 14 4" xfId="59070"/>
    <cellStyle name="Currency 14 5" xfId="59071"/>
    <cellStyle name="Currency 140" xfId="57895"/>
    <cellStyle name="Currency 141" xfId="57896"/>
    <cellStyle name="Currency 142" xfId="57897"/>
    <cellStyle name="Currency 143" xfId="57898"/>
    <cellStyle name="Currency 144" xfId="57899"/>
    <cellStyle name="Currency 145" xfId="57900"/>
    <cellStyle name="Currency 146" xfId="57901"/>
    <cellStyle name="Currency 147" xfId="57902"/>
    <cellStyle name="Currency 148" xfId="57903"/>
    <cellStyle name="Currency 149" xfId="57904"/>
    <cellStyle name="Currency 15" xfId="3847"/>
    <cellStyle name="Currency 15 2" xfId="3848"/>
    <cellStyle name="Currency 15 2 2" xfId="59072"/>
    <cellStyle name="Currency 15 3" xfId="59073"/>
    <cellStyle name="Currency 15 3 2" xfId="59074"/>
    <cellStyle name="Currency 15 4" xfId="59075"/>
    <cellStyle name="Currency 15 5" xfId="59076"/>
    <cellStyle name="Currency 150" xfId="57905"/>
    <cellStyle name="Currency 150 2" xfId="59077"/>
    <cellStyle name="Currency 151" xfId="57906"/>
    <cellStyle name="Currency 152" xfId="57907"/>
    <cellStyle name="Currency 153" xfId="57908"/>
    <cellStyle name="Currency 154" xfId="57909"/>
    <cellStyle name="Currency 155" xfId="57910"/>
    <cellStyle name="Currency 156" xfId="59078"/>
    <cellStyle name="Currency 157" xfId="59079"/>
    <cellStyle name="Currency 158" xfId="59080"/>
    <cellStyle name="Currency 159" xfId="59081"/>
    <cellStyle name="Currency 16" xfId="3849"/>
    <cellStyle name="Currency 16 2" xfId="3850"/>
    <cellStyle name="Currency 16 2 2" xfId="59082"/>
    <cellStyle name="Currency 16 3" xfId="59083"/>
    <cellStyle name="Currency 16 3 2" xfId="59084"/>
    <cellStyle name="Currency 16 4" xfId="59085"/>
    <cellStyle name="Currency 16 5" xfId="59086"/>
    <cellStyle name="Currency 160" xfId="59087"/>
    <cellStyle name="Currency 161" xfId="59088"/>
    <cellStyle name="Currency 162" xfId="59089"/>
    <cellStyle name="Currency 163" xfId="59090"/>
    <cellStyle name="Currency 164" xfId="59091"/>
    <cellStyle name="Currency 165" xfId="59092"/>
    <cellStyle name="Currency 166" xfId="59093"/>
    <cellStyle name="Currency 167" xfId="59094"/>
    <cellStyle name="Currency 168" xfId="59095"/>
    <cellStyle name="Currency 169" xfId="59096"/>
    <cellStyle name="Currency 17" xfId="3851"/>
    <cellStyle name="Currency 17 2" xfId="3852"/>
    <cellStyle name="Currency 17 2 2" xfId="59097"/>
    <cellStyle name="Currency 17 3" xfId="59098"/>
    <cellStyle name="Currency 17 3 2" xfId="59099"/>
    <cellStyle name="Currency 17 4" xfId="59100"/>
    <cellStyle name="Currency 17 5" xfId="59101"/>
    <cellStyle name="Currency 170" xfId="59102"/>
    <cellStyle name="Currency 171" xfId="59103"/>
    <cellStyle name="Currency 172" xfId="59104"/>
    <cellStyle name="Currency 173" xfId="59105"/>
    <cellStyle name="Currency 174" xfId="59106"/>
    <cellStyle name="Currency 175" xfId="59107"/>
    <cellStyle name="Currency 18" xfId="3853"/>
    <cellStyle name="Currency 18 2" xfId="3854"/>
    <cellStyle name="Currency 18 2 2" xfId="59108"/>
    <cellStyle name="Currency 18 3" xfId="59109"/>
    <cellStyle name="Currency 18 3 2" xfId="59110"/>
    <cellStyle name="Currency 18 4" xfId="59111"/>
    <cellStyle name="Currency 18 5" xfId="59112"/>
    <cellStyle name="Currency 19" xfId="3855"/>
    <cellStyle name="Currency 19 2" xfId="3856"/>
    <cellStyle name="Currency 19 2 2" xfId="59113"/>
    <cellStyle name="Currency 19 3" xfId="59114"/>
    <cellStyle name="Currency 19 3 2" xfId="59115"/>
    <cellStyle name="Currency 19 4" xfId="59116"/>
    <cellStyle name="Currency 19 5" xfId="59117"/>
    <cellStyle name="Currency 2" xfId="3"/>
    <cellStyle name="Currency 2 10" xfId="50838"/>
    <cellStyle name="Currency 2 10 2" xfId="50839"/>
    <cellStyle name="Currency 2 11" xfId="50840"/>
    <cellStyle name="Currency 2 12" xfId="57911"/>
    <cellStyle name="Currency 2 2" xfId="3857"/>
    <cellStyle name="Currency 2 2 2" xfId="8400"/>
    <cellStyle name="Currency 2 2 2 2" xfId="50841"/>
    <cellStyle name="Currency 2 2 2 3" xfId="57912"/>
    <cellStyle name="Currency 2 2 3" xfId="50842"/>
    <cellStyle name="Currency 2 2 3 2" xfId="50843"/>
    <cellStyle name="Currency 2 2 4" xfId="50844"/>
    <cellStyle name="Currency 2 2 4 2" xfId="50845"/>
    <cellStyle name="Currency 2 2 5" xfId="57913"/>
    <cellStyle name="Currency 2 3" xfId="3858"/>
    <cellStyle name="Currency 2 3 2" xfId="50846"/>
    <cellStyle name="Currency 2 3 2 2" xfId="50847"/>
    <cellStyle name="Currency 2 3 3" xfId="50848"/>
    <cellStyle name="Currency 2 3 3 2" xfId="50849"/>
    <cellStyle name="Currency 2 4" xfId="50850"/>
    <cellStyle name="Currency 2 4 2" xfId="50851"/>
    <cellStyle name="Currency 2 4 2 2" xfId="50852"/>
    <cellStyle name="Currency 2 4 3" xfId="50853"/>
    <cellStyle name="Currency 2 5" xfId="50854"/>
    <cellStyle name="Currency 2 5 2" xfId="50855"/>
    <cellStyle name="Currency 2 6" xfId="50856"/>
    <cellStyle name="Currency 2 6 2" xfId="50857"/>
    <cellStyle name="Currency 2 7" xfId="50858"/>
    <cellStyle name="Currency 2 7 2" xfId="50859"/>
    <cellStyle name="Currency 2 8" xfId="50860"/>
    <cellStyle name="Currency 2 8 2" xfId="50861"/>
    <cellStyle name="Currency 2 9" xfId="50862"/>
    <cellStyle name="Currency 2 9 2" xfId="50863"/>
    <cellStyle name="Currency 20" xfId="3859"/>
    <cellStyle name="Currency 20 2" xfId="3860"/>
    <cellStyle name="Currency 20 2 2" xfId="59118"/>
    <cellStyle name="Currency 20 3" xfId="59119"/>
    <cellStyle name="Currency 20 3 2" xfId="59120"/>
    <cellStyle name="Currency 20 4" xfId="59121"/>
    <cellStyle name="Currency 20 5" xfId="59122"/>
    <cellStyle name="Currency 21" xfId="3861"/>
    <cellStyle name="Currency 21 2" xfId="3862"/>
    <cellStyle name="Currency 21 2 2" xfId="59123"/>
    <cellStyle name="Currency 21 3" xfId="59124"/>
    <cellStyle name="Currency 21 3 2" xfId="59125"/>
    <cellStyle name="Currency 21 4" xfId="59126"/>
    <cellStyle name="Currency 21 5" xfId="59127"/>
    <cellStyle name="Currency 22" xfId="3863"/>
    <cellStyle name="Currency 22 2" xfId="3864"/>
    <cellStyle name="Currency 22 2 2" xfId="59128"/>
    <cellStyle name="Currency 22 3" xfId="59129"/>
    <cellStyle name="Currency 22 3 2" xfId="59130"/>
    <cellStyle name="Currency 22 4" xfId="59131"/>
    <cellStyle name="Currency 22 5" xfId="59132"/>
    <cellStyle name="Currency 23" xfId="3865"/>
    <cellStyle name="Currency 23 2" xfId="3866"/>
    <cellStyle name="Currency 23 2 2" xfId="59133"/>
    <cellStyle name="Currency 23 3" xfId="59134"/>
    <cellStyle name="Currency 23 3 2" xfId="59135"/>
    <cellStyle name="Currency 23 4" xfId="59136"/>
    <cellStyle name="Currency 23 5" xfId="59137"/>
    <cellStyle name="Currency 24" xfId="3867"/>
    <cellStyle name="Currency 24 2" xfId="3868"/>
    <cellStyle name="Currency 24 2 2" xfId="59138"/>
    <cellStyle name="Currency 24 3" xfId="59139"/>
    <cellStyle name="Currency 24 3 2" xfId="59140"/>
    <cellStyle name="Currency 24 4" xfId="59141"/>
    <cellStyle name="Currency 24 5" xfId="59142"/>
    <cellStyle name="Currency 25" xfId="3869"/>
    <cellStyle name="Currency 25 2" xfId="3870"/>
    <cellStyle name="Currency 25 2 2" xfId="59143"/>
    <cellStyle name="Currency 25 3" xfId="59144"/>
    <cellStyle name="Currency 25 3 2" xfId="59145"/>
    <cellStyle name="Currency 25 4" xfId="59146"/>
    <cellStyle name="Currency 25 5" xfId="59147"/>
    <cellStyle name="Currency 26" xfId="3871"/>
    <cellStyle name="Currency 26 2" xfId="3872"/>
    <cellStyle name="Currency 26 2 2" xfId="59148"/>
    <cellStyle name="Currency 26 3" xfId="59149"/>
    <cellStyle name="Currency 26 3 2" xfId="59150"/>
    <cellStyle name="Currency 26 4" xfId="59151"/>
    <cellStyle name="Currency 26 5" xfId="59152"/>
    <cellStyle name="Currency 27" xfId="3873"/>
    <cellStyle name="Currency 27 2" xfId="3874"/>
    <cellStyle name="Currency 27 2 2" xfId="59153"/>
    <cellStyle name="Currency 27 2 2 2" xfId="59154"/>
    <cellStyle name="Currency 27 2 3" xfId="59155"/>
    <cellStyle name="Currency 27 2 4" xfId="59156"/>
    <cellStyle name="Currency 27 3" xfId="3875"/>
    <cellStyle name="Currency 27 3 2" xfId="59157"/>
    <cellStyle name="Currency 27 4" xfId="59158"/>
    <cellStyle name="Currency 27 4 2" xfId="59159"/>
    <cellStyle name="Currency 27 5" xfId="59160"/>
    <cellStyle name="Currency 27 6" xfId="59161"/>
    <cellStyle name="Currency 28" xfId="3876"/>
    <cellStyle name="Currency 28 2" xfId="3877"/>
    <cellStyle name="Currency 28 2 2" xfId="59162"/>
    <cellStyle name="Currency 28 3" xfId="59163"/>
    <cellStyle name="Currency 28 3 2" xfId="59164"/>
    <cellStyle name="Currency 28 4" xfId="59165"/>
    <cellStyle name="Currency 28 5" xfId="59166"/>
    <cellStyle name="Currency 29" xfId="3878"/>
    <cellStyle name="Currency 29 2" xfId="3879"/>
    <cellStyle name="Currency 29 2 2" xfId="59167"/>
    <cellStyle name="Currency 29 3" xfId="59168"/>
    <cellStyle name="Currency 29 3 2" xfId="59169"/>
    <cellStyle name="Currency 29 4" xfId="59170"/>
    <cellStyle name="Currency 29 5" xfId="59171"/>
    <cellStyle name="Currency 3" xfId="3880"/>
    <cellStyle name="Currency 3 2" xfId="3881"/>
    <cellStyle name="Currency 3 2 2" xfId="3882"/>
    <cellStyle name="Currency 3 2 2 2" xfId="9181"/>
    <cellStyle name="Currency 3 2 2 2 2" xfId="59172"/>
    <cellStyle name="Currency 3 2 2 3" xfId="9182"/>
    <cellStyle name="Currency 3 2 2 3 2" xfId="59173"/>
    <cellStyle name="Currency 3 2 2 4" xfId="59174"/>
    <cellStyle name="Currency 3 2 2 5" xfId="59175"/>
    <cellStyle name="Currency 3 2 2 6" xfId="59176"/>
    <cellStyle name="Currency 3 2 3" xfId="9183"/>
    <cellStyle name="Currency 3 2 3 2" xfId="59177"/>
    <cellStyle name="Currency 3 2 3 3" xfId="59178"/>
    <cellStyle name="Currency 3 2 3 4" xfId="59179"/>
    <cellStyle name="Currency 3 2 4" xfId="9184"/>
    <cellStyle name="Currency 3 2 5" xfId="59180"/>
    <cellStyle name="Currency 3 3" xfId="3883"/>
    <cellStyle name="Currency 3 3 2" xfId="9185"/>
    <cellStyle name="Currency 3 3 2 2" xfId="59181"/>
    <cellStyle name="Currency 3 3 3" xfId="9186"/>
    <cellStyle name="Currency 3 3 3 2" xfId="59182"/>
    <cellStyle name="Currency 3 3 4" xfId="59183"/>
    <cellStyle name="Currency 3 3 5" xfId="59184"/>
    <cellStyle name="Currency 3 4" xfId="3884"/>
    <cellStyle name="Currency 3 4 2" xfId="9187"/>
    <cellStyle name="Currency 3 4 3" xfId="59185"/>
    <cellStyle name="Currency 3 4 3 2" xfId="59186"/>
    <cellStyle name="Currency 3 4 4" xfId="59187"/>
    <cellStyle name="Currency 3 4 5" xfId="59188"/>
    <cellStyle name="Currency 3 5" xfId="9188"/>
    <cellStyle name="Currency 3 6" xfId="50864"/>
    <cellStyle name="Currency 3 7" xfId="57914"/>
    <cellStyle name="Currency 30" xfId="3885"/>
    <cellStyle name="Currency 30 2" xfId="3886"/>
    <cellStyle name="Currency 30 2 2" xfId="59189"/>
    <cellStyle name="Currency 30 3" xfId="59190"/>
    <cellStyle name="Currency 30 3 2" xfId="59191"/>
    <cellStyle name="Currency 30 4" xfId="59192"/>
    <cellStyle name="Currency 30 5" xfId="59193"/>
    <cellStyle name="Currency 31" xfId="3887"/>
    <cellStyle name="Currency 31 2" xfId="3888"/>
    <cellStyle name="Currency 31 2 2" xfId="59194"/>
    <cellStyle name="Currency 31 3" xfId="59195"/>
    <cellStyle name="Currency 31 3 2" xfId="59196"/>
    <cellStyle name="Currency 31 4" xfId="59197"/>
    <cellStyle name="Currency 31 5" xfId="59198"/>
    <cellStyle name="Currency 32" xfId="3889"/>
    <cellStyle name="Currency 32 2" xfId="3890"/>
    <cellStyle name="Currency 32 2 2" xfId="59199"/>
    <cellStyle name="Currency 32 3" xfId="59200"/>
    <cellStyle name="Currency 32 3 2" xfId="59201"/>
    <cellStyle name="Currency 32 4" xfId="59202"/>
    <cellStyle name="Currency 32 5" xfId="59203"/>
    <cellStyle name="Currency 33" xfId="3891"/>
    <cellStyle name="Currency 34" xfId="3892"/>
    <cellStyle name="Currency 35" xfId="3893"/>
    <cellStyle name="Currency 36" xfId="3894"/>
    <cellStyle name="Currency 37" xfId="3895"/>
    <cellStyle name="Currency 38" xfId="3896"/>
    <cellStyle name="Currency 39" xfId="3897"/>
    <cellStyle name="Currency 4" xfId="3898"/>
    <cellStyle name="Currency 4 10" xfId="50865"/>
    <cellStyle name="Currency 4 10 2" xfId="50866"/>
    <cellStyle name="Currency 4 10 2 2" xfId="50867"/>
    <cellStyle name="Currency 4 10 2 3" xfId="50868"/>
    <cellStyle name="Currency 4 10 3" xfId="50869"/>
    <cellStyle name="Currency 4 10 3 2" xfId="50870"/>
    <cellStyle name="Currency 4 10 4" xfId="50871"/>
    <cellStyle name="Currency 4 10 5" xfId="50872"/>
    <cellStyle name="Currency 4 11" xfId="50873"/>
    <cellStyle name="Currency 4 11 2" xfId="50874"/>
    <cellStyle name="Currency 4 11 3" xfId="50875"/>
    <cellStyle name="Currency 4 12" xfId="50876"/>
    <cellStyle name="Currency 4 12 2" xfId="50877"/>
    <cellStyle name="Currency 4 12 3" xfId="50878"/>
    <cellStyle name="Currency 4 13" xfId="50879"/>
    <cellStyle name="Currency 4 13 2" xfId="50880"/>
    <cellStyle name="Currency 4 14" xfId="50881"/>
    <cellStyle name="Currency 4 15" xfId="50882"/>
    <cellStyle name="Currency 4 16" xfId="50883"/>
    <cellStyle name="Currency 4 2" xfId="3899"/>
    <cellStyle name="Currency 4 2 10" xfId="50884"/>
    <cellStyle name="Currency 4 2 10 2" xfId="50885"/>
    <cellStyle name="Currency 4 2 10 3" xfId="50886"/>
    <cellStyle name="Currency 4 2 11" xfId="50887"/>
    <cellStyle name="Currency 4 2 11 2" xfId="50888"/>
    <cellStyle name="Currency 4 2 11 3" xfId="50889"/>
    <cellStyle name="Currency 4 2 12" xfId="50890"/>
    <cellStyle name="Currency 4 2 12 2" xfId="50891"/>
    <cellStyle name="Currency 4 2 13" xfId="50892"/>
    <cellStyle name="Currency 4 2 14" xfId="50893"/>
    <cellStyle name="Currency 4 2 15" xfId="50894"/>
    <cellStyle name="Currency 4 2 2" xfId="3900"/>
    <cellStyle name="Currency 4 2 2 10" xfId="50895"/>
    <cellStyle name="Currency 4 2 2 10 2" xfId="50896"/>
    <cellStyle name="Currency 4 2 2 10 3" xfId="50897"/>
    <cellStyle name="Currency 4 2 2 11" xfId="50898"/>
    <cellStyle name="Currency 4 2 2 11 2" xfId="50899"/>
    <cellStyle name="Currency 4 2 2 12" xfId="50900"/>
    <cellStyle name="Currency 4 2 2 13" xfId="50901"/>
    <cellStyle name="Currency 4 2 2 2" xfId="9189"/>
    <cellStyle name="Currency 4 2 2 2 10" xfId="50902"/>
    <cellStyle name="Currency 4 2 2 2 10 2" xfId="50903"/>
    <cellStyle name="Currency 4 2 2 2 11" xfId="50904"/>
    <cellStyle name="Currency 4 2 2 2 12" xfId="50905"/>
    <cellStyle name="Currency 4 2 2 2 2" xfId="50906"/>
    <cellStyle name="Currency 4 2 2 2 2 10" xfId="50907"/>
    <cellStyle name="Currency 4 2 2 2 2 2" xfId="50908"/>
    <cellStyle name="Currency 4 2 2 2 2 2 2" xfId="50909"/>
    <cellStyle name="Currency 4 2 2 2 2 2 2 2" xfId="50910"/>
    <cellStyle name="Currency 4 2 2 2 2 2 2 2 2" xfId="50911"/>
    <cellStyle name="Currency 4 2 2 2 2 2 2 2 3" xfId="50912"/>
    <cellStyle name="Currency 4 2 2 2 2 2 2 3" xfId="50913"/>
    <cellStyle name="Currency 4 2 2 2 2 2 2 3 2" xfId="50914"/>
    <cellStyle name="Currency 4 2 2 2 2 2 2 3 3" xfId="50915"/>
    <cellStyle name="Currency 4 2 2 2 2 2 2 4" xfId="50916"/>
    <cellStyle name="Currency 4 2 2 2 2 2 2 4 2" xfId="50917"/>
    <cellStyle name="Currency 4 2 2 2 2 2 2 5" xfId="50918"/>
    <cellStyle name="Currency 4 2 2 2 2 2 2 6" xfId="50919"/>
    <cellStyle name="Currency 4 2 2 2 2 2 3" xfId="50920"/>
    <cellStyle name="Currency 4 2 2 2 2 2 3 2" xfId="50921"/>
    <cellStyle name="Currency 4 2 2 2 2 2 3 2 2" xfId="50922"/>
    <cellStyle name="Currency 4 2 2 2 2 2 3 2 3" xfId="50923"/>
    <cellStyle name="Currency 4 2 2 2 2 2 3 3" xfId="50924"/>
    <cellStyle name="Currency 4 2 2 2 2 2 3 3 2" xfId="50925"/>
    <cellStyle name="Currency 4 2 2 2 2 2 3 3 3" xfId="50926"/>
    <cellStyle name="Currency 4 2 2 2 2 2 3 4" xfId="50927"/>
    <cellStyle name="Currency 4 2 2 2 2 2 3 4 2" xfId="50928"/>
    <cellStyle name="Currency 4 2 2 2 2 2 3 5" xfId="50929"/>
    <cellStyle name="Currency 4 2 2 2 2 2 3 6" xfId="50930"/>
    <cellStyle name="Currency 4 2 2 2 2 2 4" xfId="50931"/>
    <cellStyle name="Currency 4 2 2 2 2 2 4 2" xfId="50932"/>
    <cellStyle name="Currency 4 2 2 2 2 2 4 2 2" xfId="50933"/>
    <cellStyle name="Currency 4 2 2 2 2 2 4 2 3" xfId="50934"/>
    <cellStyle name="Currency 4 2 2 2 2 2 4 3" xfId="50935"/>
    <cellStyle name="Currency 4 2 2 2 2 2 4 3 2" xfId="50936"/>
    <cellStyle name="Currency 4 2 2 2 2 2 4 4" xfId="50937"/>
    <cellStyle name="Currency 4 2 2 2 2 2 4 5" xfId="50938"/>
    <cellStyle name="Currency 4 2 2 2 2 2 5" xfId="50939"/>
    <cellStyle name="Currency 4 2 2 2 2 2 5 2" xfId="50940"/>
    <cellStyle name="Currency 4 2 2 2 2 2 5 3" xfId="50941"/>
    <cellStyle name="Currency 4 2 2 2 2 2 6" xfId="50942"/>
    <cellStyle name="Currency 4 2 2 2 2 2 6 2" xfId="50943"/>
    <cellStyle name="Currency 4 2 2 2 2 2 6 3" xfId="50944"/>
    <cellStyle name="Currency 4 2 2 2 2 2 7" xfId="50945"/>
    <cellStyle name="Currency 4 2 2 2 2 2 7 2" xfId="50946"/>
    <cellStyle name="Currency 4 2 2 2 2 2 8" xfId="50947"/>
    <cellStyle name="Currency 4 2 2 2 2 2 9" xfId="50948"/>
    <cellStyle name="Currency 4 2 2 2 2 3" xfId="50949"/>
    <cellStyle name="Currency 4 2 2 2 2 3 2" xfId="50950"/>
    <cellStyle name="Currency 4 2 2 2 2 3 2 2" xfId="50951"/>
    <cellStyle name="Currency 4 2 2 2 2 3 2 3" xfId="50952"/>
    <cellStyle name="Currency 4 2 2 2 2 3 3" xfId="50953"/>
    <cellStyle name="Currency 4 2 2 2 2 3 3 2" xfId="50954"/>
    <cellStyle name="Currency 4 2 2 2 2 3 3 3" xfId="50955"/>
    <cellStyle name="Currency 4 2 2 2 2 3 4" xfId="50956"/>
    <cellStyle name="Currency 4 2 2 2 2 3 4 2" xfId="50957"/>
    <cellStyle name="Currency 4 2 2 2 2 3 5" xfId="50958"/>
    <cellStyle name="Currency 4 2 2 2 2 3 6" xfId="50959"/>
    <cellStyle name="Currency 4 2 2 2 2 4" xfId="50960"/>
    <cellStyle name="Currency 4 2 2 2 2 4 2" xfId="50961"/>
    <cellStyle name="Currency 4 2 2 2 2 4 2 2" xfId="50962"/>
    <cellStyle name="Currency 4 2 2 2 2 4 2 3" xfId="50963"/>
    <cellStyle name="Currency 4 2 2 2 2 4 3" xfId="50964"/>
    <cellStyle name="Currency 4 2 2 2 2 4 3 2" xfId="50965"/>
    <cellStyle name="Currency 4 2 2 2 2 4 3 3" xfId="50966"/>
    <cellStyle name="Currency 4 2 2 2 2 4 4" xfId="50967"/>
    <cellStyle name="Currency 4 2 2 2 2 4 4 2" xfId="50968"/>
    <cellStyle name="Currency 4 2 2 2 2 4 5" xfId="50969"/>
    <cellStyle name="Currency 4 2 2 2 2 4 6" xfId="50970"/>
    <cellStyle name="Currency 4 2 2 2 2 5" xfId="50971"/>
    <cellStyle name="Currency 4 2 2 2 2 5 2" xfId="50972"/>
    <cellStyle name="Currency 4 2 2 2 2 5 2 2" xfId="50973"/>
    <cellStyle name="Currency 4 2 2 2 2 5 2 3" xfId="50974"/>
    <cellStyle name="Currency 4 2 2 2 2 5 3" xfId="50975"/>
    <cellStyle name="Currency 4 2 2 2 2 5 3 2" xfId="50976"/>
    <cellStyle name="Currency 4 2 2 2 2 5 4" xfId="50977"/>
    <cellStyle name="Currency 4 2 2 2 2 5 5" xfId="50978"/>
    <cellStyle name="Currency 4 2 2 2 2 6" xfId="50979"/>
    <cellStyle name="Currency 4 2 2 2 2 6 2" xfId="50980"/>
    <cellStyle name="Currency 4 2 2 2 2 6 3" xfId="50981"/>
    <cellStyle name="Currency 4 2 2 2 2 7" xfId="50982"/>
    <cellStyle name="Currency 4 2 2 2 2 7 2" xfId="50983"/>
    <cellStyle name="Currency 4 2 2 2 2 7 3" xfId="50984"/>
    <cellStyle name="Currency 4 2 2 2 2 8" xfId="50985"/>
    <cellStyle name="Currency 4 2 2 2 2 8 2" xfId="50986"/>
    <cellStyle name="Currency 4 2 2 2 2 9" xfId="50987"/>
    <cellStyle name="Currency 4 2 2 2 3" xfId="50988"/>
    <cellStyle name="Currency 4 2 2 2 3 2" xfId="50989"/>
    <cellStyle name="Currency 4 2 2 2 3 2 2" xfId="50990"/>
    <cellStyle name="Currency 4 2 2 2 3 2 2 2" xfId="50991"/>
    <cellStyle name="Currency 4 2 2 2 3 2 2 3" xfId="50992"/>
    <cellStyle name="Currency 4 2 2 2 3 2 3" xfId="50993"/>
    <cellStyle name="Currency 4 2 2 2 3 2 3 2" xfId="50994"/>
    <cellStyle name="Currency 4 2 2 2 3 2 3 3" xfId="50995"/>
    <cellStyle name="Currency 4 2 2 2 3 2 4" xfId="50996"/>
    <cellStyle name="Currency 4 2 2 2 3 2 4 2" xfId="50997"/>
    <cellStyle name="Currency 4 2 2 2 3 2 5" xfId="50998"/>
    <cellStyle name="Currency 4 2 2 2 3 2 6" xfId="50999"/>
    <cellStyle name="Currency 4 2 2 2 3 3" xfId="51000"/>
    <cellStyle name="Currency 4 2 2 2 3 3 2" xfId="51001"/>
    <cellStyle name="Currency 4 2 2 2 3 3 2 2" xfId="51002"/>
    <cellStyle name="Currency 4 2 2 2 3 3 2 3" xfId="51003"/>
    <cellStyle name="Currency 4 2 2 2 3 3 3" xfId="51004"/>
    <cellStyle name="Currency 4 2 2 2 3 3 3 2" xfId="51005"/>
    <cellStyle name="Currency 4 2 2 2 3 3 3 3" xfId="51006"/>
    <cellStyle name="Currency 4 2 2 2 3 3 4" xfId="51007"/>
    <cellStyle name="Currency 4 2 2 2 3 3 4 2" xfId="51008"/>
    <cellStyle name="Currency 4 2 2 2 3 3 5" xfId="51009"/>
    <cellStyle name="Currency 4 2 2 2 3 3 6" xfId="51010"/>
    <cellStyle name="Currency 4 2 2 2 3 4" xfId="51011"/>
    <cellStyle name="Currency 4 2 2 2 3 4 2" xfId="51012"/>
    <cellStyle name="Currency 4 2 2 2 3 4 2 2" xfId="51013"/>
    <cellStyle name="Currency 4 2 2 2 3 4 2 3" xfId="51014"/>
    <cellStyle name="Currency 4 2 2 2 3 4 3" xfId="51015"/>
    <cellStyle name="Currency 4 2 2 2 3 4 3 2" xfId="51016"/>
    <cellStyle name="Currency 4 2 2 2 3 4 4" xfId="51017"/>
    <cellStyle name="Currency 4 2 2 2 3 4 5" xfId="51018"/>
    <cellStyle name="Currency 4 2 2 2 3 5" xfId="51019"/>
    <cellStyle name="Currency 4 2 2 2 3 5 2" xfId="51020"/>
    <cellStyle name="Currency 4 2 2 2 3 5 3" xfId="51021"/>
    <cellStyle name="Currency 4 2 2 2 3 6" xfId="51022"/>
    <cellStyle name="Currency 4 2 2 2 3 6 2" xfId="51023"/>
    <cellStyle name="Currency 4 2 2 2 3 6 3" xfId="51024"/>
    <cellStyle name="Currency 4 2 2 2 3 7" xfId="51025"/>
    <cellStyle name="Currency 4 2 2 2 3 7 2" xfId="51026"/>
    <cellStyle name="Currency 4 2 2 2 3 8" xfId="51027"/>
    <cellStyle name="Currency 4 2 2 2 3 9" xfId="51028"/>
    <cellStyle name="Currency 4 2 2 2 4" xfId="51029"/>
    <cellStyle name="Currency 4 2 2 2 4 2" xfId="51030"/>
    <cellStyle name="Currency 4 2 2 2 4 2 2" xfId="51031"/>
    <cellStyle name="Currency 4 2 2 2 4 2 2 2" xfId="51032"/>
    <cellStyle name="Currency 4 2 2 2 4 2 2 3" xfId="51033"/>
    <cellStyle name="Currency 4 2 2 2 4 2 3" xfId="51034"/>
    <cellStyle name="Currency 4 2 2 2 4 2 3 2" xfId="51035"/>
    <cellStyle name="Currency 4 2 2 2 4 2 3 3" xfId="51036"/>
    <cellStyle name="Currency 4 2 2 2 4 2 4" xfId="51037"/>
    <cellStyle name="Currency 4 2 2 2 4 2 4 2" xfId="51038"/>
    <cellStyle name="Currency 4 2 2 2 4 2 5" xfId="51039"/>
    <cellStyle name="Currency 4 2 2 2 4 2 6" xfId="51040"/>
    <cellStyle name="Currency 4 2 2 2 4 3" xfId="51041"/>
    <cellStyle name="Currency 4 2 2 2 4 3 2" xfId="51042"/>
    <cellStyle name="Currency 4 2 2 2 4 3 2 2" xfId="51043"/>
    <cellStyle name="Currency 4 2 2 2 4 3 2 3" xfId="51044"/>
    <cellStyle name="Currency 4 2 2 2 4 3 3" xfId="51045"/>
    <cellStyle name="Currency 4 2 2 2 4 3 3 2" xfId="51046"/>
    <cellStyle name="Currency 4 2 2 2 4 3 3 3" xfId="51047"/>
    <cellStyle name="Currency 4 2 2 2 4 3 4" xfId="51048"/>
    <cellStyle name="Currency 4 2 2 2 4 3 4 2" xfId="51049"/>
    <cellStyle name="Currency 4 2 2 2 4 3 5" xfId="51050"/>
    <cellStyle name="Currency 4 2 2 2 4 3 6" xfId="51051"/>
    <cellStyle name="Currency 4 2 2 2 4 4" xfId="51052"/>
    <cellStyle name="Currency 4 2 2 2 4 4 2" xfId="51053"/>
    <cellStyle name="Currency 4 2 2 2 4 4 2 2" xfId="51054"/>
    <cellStyle name="Currency 4 2 2 2 4 4 2 3" xfId="51055"/>
    <cellStyle name="Currency 4 2 2 2 4 4 3" xfId="51056"/>
    <cellStyle name="Currency 4 2 2 2 4 4 3 2" xfId="51057"/>
    <cellStyle name="Currency 4 2 2 2 4 4 4" xfId="51058"/>
    <cellStyle name="Currency 4 2 2 2 4 4 5" xfId="51059"/>
    <cellStyle name="Currency 4 2 2 2 4 5" xfId="51060"/>
    <cellStyle name="Currency 4 2 2 2 4 5 2" xfId="51061"/>
    <cellStyle name="Currency 4 2 2 2 4 5 3" xfId="51062"/>
    <cellStyle name="Currency 4 2 2 2 4 6" xfId="51063"/>
    <cellStyle name="Currency 4 2 2 2 4 6 2" xfId="51064"/>
    <cellStyle name="Currency 4 2 2 2 4 6 3" xfId="51065"/>
    <cellStyle name="Currency 4 2 2 2 4 7" xfId="51066"/>
    <cellStyle name="Currency 4 2 2 2 4 7 2" xfId="51067"/>
    <cellStyle name="Currency 4 2 2 2 4 8" xfId="51068"/>
    <cellStyle name="Currency 4 2 2 2 4 9" xfId="51069"/>
    <cellStyle name="Currency 4 2 2 2 5" xfId="51070"/>
    <cellStyle name="Currency 4 2 2 2 5 2" xfId="51071"/>
    <cellStyle name="Currency 4 2 2 2 5 2 2" xfId="51072"/>
    <cellStyle name="Currency 4 2 2 2 5 2 3" xfId="51073"/>
    <cellStyle name="Currency 4 2 2 2 5 3" xfId="51074"/>
    <cellStyle name="Currency 4 2 2 2 5 3 2" xfId="51075"/>
    <cellStyle name="Currency 4 2 2 2 5 3 3" xfId="51076"/>
    <cellStyle name="Currency 4 2 2 2 5 4" xfId="51077"/>
    <cellStyle name="Currency 4 2 2 2 5 4 2" xfId="51078"/>
    <cellStyle name="Currency 4 2 2 2 5 5" xfId="51079"/>
    <cellStyle name="Currency 4 2 2 2 5 6" xfId="51080"/>
    <cellStyle name="Currency 4 2 2 2 6" xfId="51081"/>
    <cellStyle name="Currency 4 2 2 2 6 2" xfId="51082"/>
    <cellStyle name="Currency 4 2 2 2 6 2 2" xfId="51083"/>
    <cellStyle name="Currency 4 2 2 2 6 2 3" xfId="51084"/>
    <cellStyle name="Currency 4 2 2 2 6 3" xfId="51085"/>
    <cellStyle name="Currency 4 2 2 2 6 3 2" xfId="51086"/>
    <cellStyle name="Currency 4 2 2 2 6 3 3" xfId="51087"/>
    <cellStyle name="Currency 4 2 2 2 6 4" xfId="51088"/>
    <cellStyle name="Currency 4 2 2 2 6 4 2" xfId="51089"/>
    <cellStyle name="Currency 4 2 2 2 6 5" xfId="51090"/>
    <cellStyle name="Currency 4 2 2 2 6 6" xfId="51091"/>
    <cellStyle name="Currency 4 2 2 2 7" xfId="51092"/>
    <cellStyle name="Currency 4 2 2 2 7 2" xfId="51093"/>
    <cellStyle name="Currency 4 2 2 2 7 2 2" xfId="51094"/>
    <cellStyle name="Currency 4 2 2 2 7 2 3" xfId="51095"/>
    <cellStyle name="Currency 4 2 2 2 7 3" xfId="51096"/>
    <cellStyle name="Currency 4 2 2 2 7 3 2" xfId="51097"/>
    <cellStyle name="Currency 4 2 2 2 7 4" xfId="51098"/>
    <cellStyle name="Currency 4 2 2 2 7 5" xfId="51099"/>
    <cellStyle name="Currency 4 2 2 2 8" xfId="51100"/>
    <cellStyle name="Currency 4 2 2 2 8 2" xfId="51101"/>
    <cellStyle name="Currency 4 2 2 2 8 3" xfId="51102"/>
    <cellStyle name="Currency 4 2 2 2 9" xfId="51103"/>
    <cellStyle name="Currency 4 2 2 2 9 2" xfId="51104"/>
    <cellStyle name="Currency 4 2 2 2 9 3" xfId="51105"/>
    <cellStyle name="Currency 4 2 2 3" xfId="9190"/>
    <cellStyle name="Currency 4 2 2 3 10" xfId="51106"/>
    <cellStyle name="Currency 4 2 2 3 2" xfId="51107"/>
    <cellStyle name="Currency 4 2 2 3 2 2" xfId="51108"/>
    <cellStyle name="Currency 4 2 2 3 2 2 2" xfId="51109"/>
    <cellStyle name="Currency 4 2 2 3 2 2 2 2" xfId="51110"/>
    <cellStyle name="Currency 4 2 2 3 2 2 2 3" xfId="51111"/>
    <cellStyle name="Currency 4 2 2 3 2 2 3" xfId="51112"/>
    <cellStyle name="Currency 4 2 2 3 2 2 3 2" xfId="51113"/>
    <cellStyle name="Currency 4 2 2 3 2 2 3 3" xfId="51114"/>
    <cellStyle name="Currency 4 2 2 3 2 2 4" xfId="51115"/>
    <cellStyle name="Currency 4 2 2 3 2 2 4 2" xfId="51116"/>
    <cellStyle name="Currency 4 2 2 3 2 2 5" xfId="51117"/>
    <cellStyle name="Currency 4 2 2 3 2 2 6" xfId="51118"/>
    <cellStyle name="Currency 4 2 2 3 2 3" xfId="51119"/>
    <cellStyle name="Currency 4 2 2 3 2 3 2" xfId="51120"/>
    <cellStyle name="Currency 4 2 2 3 2 3 2 2" xfId="51121"/>
    <cellStyle name="Currency 4 2 2 3 2 3 2 3" xfId="51122"/>
    <cellStyle name="Currency 4 2 2 3 2 3 3" xfId="51123"/>
    <cellStyle name="Currency 4 2 2 3 2 3 3 2" xfId="51124"/>
    <cellStyle name="Currency 4 2 2 3 2 3 3 3" xfId="51125"/>
    <cellStyle name="Currency 4 2 2 3 2 3 4" xfId="51126"/>
    <cellStyle name="Currency 4 2 2 3 2 3 4 2" xfId="51127"/>
    <cellStyle name="Currency 4 2 2 3 2 3 5" xfId="51128"/>
    <cellStyle name="Currency 4 2 2 3 2 3 6" xfId="51129"/>
    <cellStyle name="Currency 4 2 2 3 2 4" xfId="51130"/>
    <cellStyle name="Currency 4 2 2 3 2 4 2" xfId="51131"/>
    <cellStyle name="Currency 4 2 2 3 2 4 2 2" xfId="51132"/>
    <cellStyle name="Currency 4 2 2 3 2 4 2 3" xfId="51133"/>
    <cellStyle name="Currency 4 2 2 3 2 4 3" xfId="51134"/>
    <cellStyle name="Currency 4 2 2 3 2 4 3 2" xfId="51135"/>
    <cellStyle name="Currency 4 2 2 3 2 4 4" xfId="51136"/>
    <cellStyle name="Currency 4 2 2 3 2 4 5" xfId="51137"/>
    <cellStyle name="Currency 4 2 2 3 2 5" xfId="51138"/>
    <cellStyle name="Currency 4 2 2 3 2 5 2" xfId="51139"/>
    <cellStyle name="Currency 4 2 2 3 2 5 3" xfId="51140"/>
    <cellStyle name="Currency 4 2 2 3 2 6" xfId="51141"/>
    <cellStyle name="Currency 4 2 2 3 2 6 2" xfId="51142"/>
    <cellStyle name="Currency 4 2 2 3 2 6 3" xfId="51143"/>
    <cellStyle name="Currency 4 2 2 3 2 7" xfId="51144"/>
    <cellStyle name="Currency 4 2 2 3 2 7 2" xfId="51145"/>
    <cellStyle name="Currency 4 2 2 3 2 8" xfId="51146"/>
    <cellStyle name="Currency 4 2 2 3 2 9" xfId="51147"/>
    <cellStyle name="Currency 4 2 2 3 3" xfId="51148"/>
    <cellStyle name="Currency 4 2 2 3 3 2" xfId="51149"/>
    <cellStyle name="Currency 4 2 2 3 3 2 2" xfId="51150"/>
    <cellStyle name="Currency 4 2 2 3 3 2 3" xfId="51151"/>
    <cellStyle name="Currency 4 2 2 3 3 3" xfId="51152"/>
    <cellStyle name="Currency 4 2 2 3 3 3 2" xfId="51153"/>
    <cellStyle name="Currency 4 2 2 3 3 3 3" xfId="51154"/>
    <cellStyle name="Currency 4 2 2 3 3 4" xfId="51155"/>
    <cellStyle name="Currency 4 2 2 3 3 4 2" xfId="51156"/>
    <cellStyle name="Currency 4 2 2 3 3 5" xfId="51157"/>
    <cellStyle name="Currency 4 2 2 3 3 6" xfId="51158"/>
    <cellStyle name="Currency 4 2 2 3 4" xfId="51159"/>
    <cellStyle name="Currency 4 2 2 3 4 2" xfId="51160"/>
    <cellStyle name="Currency 4 2 2 3 4 2 2" xfId="51161"/>
    <cellStyle name="Currency 4 2 2 3 4 2 3" xfId="51162"/>
    <cellStyle name="Currency 4 2 2 3 4 3" xfId="51163"/>
    <cellStyle name="Currency 4 2 2 3 4 3 2" xfId="51164"/>
    <cellStyle name="Currency 4 2 2 3 4 3 3" xfId="51165"/>
    <cellStyle name="Currency 4 2 2 3 4 4" xfId="51166"/>
    <cellStyle name="Currency 4 2 2 3 4 4 2" xfId="51167"/>
    <cellStyle name="Currency 4 2 2 3 4 5" xfId="51168"/>
    <cellStyle name="Currency 4 2 2 3 4 6" xfId="51169"/>
    <cellStyle name="Currency 4 2 2 3 5" xfId="51170"/>
    <cellStyle name="Currency 4 2 2 3 5 2" xfId="51171"/>
    <cellStyle name="Currency 4 2 2 3 5 2 2" xfId="51172"/>
    <cellStyle name="Currency 4 2 2 3 5 2 3" xfId="51173"/>
    <cellStyle name="Currency 4 2 2 3 5 3" xfId="51174"/>
    <cellStyle name="Currency 4 2 2 3 5 3 2" xfId="51175"/>
    <cellStyle name="Currency 4 2 2 3 5 4" xfId="51176"/>
    <cellStyle name="Currency 4 2 2 3 5 5" xfId="51177"/>
    <cellStyle name="Currency 4 2 2 3 6" xfId="51178"/>
    <cellStyle name="Currency 4 2 2 3 6 2" xfId="51179"/>
    <cellStyle name="Currency 4 2 2 3 6 3" xfId="51180"/>
    <cellStyle name="Currency 4 2 2 3 7" xfId="51181"/>
    <cellStyle name="Currency 4 2 2 3 7 2" xfId="51182"/>
    <cellStyle name="Currency 4 2 2 3 7 3" xfId="51183"/>
    <cellStyle name="Currency 4 2 2 3 8" xfId="51184"/>
    <cellStyle name="Currency 4 2 2 3 8 2" xfId="51185"/>
    <cellStyle name="Currency 4 2 2 3 9" xfId="51186"/>
    <cellStyle name="Currency 4 2 2 4" xfId="51187"/>
    <cellStyle name="Currency 4 2 2 4 2" xfId="51188"/>
    <cellStyle name="Currency 4 2 2 4 2 2" xfId="51189"/>
    <cellStyle name="Currency 4 2 2 4 2 2 2" xfId="51190"/>
    <cellStyle name="Currency 4 2 2 4 2 2 3" xfId="51191"/>
    <cellStyle name="Currency 4 2 2 4 2 3" xfId="51192"/>
    <cellStyle name="Currency 4 2 2 4 2 3 2" xfId="51193"/>
    <cellStyle name="Currency 4 2 2 4 2 3 3" xfId="51194"/>
    <cellStyle name="Currency 4 2 2 4 2 4" xfId="51195"/>
    <cellStyle name="Currency 4 2 2 4 2 4 2" xfId="51196"/>
    <cellStyle name="Currency 4 2 2 4 2 5" xfId="51197"/>
    <cellStyle name="Currency 4 2 2 4 2 6" xfId="51198"/>
    <cellStyle name="Currency 4 2 2 4 3" xfId="51199"/>
    <cellStyle name="Currency 4 2 2 4 3 2" xfId="51200"/>
    <cellStyle name="Currency 4 2 2 4 3 2 2" xfId="51201"/>
    <cellStyle name="Currency 4 2 2 4 3 2 3" xfId="51202"/>
    <cellStyle name="Currency 4 2 2 4 3 3" xfId="51203"/>
    <cellStyle name="Currency 4 2 2 4 3 3 2" xfId="51204"/>
    <cellStyle name="Currency 4 2 2 4 3 3 3" xfId="51205"/>
    <cellStyle name="Currency 4 2 2 4 3 4" xfId="51206"/>
    <cellStyle name="Currency 4 2 2 4 3 4 2" xfId="51207"/>
    <cellStyle name="Currency 4 2 2 4 3 5" xfId="51208"/>
    <cellStyle name="Currency 4 2 2 4 3 6" xfId="51209"/>
    <cellStyle name="Currency 4 2 2 4 4" xfId="51210"/>
    <cellStyle name="Currency 4 2 2 4 4 2" xfId="51211"/>
    <cellStyle name="Currency 4 2 2 4 4 2 2" xfId="51212"/>
    <cellStyle name="Currency 4 2 2 4 4 2 3" xfId="51213"/>
    <cellStyle name="Currency 4 2 2 4 4 3" xfId="51214"/>
    <cellStyle name="Currency 4 2 2 4 4 3 2" xfId="51215"/>
    <cellStyle name="Currency 4 2 2 4 4 4" xfId="51216"/>
    <cellStyle name="Currency 4 2 2 4 4 5" xfId="51217"/>
    <cellStyle name="Currency 4 2 2 4 5" xfId="51218"/>
    <cellStyle name="Currency 4 2 2 4 5 2" xfId="51219"/>
    <cellStyle name="Currency 4 2 2 4 5 3" xfId="51220"/>
    <cellStyle name="Currency 4 2 2 4 6" xfId="51221"/>
    <cellStyle name="Currency 4 2 2 4 6 2" xfId="51222"/>
    <cellStyle name="Currency 4 2 2 4 6 3" xfId="51223"/>
    <cellStyle name="Currency 4 2 2 4 7" xfId="51224"/>
    <cellStyle name="Currency 4 2 2 4 7 2" xfId="51225"/>
    <cellStyle name="Currency 4 2 2 4 8" xfId="51226"/>
    <cellStyle name="Currency 4 2 2 4 9" xfId="51227"/>
    <cellStyle name="Currency 4 2 2 5" xfId="51228"/>
    <cellStyle name="Currency 4 2 2 5 2" xfId="51229"/>
    <cellStyle name="Currency 4 2 2 5 2 2" xfId="51230"/>
    <cellStyle name="Currency 4 2 2 5 2 2 2" xfId="51231"/>
    <cellStyle name="Currency 4 2 2 5 2 2 3" xfId="51232"/>
    <cellStyle name="Currency 4 2 2 5 2 3" xfId="51233"/>
    <cellStyle name="Currency 4 2 2 5 2 3 2" xfId="51234"/>
    <cellStyle name="Currency 4 2 2 5 2 3 3" xfId="51235"/>
    <cellStyle name="Currency 4 2 2 5 2 4" xfId="51236"/>
    <cellStyle name="Currency 4 2 2 5 2 4 2" xfId="51237"/>
    <cellStyle name="Currency 4 2 2 5 2 5" xfId="51238"/>
    <cellStyle name="Currency 4 2 2 5 2 6" xfId="51239"/>
    <cellStyle name="Currency 4 2 2 5 3" xfId="51240"/>
    <cellStyle name="Currency 4 2 2 5 3 2" xfId="51241"/>
    <cellStyle name="Currency 4 2 2 5 3 2 2" xfId="51242"/>
    <cellStyle name="Currency 4 2 2 5 3 2 3" xfId="51243"/>
    <cellStyle name="Currency 4 2 2 5 3 3" xfId="51244"/>
    <cellStyle name="Currency 4 2 2 5 3 3 2" xfId="51245"/>
    <cellStyle name="Currency 4 2 2 5 3 3 3" xfId="51246"/>
    <cellStyle name="Currency 4 2 2 5 3 4" xfId="51247"/>
    <cellStyle name="Currency 4 2 2 5 3 4 2" xfId="51248"/>
    <cellStyle name="Currency 4 2 2 5 3 5" xfId="51249"/>
    <cellStyle name="Currency 4 2 2 5 3 6" xfId="51250"/>
    <cellStyle name="Currency 4 2 2 5 4" xfId="51251"/>
    <cellStyle name="Currency 4 2 2 5 4 2" xfId="51252"/>
    <cellStyle name="Currency 4 2 2 5 4 2 2" xfId="51253"/>
    <cellStyle name="Currency 4 2 2 5 4 2 3" xfId="51254"/>
    <cellStyle name="Currency 4 2 2 5 4 3" xfId="51255"/>
    <cellStyle name="Currency 4 2 2 5 4 3 2" xfId="51256"/>
    <cellStyle name="Currency 4 2 2 5 4 4" xfId="51257"/>
    <cellStyle name="Currency 4 2 2 5 4 5" xfId="51258"/>
    <cellStyle name="Currency 4 2 2 5 5" xfId="51259"/>
    <cellStyle name="Currency 4 2 2 5 5 2" xfId="51260"/>
    <cellStyle name="Currency 4 2 2 5 5 3" xfId="51261"/>
    <cellStyle name="Currency 4 2 2 5 6" xfId="51262"/>
    <cellStyle name="Currency 4 2 2 5 6 2" xfId="51263"/>
    <cellStyle name="Currency 4 2 2 5 6 3" xfId="51264"/>
    <cellStyle name="Currency 4 2 2 5 7" xfId="51265"/>
    <cellStyle name="Currency 4 2 2 5 7 2" xfId="51266"/>
    <cellStyle name="Currency 4 2 2 5 8" xfId="51267"/>
    <cellStyle name="Currency 4 2 2 5 9" xfId="51268"/>
    <cellStyle name="Currency 4 2 2 6" xfId="51269"/>
    <cellStyle name="Currency 4 2 2 6 2" xfId="51270"/>
    <cellStyle name="Currency 4 2 2 6 2 2" xfId="51271"/>
    <cellStyle name="Currency 4 2 2 6 2 3" xfId="51272"/>
    <cellStyle name="Currency 4 2 2 6 3" xfId="51273"/>
    <cellStyle name="Currency 4 2 2 6 3 2" xfId="51274"/>
    <cellStyle name="Currency 4 2 2 6 3 3" xfId="51275"/>
    <cellStyle name="Currency 4 2 2 6 4" xfId="51276"/>
    <cellStyle name="Currency 4 2 2 6 4 2" xfId="51277"/>
    <cellStyle name="Currency 4 2 2 6 5" xfId="51278"/>
    <cellStyle name="Currency 4 2 2 6 6" xfId="51279"/>
    <cellStyle name="Currency 4 2 2 7" xfId="51280"/>
    <cellStyle name="Currency 4 2 2 7 2" xfId="51281"/>
    <cellStyle name="Currency 4 2 2 7 2 2" xfId="51282"/>
    <cellStyle name="Currency 4 2 2 7 2 3" xfId="51283"/>
    <cellStyle name="Currency 4 2 2 7 3" xfId="51284"/>
    <cellStyle name="Currency 4 2 2 7 3 2" xfId="51285"/>
    <cellStyle name="Currency 4 2 2 7 3 3" xfId="51286"/>
    <cellStyle name="Currency 4 2 2 7 4" xfId="51287"/>
    <cellStyle name="Currency 4 2 2 7 4 2" xfId="51288"/>
    <cellStyle name="Currency 4 2 2 7 5" xfId="51289"/>
    <cellStyle name="Currency 4 2 2 7 6" xfId="51290"/>
    <cellStyle name="Currency 4 2 2 8" xfId="51291"/>
    <cellStyle name="Currency 4 2 2 8 2" xfId="51292"/>
    <cellStyle name="Currency 4 2 2 8 2 2" xfId="51293"/>
    <cellStyle name="Currency 4 2 2 8 2 3" xfId="51294"/>
    <cellStyle name="Currency 4 2 2 8 3" xfId="51295"/>
    <cellStyle name="Currency 4 2 2 8 3 2" xfId="51296"/>
    <cellStyle name="Currency 4 2 2 8 4" xfId="51297"/>
    <cellStyle name="Currency 4 2 2 8 5" xfId="51298"/>
    <cellStyle name="Currency 4 2 2 9" xfId="51299"/>
    <cellStyle name="Currency 4 2 2 9 2" xfId="51300"/>
    <cellStyle name="Currency 4 2 2 9 3" xfId="51301"/>
    <cellStyle name="Currency 4 2 3" xfId="3901"/>
    <cellStyle name="Currency 4 2 3 10" xfId="51302"/>
    <cellStyle name="Currency 4 2 3 10 2" xfId="51303"/>
    <cellStyle name="Currency 4 2 3 11" xfId="51304"/>
    <cellStyle name="Currency 4 2 3 12" xfId="51305"/>
    <cellStyle name="Currency 4 2 3 2" xfId="9191"/>
    <cellStyle name="Currency 4 2 3 2 10" xfId="51306"/>
    <cellStyle name="Currency 4 2 3 2 2" xfId="51307"/>
    <cellStyle name="Currency 4 2 3 2 2 2" xfId="51308"/>
    <cellStyle name="Currency 4 2 3 2 2 2 2" xfId="51309"/>
    <cellStyle name="Currency 4 2 3 2 2 2 2 2" xfId="51310"/>
    <cellStyle name="Currency 4 2 3 2 2 2 2 3" xfId="51311"/>
    <cellStyle name="Currency 4 2 3 2 2 2 3" xfId="51312"/>
    <cellStyle name="Currency 4 2 3 2 2 2 3 2" xfId="51313"/>
    <cellStyle name="Currency 4 2 3 2 2 2 3 3" xfId="51314"/>
    <cellStyle name="Currency 4 2 3 2 2 2 4" xfId="51315"/>
    <cellStyle name="Currency 4 2 3 2 2 2 4 2" xfId="51316"/>
    <cellStyle name="Currency 4 2 3 2 2 2 5" xfId="51317"/>
    <cellStyle name="Currency 4 2 3 2 2 2 6" xfId="51318"/>
    <cellStyle name="Currency 4 2 3 2 2 3" xfId="51319"/>
    <cellStyle name="Currency 4 2 3 2 2 3 2" xfId="51320"/>
    <cellStyle name="Currency 4 2 3 2 2 3 2 2" xfId="51321"/>
    <cellStyle name="Currency 4 2 3 2 2 3 2 3" xfId="51322"/>
    <cellStyle name="Currency 4 2 3 2 2 3 3" xfId="51323"/>
    <cellStyle name="Currency 4 2 3 2 2 3 3 2" xfId="51324"/>
    <cellStyle name="Currency 4 2 3 2 2 3 3 3" xfId="51325"/>
    <cellStyle name="Currency 4 2 3 2 2 3 4" xfId="51326"/>
    <cellStyle name="Currency 4 2 3 2 2 3 4 2" xfId="51327"/>
    <cellStyle name="Currency 4 2 3 2 2 3 5" xfId="51328"/>
    <cellStyle name="Currency 4 2 3 2 2 3 6" xfId="51329"/>
    <cellStyle name="Currency 4 2 3 2 2 4" xfId="51330"/>
    <cellStyle name="Currency 4 2 3 2 2 4 2" xfId="51331"/>
    <cellStyle name="Currency 4 2 3 2 2 4 2 2" xfId="51332"/>
    <cellStyle name="Currency 4 2 3 2 2 4 2 3" xfId="51333"/>
    <cellStyle name="Currency 4 2 3 2 2 4 3" xfId="51334"/>
    <cellStyle name="Currency 4 2 3 2 2 4 3 2" xfId="51335"/>
    <cellStyle name="Currency 4 2 3 2 2 4 4" xfId="51336"/>
    <cellStyle name="Currency 4 2 3 2 2 4 5" xfId="51337"/>
    <cellStyle name="Currency 4 2 3 2 2 5" xfId="51338"/>
    <cellStyle name="Currency 4 2 3 2 2 5 2" xfId="51339"/>
    <cellStyle name="Currency 4 2 3 2 2 5 3" xfId="51340"/>
    <cellStyle name="Currency 4 2 3 2 2 6" xfId="51341"/>
    <cellStyle name="Currency 4 2 3 2 2 6 2" xfId="51342"/>
    <cellStyle name="Currency 4 2 3 2 2 6 3" xfId="51343"/>
    <cellStyle name="Currency 4 2 3 2 2 7" xfId="51344"/>
    <cellStyle name="Currency 4 2 3 2 2 7 2" xfId="51345"/>
    <cellStyle name="Currency 4 2 3 2 2 8" xfId="51346"/>
    <cellStyle name="Currency 4 2 3 2 2 9" xfId="51347"/>
    <cellStyle name="Currency 4 2 3 2 3" xfId="51348"/>
    <cellStyle name="Currency 4 2 3 2 3 2" xfId="51349"/>
    <cellStyle name="Currency 4 2 3 2 3 2 2" xfId="51350"/>
    <cellStyle name="Currency 4 2 3 2 3 2 3" xfId="51351"/>
    <cellStyle name="Currency 4 2 3 2 3 3" xfId="51352"/>
    <cellStyle name="Currency 4 2 3 2 3 3 2" xfId="51353"/>
    <cellStyle name="Currency 4 2 3 2 3 3 3" xfId="51354"/>
    <cellStyle name="Currency 4 2 3 2 3 4" xfId="51355"/>
    <cellStyle name="Currency 4 2 3 2 3 4 2" xfId="51356"/>
    <cellStyle name="Currency 4 2 3 2 3 5" xfId="51357"/>
    <cellStyle name="Currency 4 2 3 2 3 6" xfId="51358"/>
    <cellStyle name="Currency 4 2 3 2 4" xfId="51359"/>
    <cellStyle name="Currency 4 2 3 2 4 2" xfId="51360"/>
    <cellStyle name="Currency 4 2 3 2 4 2 2" xfId="51361"/>
    <cellStyle name="Currency 4 2 3 2 4 2 3" xfId="51362"/>
    <cellStyle name="Currency 4 2 3 2 4 3" xfId="51363"/>
    <cellStyle name="Currency 4 2 3 2 4 3 2" xfId="51364"/>
    <cellStyle name="Currency 4 2 3 2 4 3 3" xfId="51365"/>
    <cellStyle name="Currency 4 2 3 2 4 4" xfId="51366"/>
    <cellStyle name="Currency 4 2 3 2 4 4 2" xfId="51367"/>
    <cellStyle name="Currency 4 2 3 2 4 5" xfId="51368"/>
    <cellStyle name="Currency 4 2 3 2 4 6" xfId="51369"/>
    <cellStyle name="Currency 4 2 3 2 5" xfId="51370"/>
    <cellStyle name="Currency 4 2 3 2 5 2" xfId="51371"/>
    <cellStyle name="Currency 4 2 3 2 5 2 2" xfId="51372"/>
    <cellStyle name="Currency 4 2 3 2 5 2 3" xfId="51373"/>
    <cellStyle name="Currency 4 2 3 2 5 3" xfId="51374"/>
    <cellStyle name="Currency 4 2 3 2 5 3 2" xfId="51375"/>
    <cellStyle name="Currency 4 2 3 2 5 4" xfId="51376"/>
    <cellStyle name="Currency 4 2 3 2 5 5" xfId="51377"/>
    <cellStyle name="Currency 4 2 3 2 6" xfId="51378"/>
    <cellStyle name="Currency 4 2 3 2 6 2" xfId="51379"/>
    <cellStyle name="Currency 4 2 3 2 6 3" xfId="51380"/>
    <cellStyle name="Currency 4 2 3 2 7" xfId="51381"/>
    <cellStyle name="Currency 4 2 3 2 7 2" xfId="51382"/>
    <cellStyle name="Currency 4 2 3 2 7 3" xfId="51383"/>
    <cellStyle name="Currency 4 2 3 2 8" xfId="51384"/>
    <cellStyle name="Currency 4 2 3 2 8 2" xfId="51385"/>
    <cellStyle name="Currency 4 2 3 2 9" xfId="51386"/>
    <cellStyle name="Currency 4 2 3 3" xfId="51387"/>
    <cellStyle name="Currency 4 2 3 3 2" xfId="51388"/>
    <cellStyle name="Currency 4 2 3 3 2 2" xfId="51389"/>
    <cellStyle name="Currency 4 2 3 3 2 2 2" xfId="51390"/>
    <cellStyle name="Currency 4 2 3 3 2 2 3" xfId="51391"/>
    <cellStyle name="Currency 4 2 3 3 2 3" xfId="51392"/>
    <cellStyle name="Currency 4 2 3 3 2 3 2" xfId="51393"/>
    <cellStyle name="Currency 4 2 3 3 2 3 3" xfId="51394"/>
    <cellStyle name="Currency 4 2 3 3 2 4" xfId="51395"/>
    <cellStyle name="Currency 4 2 3 3 2 4 2" xfId="51396"/>
    <cellStyle name="Currency 4 2 3 3 2 5" xfId="51397"/>
    <cellStyle name="Currency 4 2 3 3 2 6" xfId="51398"/>
    <cellStyle name="Currency 4 2 3 3 3" xfId="51399"/>
    <cellStyle name="Currency 4 2 3 3 3 2" xfId="51400"/>
    <cellStyle name="Currency 4 2 3 3 3 2 2" xfId="51401"/>
    <cellStyle name="Currency 4 2 3 3 3 2 3" xfId="51402"/>
    <cellStyle name="Currency 4 2 3 3 3 3" xfId="51403"/>
    <cellStyle name="Currency 4 2 3 3 3 3 2" xfId="51404"/>
    <cellStyle name="Currency 4 2 3 3 3 3 3" xfId="51405"/>
    <cellStyle name="Currency 4 2 3 3 3 4" xfId="51406"/>
    <cellStyle name="Currency 4 2 3 3 3 4 2" xfId="51407"/>
    <cellStyle name="Currency 4 2 3 3 3 5" xfId="51408"/>
    <cellStyle name="Currency 4 2 3 3 3 6" xfId="51409"/>
    <cellStyle name="Currency 4 2 3 3 4" xfId="51410"/>
    <cellStyle name="Currency 4 2 3 3 4 2" xfId="51411"/>
    <cellStyle name="Currency 4 2 3 3 4 2 2" xfId="51412"/>
    <cellStyle name="Currency 4 2 3 3 4 2 3" xfId="51413"/>
    <cellStyle name="Currency 4 2 3 3 4 3" xfId="51414"/>
    <cellStyle name="Currency 4 2 3 3 4 3 2" xfId="51415"/>
    <cellStyle name="Currency 4 2 3 3 4 4" xfId="51416"/>
    <cellStyle name="Currency 4 2 3 3 4 5" xfId="51417"/>
    <cellStyle name="Currency 4 2 3 3 5" xfId="51418"/>
    <cellStyle name="Currency 4 2 3 3 5 2" xfId="51419"/>
    <cellStyle name="Currency 4 2 3 3 5 3" xfId="51420"/>
    <cellStyle name="Currency 4 2 3 3 6" xfId="51421"/>
    <cellStyle name="Currency 4 2 3 3 6 2" xfId="51422"/>
    <cellStyle name="Currency 4 2 3 3 6 3" xfId="51423"/>
    <cellStyle name="Currency 4 2 3 3 7" xfId="51424"/>
    <cellStyle name="Currency 4 2 3 3 7 2" xfId="51425"/>
    <cellStyle name="Currency 4 2 3 3 8" xfId="51426"/>
    <cellStyle name="Currency 4 2 3 3 9" xfId="51427"/>
    <cellStyle name="Currency 4 2 3 4" xfId="51428"/>
    <cellStyle name="Currency 4 2 3 4 2" xfId="51429"/>
    <cellStyle name="Currency 4 2 3 4 2 2" xfId="51430"/>
    <cellStyle name="Currency 4 2 3 4 2 2 2" xfId="51431"/>
    <cellStyle name="Currency 4 2 3 4 2 2 3" xfId="51432"/>
    <cellStyle name="Currency 4 2 3 4 2 3" xfId="51433"/>
    <cellStyle name="Currency 4 2 3 4 2 3 2" xfId="51434"/>
    <cellStyle name="Currency 4 2 3 4 2 3 3" xfId="51435"/>
    <cellStyle name="Currency 4 2 3 4 2 4" xfId="51436"/>
    <cellStyle name="Currency 4 2 3 4 2 4 2" xfId="51437"/>
    <cellStyle name="Currency 4 2 3 4 2 5" xfId="51438"/>
    <cellStyle name="Currency 4 2 3 4 2 6" xfId="51439"/>
    <cellStyle name="Currency 4 2 3 4 3" xfId="51440"/>
    <cellStyle name="Currency 4 2 3 4 3 2" xfId="51441"/>
    <cellStyle name="Currency 4 2 3 4 3 2 2" xfId="51442"/>
    <cellStyle name="Currency 4 2 3 4 3 2 3" xfId="51443"/>
    <cellStyle name="Currency 4 2 3 4 3 3" xfId="51444"/>
    <cellStyle name="Currency 4 2 3 4 3 3 2" xfId="51445"/>
    <cellStyle name="Currency 4 2 3 4 3 3 3" xfId="51446"/>
    <cellStyle name="Currency 4 2 3 4 3 4" xfId="51447"/>
    <cellStyle name="Currency 4 2 3 4 3 4 2" xfId="51448"/>
    <cellStyle name="Currency 4 2 3 4 3 5" xfId="51449"/>
    <cellStyle name="Currency 4 2 3 4 3 6" xfId="51450"/>
    <cellStyle name="Currency 4 2 3 4 4" xfId="51451"/>
    <cellStyle name="Currency 4 2 3 4 4 2" xfId="51452"/>
    <cellStyle name="Currency 4 2 3 4 4 2 2" xfId="51453"/>
    <cellStyle name="Currency 4 2 3 4 4 2 3" xfId="51454"/>
    <cellStyle name="Currency 4 2 3 4 4 3" xfId="51455"/>
    <cellStyle name="Currency 4 2 3 4 4 3 2" xfId="51456"/>
    <cellStyle name="Currency 4 2 3 4 4 4" xfId="51457"/>
    <cellStyle name="Currency 4 2 3 4 4 5" xfId="51458"/>
    <cellStyle name="Currency 4 2 3 4 5" xfId="51459"/>
    <cellStyle name="Currency 4 2 3 4 5 2" xfId="51460"/>
    <cellStyle name="Currency 4 2 3 4 5 3" xfId="51461"/>
    <cellStyle name="Currency 4 2 3 4 6" xfId="51462"/>
    <cellStyle name="Currency 4 2 3 4 6 2" xfId="51463"/>
    <cellStyle name="Currency 4 2 3 4 6 3" xfId="51464"/>
    <cellStyle name="Currency 4 2 3 4 7" xfId="51465"/>
    <cellStyle name="Currency 4 2 3 4 7 2" xfId="51466"/>
    <cellStyle name="Currency 4 2 3 4 8" xfId="51467"/>
    <cellStyle name="Currency 4 2 3 4 9" xfId="51468"/>
    <cellStyle name="Currency 4 2 3 5" xfId="51469"/>
    <cellStyle name="Currency 4 2 3 5 2" xfId="51470"/>
    <cellStyle name="Currency 4 2 3 5 2 2" xfId="51471"/>
    <cellStyle name="Currency 4 2 3 5 2 3" xfId="51472"/>
    <cellStyle name="Currency 4 2 3 5 3" xfId="51473"/>
    <cellStyle name="Currency 4 2 3 5 3 2" xfId="51474"/>
    <cellStyle name="Currency 4 2 3 5 3 3" xfId="51475"/>
    <cellStyle name="Currency 4 2 3 5 4" xfId="51476"/>
    <cellStyle name="Currency 4 2 3 5 4 2" xfId="51477"/>
    <cellStyle name="Currency 4 2 3 5 5" xfId="51478"/>
    <cellStyle name="Currency 4 2 3 5 6" xfId="51479"/>
    <cellStyle name="Currency 4 2 3 6" xfId="51480"/>
    <cellStyle name="Currency 4 2 3 6 2" xfId="51481"/>
    <cellStyle name="Currency 4 2 3 6 2 2" xfId="51482"/>
    <cellStyle name="Currency 4 2 3 6 2 3" xfId="51483"/>
    <cellStyle name="Currency 4 2 3 6 3" xfId="51484"/>
    <cellStyle name="Currency 4 2 3 6 3 2" xfId="51485"/>
    <cellStyle name="Currency 4 2 3 6 3 3" xfId="51486"/>
    <cellStyle name="Currency 4 2 3 6 4" xfId="51487"/>
    <cellStyle name="Currency 4 2 3 6 4 2" xfId="51488"/>
    <cellStyle name="Currency 4 2 3 6 5" xfId="51489"/>
    <cellStyle name="Currency 4 2 3 6 6" xfId="51490"/>
    <cellStyle name="Currency 4 2 3 7" xfId="51491"/>
    <cellStyle name="Currency 4 2 3 7 2" xfId="51492"/>
    <cellStyle name="Currency 4 2 3 7 2 2" xfId="51493"/>
    <cellStyle name="Currency 4 2 3 7 2 3" xfId="51494"/>
    <cellStyle name="Currency 4 2 3 7 3" xfId="51495"/>
    <cellStyle name="Currency 4 2 3 7 3 2" xfId="51496"/>
    <cellStyle name="Currency 4 2 3 7 4" xfId="51497"/>
    <cellStyle name="Currency 4 2 3 7 5" xfId="51498"/>
    <cellStyle name="Currency 4 2 3 8" xfId="51499"/>
    <cellStyle name="Currency 4 2 3 8 2" xfId="51500"/>
    <cellStyle name="Currency 4 2 3 8 3" xfId="51501"/>
    <cellStyle name="Currency 4 2 3 9" xfId="51502"/>
    <cellStyle name="Currency 4 2 3 9 2" xfId="51503"/>
    <cellStyle name="Currency 4 2 3 9 3" xfId="51504"/>
    <cellStyle name="Currency 4 2 4" xfId="9192"/>
    <cellStyle name="Currency 4 2 4 10" xfId="51505"/>
    <cellStyle name="Currency 4 2 4 2" xfId="51506"/>
    <cellStyle name="Currency 4 2 4 2 2" xfId="51507"/>
    <cellStyle name="Currency 4 2 4 2 2 2" xfId="51508"/>
    <cellStyle name="Currency 4 2 4 2 2 2 2" xfId="51509"/>
    <cellStyle name="Currency 4 2 4 2 2 2 3" xfId="51510"/>
    <cellStyle name="Currency 4 2 4 2 2 3" xfId="51511"/>
    <cellStyle name="Currency 4 2 4 2 2 3 2" xfId="51512"/>
    <cellStyle name="Currency 4 2 4 2 2 3 3" xfId="51513"/>
    <cellStyle name="Currency 4 2 4 2 2 4" xfId="51514"/>
    <cellStyle name="Currency 4 2 4 2 2 4 2" xfId="51515"/>
    <cellStyle name="Currency 4 2 4 2 2 5" xfId="51516"/>
    <cellStyle name="Currency 4 2 4 2 2 6" xfId="51517"/>
    <cellStyle name="Currency 4 2 4 2 3" xfId="51518"/>
    <cellStyle name="Currency 4 2 4 2 3 2" xfId="51519"/>
    <cellStyle name="Currency 4 2 4 2 3 2 2" xfId="51520"/>
    <cellStyle name="Currency 4 2 4 2 3 2 3" xfId="51521"/>
    <cellStyle name="Currency 4 2 4 2 3 3" xfId="51522"/>
    <cellStyle name="Currency 4 2 4 2 3 3 2" xfId="51523"/>
    <cellStyle name="Currency 4 2 4 2 3 3 3" xfId="51524"/>
    <cellStyle name="Currency 4 2 4 2 3 4" xfId="51525"/>
    <cellStyle name="Currency 4 2 4 2 3 4 2" xfId="51526"/>
    <cellStyle name="Currency 4 2 4 2 3 5" xfId="51527"/>
    <cellStyle name="Currency 4 2 4 2 3 6" xfId="51528"/>
    <cellStyle name="Currency 4 2 4 2 4" xfId="51529"/>
    <cellStyle name="Currency 4 2 4 2 4 2" xfId="51530"/>
    <cellStyle name="Currency 4 2 4 2 4 2 2" xfId="51531"/>
    <cellStyle name="Currency 4 2 4 2 4 2 3" xfId="51532"/>
    <cellStyle name="Currency 4 2 4 2 4 3" xfId="51533"/>
    <cellStyle name="Currency 4 2 4 2 4 3 2" xfId="51534"/>
    <cellStyle name="Currency 4 2 4 2 4 4" xfId="51535"/>
    <cellStyle name="Currency 4 2 4 2 4 5" xfId="51536"/>
    <cellStyle name="Currency 4 2 4 2 5" xfId="51537"/>
    <cellStyle name="Currency 4 2 4 2 5 2" xfId="51538"/>
    <cellStyle name="Currency 4 2 4 2 5 3" xfId="51539"/>
    <cellStyle name="Currency 4 2 4 2 6" xfId="51540"/>
    <cellStyle name="Currency 4 2 4 2 6 2" xfId="51541"/>
    <cellStyle name="Currency 4 2 4 2 6 3" xfId="51542"/>
    <cellStyle name="Currency 4 2 4 2 7" xfId="51543"/>
    <cellStyle name="Currency 4 2 4 2 7 2" xfId="51544"/>
    <cellStyle name="Currency 4 2 4 2 8" xfId="51545"/>
    <cellStyle name="Currency 4 2 4 2 9" xfId="51546"/>
    <cellStyle name="Currency 4 2 4 3" xfId="51547"/>
    <cellStyle name="Currency 4 2 4 3 2" xfId="51548"/>
    <cellStyle name="Currency 4 2 4 3 2 2" xfId="51549"/>
    <cellStyle name="Currency 4 2 4 3 2 3" xfId="51550"/>
    <cellStyle name="Currency 4 2 4 3 3" xfId="51551"/>
    <cellStyle name="Currency 4 2 4 3 3 2" xfId="51552"/>
    <cellStyle name="Currency 4 2 4 3 3 3" xfId="51553"/>
    <cellStyle name="Currency 4 2 4 3 4" xfId="51554"/>
    <cellStyle name="Currency 4 2 4 3 4 2" xfId="51555"/>
    <cellStyle name="Currency 4 2 4 3 5" xfId="51556"/>
    <cellStyle name="Currency 4 2 4 3 6" xfId="51557"/>
    <cellStyle name="Currency 4 2 4 4" xfId="51558"/>
    <cellStyle name="Currency 4 2 4 4 2" xfId="51559"/>
    <cellStyle name="Currency 4 2 4 4 2 2" xfId="51560"/>
    <cellStyle name="Currency 4 2 4 4 2 3" xfId="51561"/>
    <cellStyle name="Currency 4 2 4 4 3" xfId="51562"/>
    <cellStyle name="Currency 4 2 4 4 3 2" xfId="51563"/>
    <cellStyle name="Currency 4 2 4 4 3 3" xfId="51564"/>
    <cellStyle name="Currency 4 2 4 4 4" xfId="51565"/>
    <cellStyle name="Currency 4 2 4 4 4 2" xfId="51566"/>
    <cellStyle name="Currency 4 2 4 4 5" xfId="51567"/>
    <cellStyle name="Currency 4 2 4 4 6" xfId="51568"/>
    <cellStyle name="Currency 4 2 4 5" xfId="51569"/>
    <cellStyle name="Currency 4 2 4 5 2" xfId="51570"/>
    <cellStyle name="Currency 4 2 4 5 2 2" xfId="51571"/>
    <cellStyle name="Currency 4 2 4 5 2 3" xfId="51572"/>
    <cellStyle name="Currency 4 2 4 5 3" xfId="51573"/>
    <cellStyle name="Currency 4 2 4 5 3 2" xfId="51574"/>
    <cellStyle name="Currency 4 2 4 5 4" xfId="51575"/>
    <cellStyle name="Currency 4 2 4 5 5" xfId="51576"/>
    <cellStyle name="Currency 4 2 4 6" xfId="51577"/>
    <cellStyle name="Currency 4 2 4 6 2" xfId="51578"/>
    <cellStyle name="Currency 4 2 4 6 3" xfId="51579"/>
    <cellStyle name="Currency 4 2 4 7" xfId="51580"/>
    <cellStyle name="Currency 4 2 4 7 2" xfId="51581"/>
    <cellStyle name="Currency 4 2 4 7 3" xfId="51582"/>
    <cellStyle name="Currency 4 2 4 8" xfId="51583"/>
    <cellStyle name="Currency 4 2 4 8 2" xfId="51584"/>
    <cellStyle name="Currency 4 2 4 9" xfId="51585"/>
    <cellStyle name="Currency 4 2 5" xfId="51586"/>
    <cellStyle name="Currency 4 2 5 2" xfId="51587"/>
    <cellStyle name="Currency 4 2 5 2 2" xfId="51588"/>
    <cellStyle name="Currency 4 2 5 2 2 2" xfId="51589"/>
    <cellStyle name="Currency 4 2 5 2 2 3" xfId="51590"/>
    <cellStyle name="Currency 4 2 5 2 3" xfId="51591"/>
    <cellStyle name="Currency 4 2 5 2 3 2" xfId="51592"/>
    <cellStyle name="Currency 4 2 5 2 3 3" xfId="51593"/>
    <cellStyle name="Currency 4 2 5 2 4" xfId="51594"/>
    <cellStyle name="Currency 4 2 5 2 4 2" xfId="51595"/>
    <cellStyle name="Currency 4 2 5 2 5" xfId="51596"/>
    <cellStyle name="Currency 4 2 5 2 6" xfId="51597"/>
    <cellStyle name="Currency 4 2 5 3" xfId="51598"/>
    <cellStyle name="Currency 4 2 5 3 2" xfId="51599"/>
    <cellStyle name="Currency 4 2 5 3 2 2" xfId="51600"/>
    <cellStyle name="Currency 4 2 5 3 2 3" xfId="51601"/>
    <cellStyle name="Currency 4 2 5 3 3" xfId="51602"/>
    <cellStyle name="Currency 4 2 5 3 3 2" xfId="51603"/>
    <cellStyle name="Currency 4 2 5 3 3 3" xfId="51604"/>
    <cellStyle name="Currency 4 2 5 3 4" xfId="51605"/>
    <cellStyle name="Currency 4 2 5 3 4 2" xfId="51606"/>
    <cellStyle name="Currency 4 2 5 3 5" xfId="51607"/>
    <cellStyle name="Currency 4 2 5 3 6" xfId="51608"/>
    <cellStyle name="Currency 4 2 5 4" xfId="51609"/>
    <cellStyle name="Currency 4 2 5 4 2" xfId="51610"/>
    <cellStyle name="Currency 4 2 5 4 2 2" xfId="51611"/>
    <cellStyle name="Currency 4 2 5 4 2 3" xfId="51612"/>
    <cellStyle name="Currency 4 2 5 4 3" xfId="51613"/>
    <cellStyle name="Currency 4 2 5 4 3 2" xfId="51614"/>
    <cellStyle name="Currency 4 2 5 4 4" xfId="51615"/>
    <cellStyle name="Currency 4 2 5 4 5" xfId="51616"/>
    <cellStyle name="Currency 4 2 5 5" xfId="51617"/>
    <cellStyle name="Currency 4 2 5 5 2" xfId="51618"/>
    <cellStyle name="Currency 4 2 5 5 3" xfId="51619"/>
    <cellStyle name="Currency 4 2 5 6" xfId="51620"/>
    <cellStyle name="Currency 4 2 5 6 2" xfId="51621"/>
    <cellStyle name="Currency 4 2 5 6 3" xfId="51622"/>
    <cellStyle name="Currency 4 2 5 7" xfId="51623"/>
    <cellStyle name="Currency 4 2 5 7 2" xfId="51624"/>
    <cellStyle name="Currency 4 2 5 8" xfId="51625"/>
    <cellStyle name="Currency 4 2 5 9" xfId="51626"/>
    <cellStyle name="Currency 4 2 6" xfId="51627"/>
    <cellStyle name="Currency 4 2 6 2" xfId="51628"/>
    <cellStyle name="Currency 4 2 6 2 2" xfId="51629"/>
    <cellStyle name="Currency 4 2 6 2 2 2" xfId="51630"/>
    <cellStyle name="Currency 4 2 6 2 2 3" xfId="51631"/>
    <cellStyle name="Currency 4 2 6 2 3" xfId="51632"/>
    <cellStyle name="Currency 4 2 6 2 3 2" xfId="51633"/>
    <cellStyle name="Currency 4 2 6 2 3 3" xfId="51634"/>
    <cellStyle name="Currency 4 2 6 2 4" xfId="51635"/>
    <cellStyle name="Currency 4 2 6 2 4 2" xfId="51636"/>
    <cellStyle name="Currency 4 2 6 2 5" xfId="51637"/>
    <cellStyle name="Currency 4 2 6 2 6" xfId="51638"/>
    <cellStyle name="Currency 4 2 6 3" xfId="51639"/>
    <cellStyle name="Currency 4 2 6 3 2" xfId="51640"/>
    <cellStyle name="Currency 4 2 6 3 2 2" xfId="51641"/>
    <cellStyle name="Currency 4 2 6 3 2 3" xfId="51642"/>
    <cellStyle name="Currency 4 2 6 3 3" xfId="51643"/>
    <cellStyle name="Currency 4 2 6 3 3 2" xfId="51644"/>
    <cellStyle name="Currency 4 2 6 3 3 3" xfId="51645"/>
    <cellStyle name="Currency 4 2 6 3 4" xfId="51646"/>
    <cellStyle name="Currency 4 2 6 3 4 2" xfId="51647"/>
    <cellStyle name="Currency 4 2 6 3 5" xfId="51648"/>
    <cellStyle name="Currency 4 2 6 3 6" xfId="51649"/>
    <cellStyle name="Currency 4 2 6 4" xfId="51650"/>
    <cellStyle name="Currency 4 2 6 4 2" xfId="51651"/>
    <cellStyle name="Currency 4 2 6 4 2 2" xfId="51652"/>
    <cellStyle name="Currency 4 2 6 4 2 3" xfId="51653"/>
    <cellStyle name="Currency 4 2 6 4 3" xfId="51654"/>
    <cellStyle name="Currency 4 2 6 4 3 2" xfId="51655"/>
    <cellStyle name="Currency 4 2 6 4 4" xfId="51656"/>
    <cellStyle name="Currency 4 2 6 4 5" xfId="51657"/>
    <cellStyle name="Currency 4 2 6 5" xfId="51658"/>
    <cellStyle name="Currency 4 2 6 5 2" xfId="51659"/>
    <cellStyle name="Currency 4 2 6 5 3" xfId="51660"/>
    <cellStyle name="Currency 4 2 6 6" xfId="51661"/>
    <cellStyle name="Currency 4 2 6 6 2" xfId="51662"/>
    <cellStyle name="Currency 4 2 6 6 3" xfId="51663"/>
    <cellStyle name="Currency 4 2 6 7" xfId="51664"/>
    <cellStyle name="Currency 4 2 6 7 2" xfId="51665"/>
    <cellStyle name="Currency 4 2 6 8" xfId="51666"/>
    <cellStyle name="Currency 4 2 6 9" xfId="51667"/>
    <cellStyle name="Currency 4 2 7" xfId="51668"/>
    <cellStyle name="Currency 4 2 7 2" xfId="51669"/>
    <cellStyle name="Currency 4 2 7 2 2" xfId="51670"/>
    <cellStyle name="Currency 4 2 7 2 3" xfId="51671"/>
    <cellStyle name="Currency 4 2 7 3" xfId="51672"/>
    <cellStyle name="Currency 4 2 7 3 2" xfId="51673"/>
    <cellStyle name="Currency 4 2 7 3 3" xfId="51674"/>
    <cellStyle name="Currency 4 2 7 4" xfId="51675"/>
    <cellStyle name="Currency 4 2 7 4 2" xfId="51676"/>
    <cellStyle name="Currency 4 2 7 5" xfId="51677"/>
    <cellStyle name="Currency 4 2 7 6" xfId="51678"/>
    <cellStyle name="Currency 4 2 8" xfId="51679"/>
    <cellStyle name="Currency 4 2 8 2" xfId="51680"/>
    <cellStyle name="Currency 4 2 8 2 2" xfId="51681"/>
    <cellStyle name="Currency 4 2 8 2 3" xfId="51682"/>
    <cellStyle name="Currency 4 2 8 3" xfId="51683"/>
    <cellStyle name="Currency 4 2 8 3 2" xfId="51684"/>
    <cellStyle name="Currency 4 2 8 3 3" xfId="51685"/>
    <cellStyle name="Currency 4 2 8 4" xfId="51686"/>
    <cellStyle name="Currency 4 2 8 4 2" xfId="51687"/>
    <cellStyle name="Currency 4 2 8 5" xfId="51688"/>
    <cellStyle name="Currency 4 2 8 6" xfId="51689"/>
    <cellStyle name="Currency 4 2 9" xfId="51690"/>
    <cellStyle name="Currency 4 2 9 2" xfId="51691"/>
    <cellStyle name="Currency 4 2 9 2 2" xfId="51692"/>
    <cellStyle name="Currency 4 2 9 2 3" xfId="51693"/>
    <cellStyle name="Currency 4 2 9 3" xfId="51694"/>
    <cellStyle name="Currency 4 2 9 3 2" xfId="51695"/>
    <cellStyle name="Currency 4 2 9 4" xfId="51696"/>
    <cellStyle name="Currency 4 2 9 5" xfId="51697"/>
    <cellStyle name="Currency 4 3" xfId="3902"/>
    <cellStyle name="Currency 4 3 10" xfId="51698"/>
    <cellStyle name="Currency 4 3 10 2" xfId="51699"/>
    <cellStyle name="Currency 4 3 10 3" xfId="51700"/>
    <cellStyle name="Currency 4 3 11" xfId="51701"/>
    <cellStyle name="Currency 4 3 11 2" xfId="51702"/>
    <cellStyle name="Currency 4 3 12" xfId="51703"/>
    <cellStyle name="Currency 4 3 13" xfId="51704"/>
    <cellStyle name="Currency 4 3 14" xfId="51705"/>
    <cellStyle name="Currency 4 3 2" xfId="9193"/>
    <cellStyle name="Currency 4 3 2 10" xfId="51706"/>
    <cellStyle name="Currency 4 3 2 10 2" xfId="51707"/>
    <cellStyle name="Currency 4 3 2 11" xfId="51708"/>
    <cellStyle name="Currency 4 3 2 12" xfId="51709"/>
    <cellStyle name="Currency 4 3 2 2" xfId="51710"/>
    <cellStyle name="Currency 4 3 2 2 10" xfId="51711"/>
    <cellStyle name="Currency 4 3 2 2 2" xfId="51712"/>
    <cellStyle name="Currency 4 3 2 2 2 2" xfId="51713"/>
    <cellStyle name="Currency 4 3 2 2 2 2 2" xfId="51714"/>
    <cellStyle name="Currency 4 3 2 2 2 2 2 2" xfId="51715"/>
    <cellStyle name="Currency 4 3 2 2 2 2 2 3" xfId="51716"/>
    <cellStyle name="Currency 4 3 2 2 2 2 3" xfId="51717"/>
    <cellStyle name="Currency 4 3 2 2 2 2 3 2" xfId="51718"/>
    <cellStyle name="Currency 4 3 2 2 2 2 3 3" xfId="51719"/>
    <cellStyle name="Currency 4 3 2 2 2 2 4" xfId="51720"/>
    <cellStyle name="Currency 4 3 2 2 2 2 4 2" xfId="51721"/>
    <cellStyle name="Currency 4 3 2 2 2 2 5" xfId="51722"/>
    <cellStyle name="Currency 4 3 2 2 2 2 6" xfId="51723"/>
    <cellStyle name="Currency 4 3 2 2 2 3" xfId="51724"/>
    <cellStyle name="Currency 4 3 2 2 2 3 2" xfId="51725"/>
    <cellStyle name="Currency 4 3 2 2 2 3 2 2" xfId="51726"/>
    <cellStyle name="Currency 4 3 2 2 2 3 2 3" xfId="51727"/>
    <cellStyle name="Currency 4 3 2 2 2 3 3" xfId="51728"/>
    <cellStyle name="Currency 4 3 2 2 2 3 3 2" xfId="51729"/>
    <cellStyle name="Currency 4 3 2 2 2 3 3 3" xfId="51730"/>
    <cellStyle name="Currency 4 3 2 2 2 3 4" xfId="51731"/>
    <cellStyle name="Currency 4 3 2 2 2 3 4 2" xfId="51732"/>
    <cellStyle name="Currency 4 3 2 2 2 3 5" xfId="51733"/>
    <cellStyle name="Currency 4 3 2 2 2 3 6" xfId="51734"/>
    <cellStyle name="Currency 4 3 2 2 2 4" xfId="51735"/>
    <cellStyle name="Currency 4 3 2 2 2 4 2" xfId="51736"/>
    <cellStyle name="Currency 4 3 2 2 2 4 2 2" xfId="51737"/>
    <cellStyle name="Currency 4 3 2 2 2 4 2 3" xfId="51738"/>
    <cellStyle name="Currency 4 3 2 2 2 4 3" xfId="51739"/>
    <cellStyle name="Currency 4 3 2 2 2 4 3 2" xfId="51740"/>
    <cellStyle name="Currency 4 3 2 2 2 4 4" xfId="51741"/>
    <cellStyle name="Currency 4 3 2 2 2 4 5" xfId="51742"/>
    <cellStyle name="Currency 4 3 2 2 2 5" xfId="51743"/>
    <cellStyle name="Currency 4 3 2 2 2 5 2" xfId="51744"/>
    <cellStyle name="Currency 4 3 2 2 2 5 3" xfId="51745"/>
    <cellStyle name="Currency 4 3 2 2 2 6" xfId="51746"/>
    <cellStyle name="Currency 4 3 2 2 2 6 2" xfId="51747"/>
    <cellStyle name="Currency 4 3 2 2 2 6 3" xfId="51748"/>
    <cellStyle name="Currency 4 3 2 2 2 7" xfId="51749"/>
    <cellStyle name="Currency 4 3 2 2 2 7 2" xfId="51750"/>
    <cellStyle name="Currency 4 3 2 2 2 8" xfId="51751"/>
    <cellStyle name="Currency 4 3 2 2 2 9" xfId="51752"/>
    <cellStyle name="Currency 4 3 2 2 3" xfId="51753"/>
    <cellStyle name="Currency 4 3 2 2 3 2" xfId="51754"/>
    <cellStyle name="Currency 4 3 2 2 3 2 2" xfId="51755"/>
    <cellStyle name="Currency 4 3 2 2 3 2 3" xfId="51756"/>
    <cellStyle name="Currency 4 3 2 2 3 3" xfId="51757"/>
    <cellStyle name="Currency 4 3 2 2 3 3 2" xfId="51758"/>
    <cellStyle name="Currency 4 3 2 2 3 3 3" xfId="51759"/>
    <cellStyle name="Currency 4 3 2 2 3 4" xfId="51760"/>
    <cellStyle name="Currency 4 3 2 2 3 4 2" xfId="51761"/>
    <cellStyle name="Currency 4 3 2 2 3 5" xfId="51762"/>
    <cellStyle name="Currency 4 3 2 2 3 6" xfId="51763"/>
    <cellStyle name="Currency 4 3 2 2 4" xfId="51764"/>
    <cellStyle name="Currency 4 3 2 2 4 2" xfId="51765"/>
    <cellStyle name="Currency 4 3 2 2 4 2 2" xfId="51766"/>
    <cellStyle name="Currency 4 3 2 2 4 2 3" xfId="51767"/>
    <cellStyle name="Currency 4 3 2 2 4 3" xfId="51768"/>
    <cellStyle name="Currency 4 3 2 2 4 3 2" xfId="51769"/>
    <cellStyle name="Currency 4 3 2 2 4 3 3" xfId="51770"/>
    <cellStyle name="Currency 4 3 2 2 4 4" xfId="51771"/>
    <cellStyle name="Currency 4 3 2 2 4 4 2" xfId="51772"/>
    <cellStyle name="Currency 4 3 2 2 4 5" xfId="51773"/>
    <cellStyle name="Currency 4 3 2 2 4 6" xfId="51774"/>
    <cellStyle name="Currency 4 3 2 2 5" xfId="51775"/>
    <cellStyle name="Currency 4 3 2 2 5 2" xfId="51776"/>
    <cellStyle name="Currency 4 3 2 2 5 2 2" xfId="51777"/>
    <cellStyle name="Currency 4 3 2 2 5 2 3" xfId="51778"/>
    <cellStyle name="Currency 4 3 2 2 5 3" xfId="51779"/>
    <cellStyle name="Currency 4 3 2 2 5 3 2" xfId="51780"/>
    <cellStyle name="Currency 4 3 2 2 5 4" xfId="51781"/>
    <cellStyle name="Currency 4 3 2 2 5 5" xfId="51782"/>
    <cellStyle name="Currency 4 3 2 2 6" xfId="51783"/>
    <cellStyle name="Currency 4 3 2 2 6 2" xfId="51784"/>
    <cellStyle name="Currency 4 3 2 2 6 3" xfId="51785"/>
    <cellStyle name="Currency 4 3 2 2 7" xfId="51786"/>
    <cellStyle name="Currency 4 3 2 2 7 2" xfId="51787"/>
    <cellStyle name="Currency 4 3 2 2 7 3" xfId="51788"/>
    <cellStyle name="Currency 4 3 2 2 8" xfId="51789"/>
    <cellStyle name="Currency 4 3 2 2 8 2" xfId="51790"/>
    <cellStyle name="Currency 4 3 2 2 9" xfId="51791"/>
    <cellStyle name="Currency 4 3 2 3" xfId="51792"/>
    <cellStyle name="Currency 4 3 2 3 2" xfId="51793"/>
    <cellStyle name="Currency 4 3 2 3 2 2" xfId="51794"/>
    <cellStyle name="Currency 4 3 2 3 2 2 2" xfId="51795"/>
    <cellStyle name="Currency 4 3 2 3 2 2 3" xfId="51796"/>
    <cellStyle name="Currency 4 3 2 3 2 3" xfId="51797"/>
    <cellStyle name="Currency 4 3 2 3 2 3 2" xfId="51798"/>
    <cellStyle name="Currency 4 3 2 3 2 3 3" xfId="51799"/>
    <cellStyle name="Currency 4 3 2 3 2 4" xfId="51800"/>
    <cellStyle name="Currency 4 3 2 3 2 4 2" xfId="51801"/>
    <cellStyle name="Currency 4 3 2 3 2 5" xfId="51802"/>
    <cellStyle name="Currency 4 3 2 3 2 6" xfId="51803"/>
    <cellStyle name="Currency 4 3 2 3 3" xfId="51804"/>
    <cellStyle name="Currency 4 3 2 3 3 2" xfId="51805"/>
    <cellStyle name="Currency 4 3 2 3 3 2 2" xfId="51806"/>
    <cellStyle name="Currency 4 3 2 3 3 2 3" xfId="51807"/>
    <cellStyle name="Currency 4 3 2 3 3 3" xfId="51808"/>
    <cellStyle name="Currency 4 3 2 3 3 3 2" xfId="51809"/>
    <cellStyle name="Currency 4 3 2 3 3 3 3" xfId="51810"/>
    <cellStyle name="Currency 4 3 2 3 3 4" xfId="51811"/>
    <cellStyle name="Currency 4 3 2 3 3 4 2" xfId="51812"/>
    <cellStyle name="Currency 4 3 2 3 3 5" xfId="51813"/>
    <cellStyle name="Currency 4 3 2 3 3 6" xfId="51814"/>
    <cellStyle name="Currency 4 3 2 3 4" xfId="51815"/>
    <cellStyle name="Currency 4 3 2 3 4 2" xfId="51816"/>
    <cellStyle name="Currency 4 3 2 3 4 2 2" xfId="51817"/>
    <cellStyle name="Currency 4 3 2 3 4 2 3" xfId="51818"/>
    <cellStyle name="Currency 4 3 2 3 4 3" xfId="51819"/>
    <cellStyle name="Currency 4 3 2 3 4 3 2" xfId="51820"/>
    <cellStyle name="Currency 4 3 2 3 4 4" xfId="51821"/>
    <cellStyle name="Currency 4 3 2 3 4 5" xfId="51822"/>
    <cellStyle name="Currency 4 3 2 3 5" xfId="51823"/>
    <cellStyle name="Currency 4 3 2 3 5 2" xfId="51824"/>
    <cellStyle name="Currency 4 3 2 3 5 3" xfId="51825"/>
    <cellStyle name="Currency 4 3 2 3 6" xfId="51826"/>
    <cellStyle name="Currency 4 3 2 3 6 2" xfId="51827"/>
    <cellStyle name="Currency 4 3 2 3 6 3" xfId="51828"/>
    <cellStyle name="Currency 4 3 2 3 7" xfId="51829"/>
    <cellStyle name="Currency 4 3 2 3 7 2" xfId="51830"/>
    <cellStyle name="Currency 4 3 2 3 8" xfId="51831"/>
    <cellStyle name="Currency 4 3 2 3 9" xfId="51832"/>
    <cellStyle name="Currency 4 3 2 4" xfId="51833"/>
    <cellStyle name="Currency 4 3 2 4 2" xfId="51834"/>
    <cellStyle name="Currency 4 3 2 4 2 2" xfId="51835"/>
    <cellStyle name="Currency 4 3 2 4 2 2 2" xfId="51836"/>
    <cellStyle name="Currency 4 3 2 4 2 2 3" xfId="51837"/>
    <cellStyle name="Currency 4 3 2 4 2 3" xfId="51838"/>
    <cellStyle name="Currency 4 3 2 4 2 3 2" xfId="51839"/>
    <cellStyle name="Currency 4 3 2 4 2 3 3" xfId="51840"/>
    <cellStyle name="Currency 4 3 2 4 2 4" xfId="51841"/>
    <cellStyle name="Currency 4 3 2 4 2 4 2" xfId="51842"/>
    <cellStyle name="Currency 4 3 2 4 2 5" xfId="51843"/>
    <cellStyle name="Currency 4 3 2 4 2 6" xfId="51844"/>
    <cellStyle name="Currency 4 3 2 4 3" xfId="51845"/>
    <cellStyle name="Currency 4 3 2 4 3 2" xfId="51846"/>
    <cellStyle name="Currency 4 3 2 4 3 2 2" xfId="51847"/>
    <cellStyle name="Currency 4 3 2 4 3 2 3" xfId="51848"/>
    <cellStyle name="Currency 4 3 2 4 3 3" xfId="51849"/>
    <cellStyle name="Currency 4 3 2 4 3 3 2" xfId="51850"/>
    <cellStyle name="Currency 4 3 2 4 3 3 3" xfId="51851"/>
    <cellStyle name="Currency 4 3 2 4 3 4" xfId="51852"/>
    <cellStyle name="Currency 4 3 2 4 3 4 2" xfId="51853"/>
    <cellStyle name="Currency 4 3 2 4 3 5" xfId="51854"/>
    <cellStyle name="Currency 4 3 2 4 3 6" xfId="51855"/>
    <cellStyle name="Currency 4 3 2 4 4" xfId="51856"/>
    <cellStyle name="Currency 4 3 2 4 4 2" xfId="51857"/>
    <cellStyle name="Currency 4 3 2 4 4 2 2" xfId="51858"/>
    <cellStyle name="Currency 4 3 2 4 4 2 3" xfId="51859"/>
    <cellStyle name="Currency 4 3 2 4 4 3" xfId="51860"/>
    <cellStyle name="Currency 4 3 2 4 4 3 2" xfId="51861"/>
    <cellStyle name="Currency 4 3 2 4 4 4" xfId="51862"/>
    <cellStyle name="Currency 4 3 2 4 4 5" xfId="51863"/>
    <cellStyle name="Currency 4 3 2 4 5" xfId="51864"/>
    <cellStyle name="Currency 4 3 2 4 5 2" xfId="51865"/>
    <cellStyle name="Currency 4 3 2 4 5 3" xfId="51866"/>
    <cellStyle name="Currency 4 3 2 4 6" xfId="51867"/>
    <cellStyle name="Currency 4 3 2 4 6 2" xfId="51868"/>
    <cellStyle name="Currency 4 3 2 4 6 3" xfId="51869"/>
    <cellStyle name="Currency 4 3 2 4 7" xfId="51870"/>
    <cellStyle name="Currency 4 3 2 4 7 2" xfId="51871"/>
    <cellStyle name="Currency 4 3 2 4 8" xfId="51872"/>
    <cellStyle name="Currency 4 3 2 4 9" xfId="51873"/>
    <cellStyle name="Currency 4 3 2 5" xfId="51874"/>
    <cellStyle name="Currency 4 3 2 5 2" xfId="51875"/>
    <cellStyle name="Currency 4 3 2 5 2 2" xfId="51876"/>
    <cellStyle name="Currency 4 3 2 5 2 3" xfId="51877"/>
    <cellStyle name="Currency 4 3 2 5 3" xfId="51878"/>
    <cellStyle name="Currency 4 3 2 5 3 2" xfId="51879"/>
    <cellStyle name="Currency 4 3 2 5 3 3" xfId="51880"/>
    <cellStyle name="Currency 4 3 2 5 4" xfId="51881"/>
    <cellStyle name="Currency 4 3 2 5 4 2" xfId="51882"/>
    <cellStyle name="Currency 4 3 2 5 5" xfId="51883"/>
    <cellStyle name="Currency 4 3 2 5 6" xfId="51884"/>
    <cellStyle name="Currency 4 3 2 6" xfId="51885"/>
    <cellStyle name="Currency 4 3 2 6 2" xfId="51886"/>
    <cellStyle name="Currency 4 3 2 6 2 2" xfId="51887"/>
    <cellStyle name="Currency 4 3 2 6 2 3" xfId="51888"/>
    <cellStyle name="Currency 4 3 2 6 3" xfId="51889"/>
    <cellStyle name="Currency 4 3 2 6 3 2" xfId="51890"/>
    <cellStyle name="Currency 4 3 2 6 3 3" xfId="51891"/>
    <cellStyle name="Currency 4 3 2 6 4" xfId="51892"/>
    <cellStyle name="Currency 4 3 2 6 4 2" xfId="51893"/>
    <cellStyle name="Currency 4 3 2 6 5" xfId="51894"/>
    <cellStyle name="Currency 4 3 2 6 6" xfId="51895"/>
    <cellStyle name="Currency 4 3 2 7" xfId="51896"/>
    <cellStyle name="Currency 4 3 2 7 2" xfId="51897"/>
    <cellStyle name="Currency 4 3 2 7 2 2" xfId="51898"/>
    <cellStyle name="Currency 4 3 2 7 2 3" xfId="51899"/>
    <cellStyle name="Currency 4 3 2 7 3" xfId="51900"/>
    <cellStyle name="Currency 4 3 2 7 3 2" xfId="51901"/>
    <cellStyle name="Currency 4 3 2 7 4" xfId="51902"/>
    <cellStyle name="Currency 4 3 2 7 5" xfId="51903"/>
    <cellStyle name="Currency 4 3 2 8" xfId="51904"/>
    <cellStyle name="Currency 4 3 2 8 2" xfId="51905"/>
    <cellStyle name="Currency 4 3 2 8 3" xfId="51906"/>
    <cellStyle name="Currency 4 3 2 9" xfId="51907"/>
    <cellStyle name="Currency 4 3 2 9 2" xfId="51908"/>
    <cellStyle name="Currency 4 3 2 9 3" xfId="51909"/>
    <cellStyle name="Currency 4 3 3" xfId="9194"/>
    <cellStyle name="Currency 4 3 3 10" xfId="51910"/>
    <cellStyle name="Currency 4 3 3 2" xfId="51911"/>
    <cellStyle name="Currency 4 3 3 2 2" xfId="51912"/>
    <cellStyle name="Currency 4 3 3 2 2 2" xfId="51913"/>
    <cellStyle name="Currency 4 3 3 2 2 2 2" xfId="51914"/>
    <cellStyle name="Currency 4 3 3 2 2 2 3" xfId="51915"/>
    <cellStyle name="Currency 4 3 3 2 2 3" xfId="51916"/>
    <cellStyle name="Currency 4 3 3 2 2 3 2" xfId="51917"/>
    <cellStyle name="Currency 4 3 3 2 2 3 3" xfId="51918"/>
    <cellStyle name="Currency 4 3 3 2 2 4" xfId="51919"/>
    <cellStyle name="Currency 4 3 3 2 2 4 2" xfId="51920"/>
    <cellStyle name="Currency 4 3 3 2 2 5" xfId="51921"/>
    <cellStyle name="Currency 4 3 3 2 2 6" xfId="51922"/>
    <cellStyle name="Currency 4 3 3 2 3" xfId="51923"/>
    <cellStyle name="Currency 4 3 3 2 3 2" xfId="51924"/>
    <cellStyle name="Currency 4 3 3 2 3 2 2" xfId="51925"/>
    <cellStyle name="Currency 4 3 3 2 3 2 3" xfId="51926"/>
    <cellStyle name="Currency 4 3 3 2 3 3" xfId="51927"/>
    <cellStyle name="Currency 4 3 3 2 3 3 2" xfId="51928"/>
    <cellStyle name="Currency 4 3 3 2 3 3 3" xfId="51929"/>
    <cellStyle name="Currency 4 3 3 2 3 4" xfId="51930"/>
    <cellStyle name="Currency 4 3 3 2 3 4 2" xfId="51931"/>
    <cellStyle name="Currency 4 3 3 2 3 5" xfId="51932"/>
    <cellStyle name="Currency 4 3 3 2 3 6" xfId="51933"/>
    <cellStyle name="Currency 4 3 3 2 4" xfId="51934"/>
    <cellStyle name="Currency 4 3 3 2 4 2" xfId="51935"/>
    <cellStyle name="Currency 4 3 3 2 4 2 2" xfId="51936"/>
    <cellStyle name="Currency 4 3 3 2 4 2 3" xfId="51937"/>
    <cellStyle name="Currency 4 3 3 2 4 3" xfId="51938"/>
    <cellStyle name="Currency 4 3 3 2 4 3 2" xfId="51939"/>
    <cellStyle name="Currency 4 3 3 2 4 4" xfId="51940"/>
    <cellStyle name="Currency 4 3 3 2 4 5" xfId="51941"/>
    <cellStyle name="Currency 4 3 3 2 5" xfId="51942"/>
    <cellStyle name="Currency 4 3 3 2 5 2" xfId="51943"/>
    <cellStyle name="Currency 4 3 3 2 5 3" xfId="51944"/>
    <cellStyle name="Currency 4 3 3 2 6" xfId="51945"/>
    <cellStyle name="Currency 4 3 3 2 6 2" xfId="51946"/>
    <cellStyle name="Currency 4 3 3 2 6 3" xfId="51947"/>
    <cellStyle name="Currency 4 3 3 2 7" xfId="51948"/>
    <cellStyle name="Currency 4 3 3 2 7 2" xfId="51949"/>
    <cellStyle name="Currency 4 3 3 2 8" xfId="51950"/>
    <cellStyle name="Currency 4 3 3 2 9" xfId="51951"/>
    <cellStyle name="Currency 4 3 3 3" xfId="51952"/>
    <cellStyle name="Currency 4 3 3 3 2" xfId="51953"/>
    <cellStyle name="Currency 4 3 3 3 2 2" xfId="51954"/>
    <cellStyle name="Currency 4 3 3 3 2 3" xfId="51955"/>
    <cellStyle name="Currency 4 3 3 3 3" xfId="51956"/>
    <cellStyle name="Currency 4 3 3 3 3 2" xfId="51957"/>
    <cellStyle name="Currency 4 3 3 3 3 3" xfId="51958"/>
    <cellStyle name="Currency 4 3 3 3 4" xfId="51959"/>
    <cellStyle name="Currency 4 3 3 3 4 2" xfId="51960"/>
    <cellStyle name="Currency 4 3 3 3 5" xfId="51961"/>
    <cellStyle name="Currency 4 3 3 3 6" xfId="51962"/>
    <cellStyle name="Currency 4 3 3 4" xfId="51963"/>
    <cellStyle name="Currency 4 3 3 4 2" xfId="51964"/>
    <cellStyle name="Currency 4 3 3 4 2 2" xfId="51965"/>
    <cellStyle name="Currency 4 3 3 4 2 3" xfId="51966"/>
    <cellStyle name="Currency 4 3 3 4 3" xfId="51967"/>
    <cellStyle name="Currency 4 3 3 4 3 2" xfId="51968"/>
    <cellStyle name="Currency 4 3 3 4 3 3" xfId="51969"/>
    <cellStyle name="Currency 4 3 3 4 4" xfId="51970"/>
    <cellStyle name="Currency 4 3 3 4 4 2" xfId="51971"/>
    <cellStyle name="Currency 4 3 3 4 5" xfId="51972"/>
    <cellStyle name="Currency 4 3 3 4 6" xfId="51973"/>
    <cellStyle name="Currency 4 3 3 5" xfId="51974"/>
    <cellStyle name="Currency 4 3 3 5 2" xfId="51975"/>
    <cellStyle name="Currency 4 3 3 5 2 2" xfId="51976"/>
    <cellStyle name="Currency 4 3 3 5 2 3" xfId="51977"/>
    <cellStyle name="Currency 4 3 3 5 3" xfId="51978"/>
    <cellStyle name="Currency 4 3 3 5 3 2" xfId="51979"/>
    <cellStyle name="Currency 4 3 3 5 4" xfId="51980"/>
    <cellStyle name="Currency 4 3 3 5 5" xfId="51981"/>
    <cellStyle name="Currency 4 3 3 6" xfId="51982"/>
    <cellStyle name="Currency 4 3 3 6 2" xfId="51983"/>
    <cellStyle name="Currency 4 3 3 6 3" xfId="51984"/>
    <cellStyle name="Currency 4 3 3 7" xfId="51985"/>
    <cellStyle name="Currency 4 3 3 7 2" xfId="51986"/>
    <cellStyle name="Currency 4 3 3 7 3" xfId="51987"/>
    <cellStyle name="Currency 4 3 3 8" xfId="51988"/>
    <cellStyle name="Currency 4 3 3 8 2" xfId="51989"/>
    <cellStyle name="Currency 4 3 3 9" xfId="51990"/>
    <cellStyle name="Currency 4 3 4" xfId="51991"/>
    <cellStyle name="Currency 4 3 4 2" xfId="51992"/>
    <cellStyle name="Currency 4 3 4 2 2" xfId="51993"/>
    <cellStyle name="Currency 4 3 4 2 2 2" xfId="51994"/>
    <cellStyle name="Currency 4 3 4 2 2 3" xfId="51995"/>
    <cellStyle name="Currency 4 3 4 2 3" xfId="51996"/>
    <cellStyle name="Currency 4 3 4 2 3 2" xfId="51997"/>
    <cellStyle name="Currency 4 3 4 2 3 3" xfId="51998"/>
    <cellStyle name="Currency 4 3 4 2 4" xfId="51999"/>
    <cellStyle name="Currency 4 3 4 2 4 2" xfId="52000"/>
    <cellStyle name="Currency 4 3 4 2 5" xfId="52001"/>
    <cellStyle name="Currency 4 3 4 2 6" xfId="52002"/>
    <cellStyle name="Currency 4 3 4 3" xfId="52003"/>
    <cellStyle name="Currency 4 3 4 3 2" xfId="52004"/>
    <cellStyle name="Currency 4 3 4 3 2 2" xfId="52005"/>
    <cellStyle name="Currency 4 3 4 3 2 3" xfId="52006"/>
    <cellStyle name="Currency 4 3 4 3 3" xfId="52007"/>
    <cellStyle name="Currency 4 3 4 3 3 2" xfId="52008"/>
    <cellStyle name="Currency 4 3 4 3 3 3" xfId="52009"/>
    <cellStyle name="Currency 4 3 4 3 4" xfId="52010"/>
    <cellStyle name="Currency 4 3 4 3 4 2" xfId="52011"/>
    <cellStyle name="Currency 4 3 4 3 5" xfId="52012"/>
    <cellStyle name="Currency 4 3 4 3 6" xfId="52013"/>
    <cellStyle name="Currency 4 3 4 4" xfId="52014"/>
    <cellStyle name="Currency 4 3 4 4 2" xfId="52015"/>
    <cellStyle name="Currency 4 3 4 4 2 2" xfId="52016"/>
    <cellStyle name="Currency 4 3 4 4 2 3" xfId="52017"/>
    <cellStyle name="Currency 4 3 4 4 3" xfId="52018"/>
    <cellStyle name="Currency 4 3 4 4 3 2" xfId="52019"/>
    <cellStyle name="Currency 4 3 4 4 4" xfId="52020"/>
    <cellStyle name="Currency 4 3 4 4 5" xfId="52021"/>
    <cellStyle name="Currency 4 3 4 5" xfId="52022"/>
    <cellStyle name="Currency 4 3 4 5 2" xfId="52023"/>
    <cellStyle name="Currency 4 3 4 5 3" xfId="52024"/>
    <cellStyle name="Currency 4 3 4 6" xfId="52025"/>
    <cellStyle name="Currency 4 3 4 6 2" xfId="52026"/>
    <cellStyle name="Currency 4 3 4 6 3" xfId="52027"/>
    <cellStyle name="Currency 4 3 4 7" xfId="52028"/>
    <cellStyle name="Currency 4 3 4 7 2" xfId="52029"/>
    <cellStyle name="Currency 4 3 4 8" xfId="52030"/>
    <cellStyle name="Currency 4 3 4 9" xfId="52031"/>
    <cellStyle name="Currency 4 3 5" xfId="52032"/>
    <cellStyle name="Currency 4 3 5 2" xfId="52033"/>
    <cellStyle name="Currency 4 3 5 2 2" xfId="52034"/>
    <cellStyle name="Currency 4 3 5 2 2 2" xfId="52035"/>
    <cellStyle name="Currency 4 3 5 2 2 3" xfId="52036"/>
    <cellStyle name="Currency 4 3 5 2 3" xfId="52037"/>
    <cellStyle name="Currency 4 3 5 2 3 2" xfId="52038"/>
    <cellStyle name="Currency 4 3 5 2 3 3" xfId="52039"/>
    <cellStyle name="Currency 4 3 5 2 4" xfId="52040"/>
    <cellStyle name="Currency 4 3 5 2 4 2" xfId="52041"/>
    <cellStyle name="Currency 4 3 5 2 5" xfId="52042"/>
    <cellStyle name="Currency 4 3 5 2 6" xfId="52043"/>
    <cellStyle name="Currency 4 3 5 3" xfId="52044"/>
    <cellStyle name="Currency 4 3 5 3 2" xfId="52045"/>
    <cellStyle name="Currency 4 3 5 3 2 2" xfId="52046"/>
    <cellStyle name="Currency 4 3 5 3 2 3" xfId="52047"/>
    <cellStyle name="Currency 4 3 5 3 3" xfId="52048"/>
    <cellStyle name="Currency 4 3 5 3 3 2" xfId="52049"/>
    <cellStyle name="Currency 4 3 5 3 3 3" xfId="52050"/>
    <cellStyle name="Currency 4 3 5 3 4" xfId="52051"/>
    <cellStyle name="Currency 4 3 5 3 4 2" xfId="52052"/>
    <cellStyle name="Currency 4 3 5 3 5" xfId="52053"/>
    <cellStyle name="Currency 4 3 5 3 6" xfId="52054"/>
    <cellStyle name="Currency 4 3 5 4" xfId="52055"/>
    <cellStyle name="Currency 4 3 5 4 2" xfId="52056"/>
    <cellStyle name="Currency 4 3 5 4 2 2" xfId="52057"/>
    <cellStyle name="Currency 4 3 5 4 2 3" xfId="52058"/>
    <cellStyle name="Currency 4 3 5 4 3" xfId="52059"/>
    <cellStyle name="Currency 4 3 5 4 3 2" xfId="52060"/>
    <cellStyle name="Currency 4 3 5 4 4" xfId="52061"/>
    <cellStyle name="Currency 4 3 5 4 5" xfId="52062"/>
    <cellStyle name="Currency 4 3 5 5" xfId="52063"/>
    <cellStyle name="Currency 4 3 5 5 2" xfId="52064"/>
    <cellStyle name="Currency 4 3 5 5 3" xfId="52065"/>
    <cellStyle name="Currency 4 3 5 6" xfId="52066"/>
    <cellStyle name="Currency 4 3 5 6 2" xfId="52067"/>
    <cellStyle name="Currency 4 3 5 6 3" xfId="52068"/>
    <cellStyle name="Currency 4 3 5 7" xfId="52069"/>
    <cellStyle name="Currency 4 3 5 7 2" xfId="52070"/>
    <cellStyle name="Currency 4 3 5 8" xfId="52071"/>
    <cellStyle name="Currency 4 3 5 9" xfId="52072"/>
    <cellStyle name="Currency 4 3 6" xfId="52073"/>
    <cellStyle name="Currency 4 3 6 2" xfId="52074"/>
    <cellStyle name="Currency 4 3 6 2 2" xfId="52075"/>
    <cellStyle name="Currency 4 3 6 2 3" xfId="52076"/>
    <cellStyle name="Currency 4 3 6 3" xfId="52077"/>
    <cellStyle name="Currency 4 3 6 3 2" xfId="52078"/>
    <cellStyle name="Currency 4 3 6 3 3" xfId="52079"/>
    <cellStyle name="Currency 4 3 6 4" xfId="52080"/>
    <cellStyle name="Currency 4 3 6 4 2" xfId="52081"/>
    <cellStyle name="Currency 4 3 6 5" xfId="52082"/>
    <cellStyle name="Currency 4 3 6 6" xfId="52083"/>
    <cellStyle name="Currency 4 3 7" xfId="52084"/>
    <cellStyle name="Currency 4 3 7 2" xfId="52085"/>
    <cellStyle name="Currency 4 3 7 2 2" xfId="52086"/>
    <cellStyle name="Currency 4 3 7 2 3" xfId="52087"/>
    <cellStyle name="Currency 4 3 7 3" xfId="52088"/>
    <cellStyle name="Currency 4 3 7 3 2" xfId="52089"/>
    <cellStyle name="Currency 4 3 7 3 3" xfId="52090"/>
    <cellStyle name="Currency 4 3 7 4" xfId="52091"/>
    <cellStyle name="Currency 4 3 7 4 2" xfId="52092"/>
    <cellStyle name="Currency 4 3 7 5" xfId="52093"/>
    <cellStyle name="Currency 4 3 7 6" xfId="52094"/>
    <cellStyle name="Currency 4 3 8" xfId="52095"/>
    <cellStyle name="Currency 4 3 8 2" xfId="52096"/>
    <cellStyle name="Currency 4 3 8 2 2" xfId="52097"/>
    <cellStyle name="Currency 4 3 8 2 3" xfId="52098"/>
    <cellStyle name="Currency 4 3 8 3" xfId="52099"/>
    <cellStyle name="Currency 4 3 8 3 2" xfId="52100"/>
    <cellStyle name="Currency 4 3 8 4" xfId="52101"/>
    <cellStyle name="Currency 4 3 8 5" xfId="52102"/>
    <cellStyle name="Currency 4 3 9" xfId="52103"/>
    <cellStyle name="Currency 4 3 9 2" xfId="52104"/>
    <cellStyle name="Currency 4 3 9 3" xfId="52105"/>
    <cellStyle name="Currency 4 4" xfId="3903"/>
    <cellStyle name="Currency 4 4 10" xfId="52106"/>
    <cellStyle name="Currency 4 4 10 2" xfId="52107"/>
    <cellStyle name="Currency 4 4 11" xfId="52108"/>
    <cellStyle name="Currency 4 4 12" xfId="52109"/>
    <cellStyle name="Currency 4 4 2" xfId="9195"/>
    <cellStyle name="Currency 4 4 2 10" xfId="52110"/>
    <cellStyle name="Currency 4 4 2 2" xfId="52111"/>
    <cellStyle name="Currency 4 4 2 2 2" xfId="52112"/>
    <cellStyle name="Currency 4 4 2 2 2 2" xfId="52113"/>
    <cellStyle name="Currency 4 4 2 2 2 2 2" xfId="52114"/>
    <cellStyle name="Currency 4 4 2 2 2 2 3" xfId="52115"/>
    <cellStyle name="Currency 4 4 2 2 2 3" xfId="52116"/>
    <cellStyle name="Currency 4 4 2 2 2 3 2" xfId="52117"/>
    <cellStyle name="Currency 4 4 2 2 2 3 3" xfId="52118"/>
    <cellStyle name="Currency 4 4 2 2 2 4" xfId="52119"/>
    <cellStyle name="Currency 4 4 2 2 2 4 2" xfId="52120"/>
    <cellStyle name="Currency 4 4 2 2 2 5" xfId="52121"/>
    <cellStyle name="Currency 4 4 2 2 2 6" xfId="52122"/>
    <cellStyle name="Currency 4 4 2 2 3" xfId="52123"/>
    <cellStyle name="Currency 4 4 2 2 3 2" xfId="52124"/>
    <cellStyle name="Currency 4 4 2 2 3 2 2" xfId="52125"/>
    <cellStyle name="Currency 4 4 2 2 3 2 3" xfId="52126"/>
    <cellStyle name="Currency 4 4 2 2 3 3" xfId="52127"/>
    <cellStyle name="Currency 4 4 2 2 3 3 2" xfId="52128"/>
    <cellStyle name="Currency 4 4 2 2 3 3 3" xfId="52129"/>
    <cellStyle name="Currency 4 4 2 2 3 4" xfId="52130"/>
    <cellStyle name="Currency 4 4 2 2 3 4 2" xfId="52131"/>
    <cellStyle name="Currency 4 4 2 2 3 5" xfId="52132"/>
    <cellStyle name="Currency 4 4 2 2 3 6" xfId="52133"/>
    <cellStyle name="Currency 4 4 2 2 4" xfId="52134"/>
    <cellStyle name="Currency 4 4 2 2 4 2" xfId="52135"/>
    <cellStyle name="Currency 4 4 2 2 4 2 2" xfId="52136"/>
    <cellStyle name="Currency 4 4 2 2 4 2 3" xfId="52137"/>
    <cellStyle name="Currency 4 4 2 2 4 3" xfId="52138"/>
    <cellStyle name="Currency 4 4 2 2 4 3 2" xfId="52139"/>
    <cellStyle name="Currency 4 4 2 2 4 4" xfId="52140"/>
    <cellStyle name="Currency 4 4 2 2 4 5" xfId="52141"/>
    <cellStyle name="Currency 4 4 2 2 5" xfId="52142"/>
    <cellStyle name="Currency 4 4 2 2 5 2" xfId="52143"/>
    <cellStyle name="Currency 4 4 2 2 5 3" xfId="52144"/>
    <cellStyle name="Currency 4 4 2 2 6" xfId="52145"/>
    <cellStyle name="Currency 4 4 2 2 6 2" xfId="52146"/>
    <cellStyle name="Currency 4 4 2 2 6 3" xfId="52147"/>
    <cellStyle name="Currency 4 4 2 2 7" xfId="52148"/>
    <cellStyle name="Currency 4 4 2 2 7 2" xfId="52149"/>
    <cellStyle name="Currency 4 4 2 2 8" xfId="52150"/>
    <cellStyle name="Currency 4 4 2 2 9" xfId="52151"/>
    <cellStyle name="Currency 4 4 2 3" xfId="52152"/>
    <cellStyle name="Currency 4 4 2 3 2" xfId="52153"/>
    <cellStyle name="Currency 4 4 2 3 2 2" xfId="52154"/>
    <cellStyle name="Currency 4 4 2 3 2 3" xfId="52155"/>
    <cellStyle name="Currency 4 4 2 3 3" xfId="52156"/>
    <cellStyle name="Currency 4 4 2 3 3 2" xfId="52157"/>
    <cellStyle name="Currency 4 4 2 3 3 3" xfId="52158"/>
    <cellStyle name="Currency 4 4 2 3 4" xfId="52159"/>
    <cellStyle name="Currency 4 4 2 3 4 2" xfId="52160"/>
    <cellStyle name="Currency 4 4 2 3 5" xfId="52161"/>
    <cellStyle name="Currency 4 4 2 3 6" xfId="52162"/>
    <cellStyle name="Currency 4 4 2 4" xfId="52163"/>
    <cellStyle name="Currency 4 4 2 4 2" xfId="52164"/>
    <cellStyle name="Currency 4 4 2 4 2 2" xfId="52165"/>
    <cellStyle name="Currency 4 4 2 4 2 3" xfId="52166"/>
    <cellStyle name="Currency 4 4 2 4 3" xfId="52167"/>
    <cellStyle name="Currency 4 4 2 4 3 2" xfId="52168"/>
    <cellStyle name="Currency 4 4 2 4 3 3" xfId="52169"/>
    <cellStyle name="Currency 4 4 2 4 4" xfId="52170"/>
    <cellStyle name="Currency 4 4 2 4 4 2" xfId="52171"/>
    <cellStyle name="Currency 4 4 2 4 5" xfId="52172"/>
    <cellStyle name="Currency 4 4 2 4 6" xfId="52173"/>
    <cellStyle name="Currency 4 4 2 5" xfId="52174"/>
    <cellStyle name="Currency 4 4 2 5 2" xfId="52175"/>
    <cellStyle name="Currency 4 4 2 5 2 2" xfId="52176"/>
    <cellStyle name="Currency 4 4 2 5 2 3" xfId="52177"/>
    <cellStyle name="Currency 4 4 2 5 3" xfId="52178"/>
    <cellStyle name="Currency 4 4 2 5 3 2" xfId="52179"/>
    <cellStyle name="Currency 4 4 2 5 4" xfId="52180"/>
    <cellStyle name="Currency 4 4 2 5 5" xfId="52181"/>
    <cellStyle name="Currency 4 4 2 6" xfId="52182"/>
    <cellStyle name="Currency 4 4 2 6 2" xfId="52183"/>
    <cellStyle name="Currency 4 4 2 6 3" xfId="52184"/>
    <cellStyle name="Currency 4 4 2 7" xfId="52185"/>
    <cellStyle name="Currency 4 4 2 7 2" xfId="52186"/>
    <cellStyle name="Currency 4 4 2 7 3" xfId="52187"/>
    <cellStyle name="Currency 4 4 2 8" xfId="52188"/>
    <cellStyle name="Currency 4 4 2 8 2" xfId="52189"/>
    <cellStyle name="Currency 4 4 2 9" xfId="52190"/>
    <cellStyle name="Currency 4 4 3" xfId="52191"/>
    <cellStyle name="Currency 4 4 3 2" xfId="52192"/>
    <cellStyle name="Currency 4 4 3 2 2" xfId="52193"/>
    <cellStyle name="Currency 4 4 3 2 2 2" xfId="52194"/>
    <cellStyle name="Currency 4 4 3 2 2 3" xfId="52195"/>
    <cellStyle name="Currency 4 4 3 2 3" xfId="52196"/>
    <cellStyle name="Currency 4 4 3 2 3 2" xfId="52197"/>
    <cellStyle name="Currency 4 4 3 2 3 3" xfId="52198"/>
    <cellStyle name="Currency 4 4 3 2 4" xfId="52199"/>
    <cellStyle name="Currency 4 4 3 2 4 2" xfId="52200"/>
    <cellStyle name="Currency 4 4 3 2 5" xfId="52201"/>
    <cellStyle name="Currency 4 4 3 2 6" xfId="52202"/>
    <cellStyle name="Currency 4 4 3 3" xfId="52203"/>
    <cellStyle name="Currency 4 4 3 3 2" xfId="52204"/>
    <cellStyle name="Currency 4 4 3 3 2 2" xfId="52205"/>
    <cellStyle name="Currency 4 4 3 3 2 3" xfId="52206"/>
    <cellStyle name="Currency 4 4 3 3 3" xfId="52207"/>
    <cellStyle name="Currency 4 4 3 3 3 2" xfId="52208"/>
    <cellStyle name="Currency 4 4 3 3 3 3" xfId="52209"/>
    <cellStyle name="Currency 4 4 3 3 4" xfId="52210"/>
    <cellStyle name="Currency 4 4 3 3 4 2" xfId="52211"/>
    <cellStyle name="Currency 4 4 3 3 5" xfId="52212"/>
    <cellStyle name="Currency 4 4 3 3 6" xfId="52213"/>
    <cellStyle name="Currency 4 4 3 4" xfId="52214"/>
    <cellStyle name="Currency 4 4 3 4 2" xfId="52215"/>
    <cellStyle name="Currency 4 4 3 4 2 2" xfId="52216"/>
    <cellStyle name="Currency 4 4 3 4 2 3" xfId="52217"/>
    <cellStyle name="Currency 4 4 3 4 3" xfId="52218"/>
    <cellStyle name="Currency 4 4 3 4 3 2" xfId="52219"/>
    <cellStyle name="Currency 4 4 3 4 4" xfId="52220"/>
    <cellStyle name="Currency 4 4 3 4 5" xfId="52221"/>
    <cellStyle name="Currency 4 4 3 5" xfId="52222"/>
    <cellStyle name="Currency 4 4 3 5 2" xfId="52223"/>
    <cellStyle name="Currency 4 4 3 5 3" xfId="52224"/>
    <cellStyle name="Currency 4 4 3 6" xfId="52225"/>
    <cellStyle name="Currency 4 4 3 6 2" xfId="52226"/>
    <cellStyle name="Currency 4 4 3 6 3" xfId="52227"/>
    <cellStyle name="Currency 4 4 3 7" xfId="52228"/>
    <cellStyle name="Currency 4 4 3 7 2" xfId="52229"/>
    <cellStyle name="Currency 4 4 3 8" xfId="52230"/>
    <cellStyle name="Currency 4 4 3 9" xfId="52231"/>
    <cellStyle name="Currency 4 4 4" xfId="52232"/>
    <cellStyle name="Currency 4 4 4 2" xfId="52233"/>
    <cellStyle name="Currency 4 4 4 2 2" xfId="52234"/>
    <cellStyle name="Currency 4 4 4 2 2 2" xfId="52235"/>
    <cellStyle name="Currency 4 4 4 2 2 3" xfId="52236"/>
    <cellStyle name="Currency 4 4 4 2 3" xfId="52237"/>
    <cellStyle name="Currency 4 4 4 2 3 2" xfId="52238"/>
    <cellStyle name="Currency 4 4 4 2 3 3" xfId="52239"/>
    <cellStyle name="Currency 4 4 4 2 4" xfId="52240"/>
    <cellStyle name="Currency 4 4 4 2 4 2" xfId="52241"/>
    <cellStyle name="Currency 4 4 4 2 5" xfId="52242"/>
    <cellStyle name="Currency 4 4 4 2 6" xfId="52243"/>
    <cellStyle name="Currency 4 4 4 3" xfId="52244"/>
    <cellStyle name="Currency 4 4 4 3 2" xfId="52245"/>
    <cellStyle name="Currency 4 4 4 3 2 2" xfId="52246"/>
    <cellStyle name="Currency 4 4 4 3 2 3" xfId="52247"/>
    <cellStyle name="Currency 4 4 4 3 3" xfId="52248"/>
    <cellStyle name="Currency 4 4 4 3 3 2" xfId="52249"/>
    <cellStyle name="Currency 4 4 4 3 3 3" xfId="52250"/>
    <cellStyle name="Currency 4 4 4 3 4" xfId="52251"/>
    <cellStyle name="Currency 4 4 4 3 4 2" xfId="52252"/>
    <cellStyle name="Currency 4 4 4 3 5" xfId="52253"/>
    <cellStyle name="Currency 4 4 4 3 6" xfId="52254"/>
    <cellStyle name="Currency 4 4 4 4" xfId="52255"/>
    <cellStyle name="Currency 4 4 4 4 2" xfId="52256"/>
    <cellStyle name="Currency 4 4 4 4 2 2" xfId="52257"/>
    <cellStyle name="Currency 4 4 4 4 2 3" xfId="52258"/>
    <cellStyle name="Currency 4 4 4 4 3" xfId="52259"/>
    <cellStyle name="Currency 4 4 4 4 3 2" xfId="52260"/>
    <cellStyle name="Currency 4 4 4 4 4" xfId="52261"/>
    <cellStyle name="Currency 4 4 4 4 5" xfId="52262"/>
    <cellStyle name="Currency 4 4 4 5" xfId="52263"/>
    <cellStyle name="Currency 4 4 4 5 2" xfId="52264"/>
    <cellStyle name="Currency 4 4 4 5 3" xfId="52265"/>
    <cellStyle name="Currency 4 4 4 6" xfId="52266"/>
    <cellStyle name="Currency 4 4 4 6 2" xfId="52267"/>
    <cellStyle name="Currency 4 4 4 6 3" xfId="52268"/>
    <cellStyle name="Currency 4 4 4 7" xfId="52269"/>
    <cellStyle name="Currency 4 4 4 7 2" xfId="52270"/>
    <cellStyle name="Currency 4 4 4 8" xfId="52271"/>
    <cellStyle name="Currency 4 4 4 9" xfId="52272"/>
    <cellStyle name="Currency 4 4 5" xfId="52273"/>
    <cellStyle name="Currency 4 4 5 2" xfId="52274"/>
    <cellStyle name="Currency 4 4 5 2 2" xfId="52275"/>
    <cellStyle name="Currency 4 4 5 2 3" xfId="52276"/>
    <cellStyle name="Currency 4 4 5 3" xfId="52277"/>
    <cellStyle name="Currency 4 4 5 3 2" xfId="52278"/>
    <cellStyle name="Currency 4 4 5 3 3" xfId="52279"/>
    <cellStyle name="Currency 4 4 5 4" xfId="52280"/>
    <cellStyle name="Currency 4 4 5 4 2" xfId="52281"/>
    <cellStyle name="Currency 4 4 5 5" xfId="52282"/>
    <cellStyle name="Currency 4 4 5 6" xfId="52283"/>
    <cellStyle name="Currency 4 4 6" xfId="52284"/>
    <cellStyle name="Currency 4 4 6 2" xfId="52285"/>
    <cellStyle name="Currency 4 4 6 2 2" xfId="52286"/>
    <cellStyle name="Currency 4 4 6 2 3" xfId="52287"/>
    <cellStyle name="Currency 4 4 6 3" xfId="52288"/>
    <cellStyle name="Currency 4 4 6 3 2" xfId="52289"/>
    <cellStyle name="Currency 4 4 6 3 3" xfId="52290"/>
    <cellStyle name="Currency 4 4 6 4" xfId="52291"/>
    <cellStyle name="Currency 4 4 6 4 2" xfId="52292"/>
    <cellStyle name="Currency 4 4 6 5" xfId="52293"/>
    <cellStyle name="Currency 4 4 6 6" xfId="52294"/>
    <cellStyle name="Currency 4 4 7" xfId="52295"/>
    <cellStyle name="Currency 4 4 7 2" xfId="52296"/>
    <cellStyle name="Currency 4 4 7 2 2" xfId="52297"/>
    <cellStyle name="Currency 4 4 7 2 3" xfId="52298"/>
    <cellStyle name="Currency 4 4 7 3" xfId="52299"/>
    <cellStyle name="Currency 4 4 7 3 2" xfId="52300"/>
    <cellStyle name="Currency 4 4 7 4" xfId="52301"/>
    <cellStyle name="Currency 4 4 7 5" xfId="52302"/>
    <cellStyle name="Currency 4 4 8" xfId="52303"/>
    <cellStyle name="Currency 4 4 8 2" xfId="52304"/>
    <cellStyle name="Currency 4 4 8 3" xfId="52305"/>
    <cellStyle name="Currency 4 4 9" xfId="52306"/>
    <cellStyle name="Currency 4 4 9 2" xfId="52307"/>
    <cellStyle name="Currency 4 4 9 3" xfId="52308"/>
    <cellStyle name="Currency 4 5" xfId="3904"/>
    <cellStyle name="Currency 4 5 10" xfId="52309"/>
    <cellStyle name="Currency 4 5 2" xfId="52310"/>
    <cellStyle name="Currency 4 5 2 2" xfId="52311"/>
    <cellStyle name="Currency 4 5 2 2 2" xfId="52312"/>
    <cellStyle name="Currency 4 5 2 2 2 2" xfId="52313"/>
    <cellStyle name="Currency 4 5 2 2 2 3" xfId="52314"/>
    <cellStyle name="Currency 4 5 2 2 3" xfId="52315"/>
    <cellStyle name="Currency 4 5 2 2 3 2" xfId="52316"/>
    <cellStyle name="Currency 4 5 2 2 3 3" xfId="52317"/>
    <cellStyle name="Currency 4 5 2 2 4" xfId="52318"/>
    <cellStyle name="Currency 4 5 2 2 4 2" xfId="52319"/>
    <cellStyle name="Currency 4 5 2 2 5" xfId="52320"/>
    <cellStyle name="Currency 4 5 2 2 6" xfId="52321"/>
    <cellStyle name="Currency 4 5 2 3" xfId="52322"/>
    <cellStyle name="Currency 4 5 2 3 2" xfId="52323"/>
    <cellStyle name="Currency 4 5 2 3 2 2" xfId="52324"/>
    <cellStyle name="Currency 4 5 2 3 2 3" xfId="52325"/>
    <cellStyle name="Currency 4 5 2 3 3" xfId="52326"/>
    <cellStyle name="Currency 4 5 2 3 3 2" xfId="52327"/>
    <cellStyle name="Currency 4 5 2 3 3 3" xfId="52328"/>
    <cellStyle name="Currency 4 5 2 3 4" xfId="52329"/>
    <cellStyle name="Currency 4 5 2 3 4 2" xfId="52330"/>
    <cellStyle name="Currency 4 5 2 3 5" xfId="52331"/>
    <cellStyle name="Currency 4 5 2 3 6" xfId="52332"/>
    <cellStyle name="Currency 4 5 2 4" xfId="52333"/>
    <cellStyle name="Currency 4 5 2 4 2" xfId="52334"/>
    <cellStyle name="Currency 4 5 2 4 2 2" xfId="52335"/>
    <cellStyle name="Currency 4 5 2 4 2 3" xfId="52336"/>
    <cellStyle name="Currency 4 5 2 4 3" xfId="52337"/>
    <cellStyle name="Currency 4 5 2 4 3 2" xfId="52338"/>
    <cellStyle name="Currency 4 5 2 4 4" xfId="52339"/>
    <cellStyle name="Currency 4 5 2 4 5" xfId="52340"/>
    <cellStyle name="Currency 4 5 2 5" xfId="52341"/>
    <cellStyle name="Currency 4 5 2 5 2" xfId="52342"/>
    <cellStyle name="Currency 4 5 2 5 3" xfId="52343"/>
    <cellStyle name="Currency 4 5 2 6" xfId="52344"/>
    <cellStyle name="Currency 4 5 2 6 2" xfId="52345"/>
    <cellStyle name="Currency 4 5 2 6 3" xfId="52346"/>
    <cellStyle name="Currency 4 5 2 7" xfId="52347"/>
    <cellStyle name="Currency 4 5 2 7 2" xfId="52348"/>
    <cellStyle name="Currency 4 5 2 8" xfId="52349"/>
    <cellStyle name="Currency 4 5 2 9" xfId="52350"/>
    <cellStyle name="Currency 4 5 3" xfId="52351"/>
    <cellStyle name="Currency 4 5 3 2" xfId="52352"/>
    <cellStyle name="Currency 4 5 3 2 2" xfId="52353"/>
    <cellStyle name="Currency 4 5 3 2 3" xfId="52354"/>
    <cellStyle name="Currency 4 5 3 3" xfId="52355"/>
    <cellStyle name="Currency 4 5 3 3 2" xfId="52356"/>
    <cellStyle name="Currency 4 5 3 3 3" xfId="52357"/>
    <cellStyle name="Currency 4 5 3 4" xfId="52358"/>
    <cellStyle name="Currency 4 5 3 4 2" xfId="52359"/>
    <cellStyle name="Currency 4 5 3 5" xfId="52360"/>
    <cellStyle name="Currency 4 5 3 6" xfId="52361"/>
    <cellStyle name="Currency 4 5 4" xfId="52362"/>
    <cellStyle name="Currency 4 5 4 2" xfId="52363"/>
    <cellStyle name="Currency 4 5 4 2 2" xfId="52364"/>
    <cellStyle name="Currency 4 5 4 2 3" xfId="52365"/>
    <cellStyle name="Currency 4 5 4 3" xfId="52366"/>
    <cellStyle name="Currency 4 5 4 3 2" xfId="52367"/>
    <cellStyle name="Currency 4 5 4 3 3" xfId="52368"/>
    <cellStyle name="Currency 4 5 4 4" xfId="52369"/>
    <cellStyle name="Currency 4 5 4 4 2" xfId="52370"/>
    <cellStyle name="Currency 4 5 4 5" xfId="52371"/>
    <cellStyle name="Currency 4 5 4 6" xfId="52372"/>
    <cellStyle name="Currency 4 5 5" xfId="52373"/>
    <cellStyle name="Currency 4 5 5 2" xfId="52374"/>
    <cellStyle name="Currency 4 5 5 2 2" xfId="52375"/>
    <cellStyle name="Currency 4 5 5 2 3" xfId="52376"/>
    <cellStyle name="Currency 4 5 5 3" xfId="52377"/>
    <cellStyle name="Currency 4 5 5 3 2" xfId="52378"/>
    <cellStyle name="Currency 4 5 5 4" xfId="52379"/>
    <cellStyle name="Currency 4 5 5 5" xfId="52380"/>
    <cellStyle name="Currency 4 5 6" xfId="52381"/>
    <cellStyle name="Currency 4 5 6 2" xfId="52382"/>
    <cellStyle name="Currency 4 5 6 3" xfId="52383"/>
    <cellStyle name="Currency 4 5 7" xfId="52384"/>
    <cellStyle name="Currency 4 5 7 2" xfId="52385"/>
    <cellStyle name="Currency 4 5 7 3" xfId="52386"/>
    <cellStyle name="Currency 4 5 8" xfId="52387"/>
    <cellStyle name="Currency 4 5 8 2" xfId="52388"/>
    <cellStyle name="Currency 4 5 9" xfId="52389"/>
    <cellStyle name="Currency 4 6" xfId="9196"/>
    <cellStyle name="Currency 4 6 2" xfId="52390"/>
    <cellStyle name="Currency 4 6 2 2" xfId="52391"/>
    <cellStyle name="Currency 4 6 2 2 2" xfId="52392"/>
    <cellStyle name="Currency 4 6 2 2 3" xfId="52393"/>
    <cellStyle name="Currency 4 6 2 3" xfId="52394"/>
    <cellStyle name="Currency 4 6 2 3 2" xfId="52395"/>
    <cellStyle name="Currency 4 6 2 3 3" xfId="52396"/>
    <cellStyle name="Currency 4 6 2 4" xfId="52397"/>
    <cellStyle name="Currency 4 6 2 4 2" xfId="52398"/>
    <cellStyle name="Currency 4 6 2 5" xfId="52399"/>
    <cellStyle name="Currency 4 6 2 6" xfId="52400"/>
    <cellStyle name="Currency 4 6 3" xfId="52401"/>
    <cellStyle name="Currency 4 6 3 2" xfId="52402"/>
    <cellStyle name="Currency 4 6 3 2 2" xfId="52403"/>
    <cellStyle name="Currency 4 6 3 2 3" xfId="52404"/>
    <cellStyle name="Currency 4 6 3 3" xfId="52405"/>
    <cellStyle name="Currency 4 6 3 3 2" xfId="52406"/>
    <cellStyle name="Currency 4 6 3 3 3" xfId="52407"/>
    <cellStyle name="Currency 4 6 3 4" xfId="52408"/>
    <cellStyle name="Currency 4 6 3 4 2" xfId="52409"/>
    <cellStyle name="Currency 4 6 3 5" xfId="52410"/>
    <cellStyle name="Currency 4 6 3 6" xfId="52411"/>
    <cellStyle name="Currency 4 6 4" xfId="52412"/>
    <cellStyle name="Currency 4 6 4 2" xfId="52413"/>
    <cellStyle name="Currency 4 6 4 2 2" xfId="52414"/>
    <cellStyle name="Currency 4 6 4 2 3" xfId="52415"/>
    <cellStyle name="Currency 4 6 4 3" xfId="52416"/>
    <cellStyle name="Currency 4 6 4 3 2" xfId="52417"/>
    <cellStyle name="Currency 4 6 4 4" xfId="52418"/>
    <cellStyle name="Currency 4 6 4 5" xfId="52419"/>
    <cellStyle name="Currency 4 6 5" xfId="52420"/>
    <cellStyle name="Currency 4 6 5 2" xfId="52421"/>
    <cellStyle name="Currency 4 6 5 3" xfId="52422"/>
    <cellStyle name="Currency 4 6 6" xfId="52423"/>
    <cellStyle name="Currency 4 6 6 2" xfId="52424"/>
    <cellStyle name="Currency 4 6 6 3" xfId="52425"/>
    <cellStyle name="Currency 4 6 7" xfId="52426"/>
    <cellStyle name="Currency 4 6 7 2" xfId="52427"/>
    <cellStyle name="Currency 4 6 8" xfId="52428"/>
    <cellStyle name="Currency 4 6 9" xfId="52429"/>
    <cellStyle name="Currency 4 7" xfId="52430"/>
    <cellStyle name="Currency 4 7 2" xfId="52431"/>
    <cellStyle name="Currency 4 7 2 2" xfId="52432"/>
    <cellStyle name="Currency 4 7 2 2 2" xfId="52433"/>
    <cellStyle name="Currency 4 7 2 2 3" xfId="52434"/>
    <cellStyle name="Currency 4 7 2 3" xfId="52435"/>
    <cellStyle name="Currency 4 7 2 3 2" xfId="52436"/>
    <cellStyle name="Currency 4 7 2 3 3" xfId="52437"/>
    <cellStyle name="Currency 4 7 2 4" xfId="52438"/>
    <cellStyle name="Currency 4 7 2 4 2" xfId="52439"/>
    <cellStyle name="Currency 4 7 2 5" xfId="52440"/>
    <cellStyle name="Currency 4 7 2 6" xfId="52441"/>
    <cellStyle name="Currency 4 7 3" xfId="52442"/>
    <cellStyle name="Currency 4 7 3 2" xfId="52443"/>
    <cellStyle name="Currency 4 7 3 2 2" xfId="52444"/>
    <cellStyle name="Currency 4 7 3 2 3" xfId="52445"/>
    <cellStyle name="Currency 4 7 3 3" xfId="52446"/>
    <cellStyle name="Currency 4 7 3 3 2" xfId="52447"/>
    <cellStyle name="Currency 4 7 3 3 3" xfId="52448"/>
    <cellStyle name="Currency 4 7 3 4" xfId="52449"/>
    <cellStyle name="Currency 4 7 3 4 2" xfId="52450"/>
    <cellStyle name="Currency 4 7 3 5" xfId="52451"/>
    <cellStyle name="Currency 4 7 3 6" xfId="52452"/>
    <cellStyle name="Currency 4 7 4" xfId="52453"/>
    <cellStyle name="Currency 4 7 4 2" xfId="52454"/>
    <cellStyle name="Currency 4 7 4 2 2" xfId="52455"/>
    <cellStyle name="Currency 4 7 4 2 3" xfId="52456"/>
    <cellStyle name="Currency 4 7 4 3" xfId="52457"/>
    <cellStyle name="Currency 4 7 4 3 2" xfId="52458"/>
    <cellStyle name="Currency 4 7 4 4" xfId="52459"/>
    <cellStyle name="Currency 4 7 4 5" xfId="52460"/>
    <cellStyle name="Currency 4 7 5" xfId="52461"/>
    <cellStyle name="Currency 4 7 5 2" xfId="52462"/>
    <cellStyle name="Currency 4 7 5 3" xfId="52463"/>
    <cellStyle name="Currency 4 7 6" xfId="52464"/>
    <cellStyle name="Currency 4 7 6 2" xfId="52465"/>
    <cellStyle name="Currency 4 7 6 3" xfId="52466"/>
    <cellStyle name="Currency 4 7 7" xfId="52467"/>
    <cellStyle name="Currency 4 7 7 2" xfId="52468"/>
    <cellStyle name="Currency 4 7 8" xfId="52469"/>
    <cellStyle name="Currency 4 7 9" xfId="52470"/>
    <cellStyle name="Currency 4 8" xfId="52471"/>
    <cellStyle name="Currency 4 8 2" xfId="52472"/>
    <cellStyle name="Currency 4 8 2 2" xfId="52473"/>
    <cellStyle name="Currency 4 8 2 3" xfId="52474"/>
    <cellStyle name="Currency 4 8 3" xfId="52475"/>
    <cellStyle name="Currency 4 8 3 2" xfId="52476"/>
    <cellStyle name="Currency 4 8 3 3" xfId="52477"/>
    <cellStyle name="Currency 4 8 4" xfId="52478"/>
    <cellStyle name="Currency 4 8 4 2" xfId="52479"/>
    <cellStyle name="Currency 4 8 5" xfId="52480"/>
    <cellStyle name="Currency 4 8 6" xfId="52481"/>
    <cellStyle name="Currency 4 9" xfId="52482"/>
    <cellStyle name="Currency 4 9 2" xfId="52483"/>
    <cellStyle name="Currency 4 9 2 2" xfId="52484"/>
    <cellStyle name="Currency 4 9 2 3" xfId="52485"/>
    <cellStyle name="Currency 4 9 3" xfId="52486"/>
    <cellStyle name="Currency 4 9 3 2" xfId="52487"/>
    <cellStyle name="Currency 4 9 3 3" xfId="52488"/>
    <cellStyle name="Currency 4 9 4" xfId="52489"/>
    <cellStyle name="Currency 4 9 4 2" xfId="52490"/>
    <cellStyle name="Currency 4 9 5" xfId="52491"/>
    <cellStyle name="Currency 4 9 6" xfId="52492"/>
    <cellStyle name="Currency 40" xfId="3905"/>
    <cellStyle name="Currency 41" xfId="3906"/>
    <cellStyle name="Currency 42" xfId="3907"/>
    <cellStyle name="Currency 43" xfId="3908"/>
    <cellStyle name="Currency 44" xfId="3909"/>
    <cellStyle name="Currency 45" xfId="3910"/>
    <cellStyle name="Currency 46" xfId="3911"/>
    <cellStyle name="Currency 47" xfId="3912"/>
    <cellStyle name="Currency 48" xfId="3913"/>
    <cellStyle name="Currency 49" xfId="3914"/>
    <cellStyle name="Currency 5" xfId="3915"/>
    <cellStyle name="Currency 5 2" xfId="3916"/>
    <cellStyle name="Currency 5 2 2" xfId="8793"/>
    <cellStyle name="Currency 5 2 2 2" xfId="9197"/>
    <cellStyle name="Currency 5 2 2 3" xfId="59204"/>
    <cellStyle name="Currency 5 2 2 4" xfId="59205"/>
    <cellStyle name="Currency 5 2 3" xfId="9198"/>
    <cellStyle name="Currency 5 2 3 2" xfId="59206"/>
    <cellStyle name="Currency 5 2 4" xfId="9199"/>
    <cellStyle name="Currency 5 2 5" xfId="59207"/>
    <cellStyle name="Currency 5 2 6" xfId="59208"/>
    <cellStyle name="Currency 5 2 7" xfId="59209"/>
    <cellStyle name="Currency 5 3" xfId="3917"/>
    <cellStyle name="Currency 5 3 2" xfId="9200"/>
    <cellStyle name="Currency 5 3 3" xfId="9201"/>
    <cellStyle name="Currency 5 3 4" xfId="59210"/>
    <cellStyle name="Currency 5 4" xfId="9202"/>
    <cellStyle name="Currency 5 4 2" xfId="52493"/>
    <cellStyle name="Currency 5 5" xfId="9203"/>
    <cellStyle name="Currency 5 6" xfId="52494"/>
    <cellStyle name="Currency 5 7" xfId="57915"/>
    <cellStyle name="Currency 5 8" xfId="59211"/>
    <cellStyle name="Currency 50" xfId="3918"/>
    <cellStyle name="Currency 51" xfId="3919"/>
    <cellStyle name="Currency 52" xfId="3920"/>
    <cellStyle name="Currency 53" xfId="3921"/>
    <cellStyle name="Currency 54" xfId="3922"/>
    <cellStyle name="Currency 55" xfId="3923"/>
    <cellStyle name="Currency 56" xfId="3924"/>
    <cellStyle name="Currency 56 2" xfId="3925"/>
    <cellStyle name="Currency 57" xfId="3926"/>
    <cellStyle name="Currency 57 2" xfId="3927"/>
    <cellStyle name="Currency 58" xfId="3928"/>
    <cellStyle name="Currency 59" xfId="3929"/>
    <cellStyle name="Currency 6" xfId="3930"/>
    <cellStyle name="Currency 6 2" xfId="3931"/>
    <cellStyle name="Currency 6 2 2" xfId="8401"/>
    <cellStyle name="Currency 6 2 2 2" xfId="8402"/>
    <cellStyle name="Currency 6 2 2 2 2" xfId="8403"/>
    <cellStyle name="Currency 6 2 2 2 3" xfId="59212"/>
    <cellStyle name="Currency 6 2 2 3" xfId="8404"/>
    <cellStyle name="Currency 6 2 2 3 2" xfId="59213"/>
    <cellStyle name="Currency 6 2 2 4" xfId="59214"/>
    <cellStyle name="Currency 6 2 2 5" xfId="59215"/>
    <cellStyle name="Currency 6 2 2 6" xfId="59216"/>
    <cellStyle name="Currency 6 2 3" xfId="8405"/>
    <cellStyle name="Currency 6 2 3 2" xfId="8406"/>
    <cellStyle name="Currency 6 2 3 3" xfId="59217"/>
    <cellStyle name="Currency 6 2 4" xfId="8407"/>
    <cellStyle name="Currency 6 2 4 2" xfId="59218"/>
    <cellStyle name="Currency 6 2 5" xfId="52495"/>
    <cellStyle name="Currency 6 3" xfId="3932"/>
    <cellStyle name="Currency 6 3 2" xfId="8408"/>
    <cellStyle name="Currency 6 3 2 2" xfId="8409"/>
    <cellStyle name="Currency 6 3 2 2 2" xfId="59219"/>
    <cellStyle name="Currency 6 3 2 3" xfId="59220"/>
    <cellStyle name="Currency 6 3 2 4" xfId="59221"/>
    <cellStyle name="Currency 6 3 2 5" xfId="59222"/>
    <cellStyle name="Currency 6 3 3" xfId="8410"/>
    <cellStyle name="Currency 6 3 3 2" xfId="59223"/>
    <cellStyle name="Currency 6 3 4" xfId="59224"/>
    <cellStyle name="Currency 6 3 5" xfId="59225"/>
    <cellStyle name="Currency 6 3 6" xfId="59226"/>
    <cellStyle name="Currency 6 3 7" xfId="59227"/>
    <cellStyle name="Currency 6 4" xfId="8411"/>
    <cellStyle name="Currency 6 4 2" xfId="8412"/>
    <cellStyle name="Currency 6 4 2 2" xfId="59228"/>
    <cellStyle name="Currency 6 4 3" xfId="59229"/>
    <cellStyle name="Currency 6 4 4" xfId="59230"/>
    <cellStyle name="Currency 6 4 5" xfId="59231"/>
    <cellStyle name="Currency 6 5" xfId="8413"/>
    <cellStyle name="Currency 6 5 2" xfId="8414"/>
    <cellStyle name="Currency 6 5 2 2" xfId="59232"/>
    <cellStyle name="Currency 6 5 3" xfId="59233"/>
    <cellStyle name="Currency 6 5 4" xfId="59234"/>
    <cellStyle name="Currency 6 5 5" xfId="59235"/>
    <cellStyle name="Currency 6 6" xfId="8415"/>
    <cellStyle name="Currency 6 6 2" xfId="59236"/>
    <cellStyle name="Currency 6 6 2 2" xfId="59237"/>
    <cellStyle name="Currency 6 6 3" xfId="59238"/>
    <cellStyle name="Currency 6 6 4" xfId="59239"/>
    <cellStyle name="Currency 6 6 5" xfId="59240"/>
    <cellStyle name="Currency 6 7" xfId="52496"/>
    <cellStyle name="Currency 6 8" xfId="57916"/>
    <cellStyle name="Currency 60" xfId="3933"/>
    <cellStyle name="Currency 61" xfId="3934"/>
    <cellStyle name="Currency 62" xfId="3935"/>
    <cellStyle name="Currency 62 2" xfId="3936"/>
    <cellStyle name="Currency 63" xfId="3937"/>
    <cellStyle name="Currency 64" xfId="3938"/>
    <cellStyle name="Currency 65" xfId="3939"/>
    <cellStyle name="Currency 66" xfId="3940"/>
    <cellStyle name="Currency 67" xfId="3941"/>
    <cellStyle name="Currency 68" xfId="3942"/>
    <cellStyle name="Currency 69" xfId="3943"/>
    <cellStyle name="Currency 7" xfId="3944"/>
    <cellStyle name="Currency 7 2" xfId="3945"/>
    <cellStyle name="Currency 7 2 2" xfId="8794"/>
    <cellStyle name="Currency 7 2 2 2" xfId="9204"/>
    <cellStyle name="Currency 7 2 3" xfId="9205"/>
    <cellStyle name="Currency 7 2 4" xfId="9206"/>
    <cellStyle name="Currency 7 3" xfId="3946"/>
    <cellStyle name="Currency 7 3 2" xfId="9207"/>
    <cellStyle name="Currency 7 3 3" xfId="9208"/>
    <cellStyle name="Currency 7 3 4" xfId="59241"/>
    <cellStyle name="Currency 7 4" xfId="9209"/>
    <cellStyle name="Currency 7 4 2" xfId="59242"/>
    <cellStyle name="Currency 7 5" xfId="9210"/>
    <cellStyle name="Currency 7 6" xfId="59243"/>
    <cellStyle name="Currency 7 7" xfId="59244"/>
    <cellStyle name="Currency 7 8" xfId="59245"/>
    <cellStyle name="Currency 70" xfId="3947"/>
    <cellStyle name="Currency 71" xfId="3948"/>
    <cellStyle name="Currency 72" xfId="3949"/>
    <cellStyle name="Currency 73" xfId="3950"/>
    <cellStyle name="Currency 74" xfId="3951"/>
    <cellStyle name="Currency 75" xfId="3952"/>
    <cellStyle name="Currency 76" xfId="8771"/>
    <cellStyle name="Currency 77" xfId="9211"/>
    <cellStyle name="Currency 78" xfId="9212"/>
    <cellStyle name="Currency 79" xfId="9213"/>
    <cellStyle name="Currency 8" xfId="3953"/>
    <cellStyle name="Currency 8 2" xfId="3954"/>
    <cellStyle name="Currency 8 2 2" xfId="8795"/>
    <cellStyle name="Currency 8 2 2 2" xfId="9214"/>
    <cellStyle name="Currency 8 2 3" xfId="9215"/>
    <cellStyle name="Currency 8 2 3 2" xfId="59246"/>
    <cellStyle name="Currency 8 2 4" xfId="9216"/>
    <cellStyle name="Currency 8 2 5" xfId="59247"/>
    <cellStyle name="Currency 8 3" xfId="8796"/>
    <cellStyle name="Currency 8 3 2" xfId="9217"/>
    <cellStyle name="Currency 8 3 3" xfId="59248"/>
    <cellStyle name="Currency 8 4" xfId="9218"/>
    <cellStyle name="Currency 8 5" xfId="9219"/>
    <cellStyle name="Currency 8 6" xfId="59249"/>
    <cellStyle name="Currency 8 7" xfId="59250"/>
    <cellStyle name="Currency 80" xfId="8817"/>
    <cellStyle name="Currency 81" xfId="52497"/>
    <cellStyle name="Currency 82" xfId="52498"/>
    <cellStyle name="Currency 83" xfId="52499"/>
    <cellStyle name="Currency 84" xfId="52500"/>
    <cellStyle name="Currency 85" xfId="52501"/>
    <cellStyle name="Currency 86" xfId="52502"/>
    <cellStyle name="Currency 87" xfId="52503"/>
    <cellStyle name="Currency 88" xfId="52504"/>
    <cellStyle name="Currency 89" xfId="52505"/>
    <cellStyle name="Currency 9" xfId="3955"/>
    <cellStyle name="Currency 9 2" xfId="3956"/>
    <cellStyle name="Currency 9 2 2" xfId="59251"/>
    <cellStyle name="Currency 9 2 3" xfId="59252"/>
    <cellStyle name="Currency 9 3" xfId="9220"/>
    <cellStyle name="Currency 9 3 2" xfId="59253"/>
    <cellStyle name="Currency 9 4" xfId="59254"/>
    <cellStyle name="Currency 9 5" xfId="59255"/>
    <cellStyle name="Currency 9 6" xfId="59256"/>
    <cellStyle name="Currency 90" xfId="52506"/>
    <cellStyle name="Currency 91" xfId="52507"/>
    <cellStyle name="Currency 92" xfId="52508"/>
    <cellStyle name="Currency 93" xfId="52509"/>
    <cellStyle name="Currency 94" xfId="52510"/>
    <cellStyle name="Currency 95" xfId="52511"/>
    <cellStyle name="Currency 96" xfId="52512"/>
    <cellStyle name="Currency 97" xfId="52513"/>
    <cellStyle name="Currency 98" xfId="52514"/>
    <cellStyle name="Currency 99" xfId="52515"/>
    <cellStyle name="Currency0" xfId="3957"/>
    <cellStyle name="Currency0 2" xfId="3958"/>
    <cellStyle name="Currency0 2 2" xfId="52516"/>
    <cellStyle name="Currency0 2 3" xfId="59257"/>
    <cellStyle name="Currency0 3" xfId="3959"/>
    <cellStyle name="Currency0 3 2" xfId="52517"/>
    <cellStyle name="Currency0 3 3" xfId="59258"/>
    <cellStyle name="Currency0 4" xfId="57917"/>
    <cellStyle name="Custom - Style1" xfId="57918"/>
    <cellStyle name="Data   - Style2" xfId="57919"/>
    <cellStyle name="Date" xfId="3960"/>
    <cellStyle name="Date 2" xfId="3961"/>
    <cellStyle name="Date 2 2" xfId="52518"/>
    <cellStyle name="Date 2 3" xfId="59259"/>
    <cellStyle name="Date 3" xfId="3962"/>
    <cellStyle name="Date 3 2" xfId="52519"/>
    <cellStyle name="Date 3 3" xfId="59260"/>
    <cellStyle name="Date 4" xfId="57920"/>
    <cellStyle name="Eingabe" xfId="3963"/>
    <cellStyle name="Eingabe 2" xfId="3964"/>
    <cellStyle name="Eingabe 3" xfId="52520"/>
    <cellStyle name="Euro" xfId="3965"/>
    <cellStyle name="Euro 2" xfId="3966"/>
    <cellStyle name="Euro 2 2" xfId="3967"/>
    <cellStyle name="Euro 2 2 2" xfId="59261"/>
    <cellStyle name="Euro 2 3" xfId="57921"/>
    <cellStyle name="Euro 3" xfId="3968"/>
    <cellStyle name="Euro 3 2" xfId="52521"/>
    <cellStyle name="Euro 3 3" xfId="59262"/>
    <cellStyle name="Euro 4" xfId="57922"/>
    <cellStyle name="Explanatory Text 10" xfId="52522"/>
    <cellStyle name="Explanatory Text 11" xfId="52523"/>
    <cellStyle name="Explanatory Text 12" xfId="52524"/>
    <cellStyle name="Explanatory Text 13" xfId="52525"/>
    <cellStyle name="Explanatory Text 14" xfId="52526"/>
    <cellStyle name="Explanatory Text 15" xfId="52527"/>
    <cellStyle name="Explanatory Text 16" xfId="52528"/>
    <cellStyle name="Explanatory Text 17" xfId="52529"/>
    <cellStyle name="Explanatory Text 2" xfId="3969"/>
    <cellStyle name="Explanatory Text 2 2" xfId="3970"/>
    <cellStyle name="Explanatory Text 2 2 2" xfId="59263"/>
    <cellStyle name="Explanatory Text 2 3" xfId="52530"/>
    <cellStyle name="Explanatory Text 2 4" xfId="52531"/>
    <cellStyle name="Explanatory Text 2 5" xfId="52532"/>
    <cellStyle name="Explanatory Text 3" xfId="3971"/>
    <cellStyle name="Explanatory Text 3 2" xfId="9221"/>
    <cellStyle name="Explanatory Text 4" xfId="9222"/>
    <cellStyle name="Explanatory Text 4 2" xfId="52533"/>
    <cellStyle name="Explanatory Text 5" xfId="52534"/>
    <cellStyle name="Explanatory Text 5 2" xfId="52535"/>
    <cellStyle name="Explanatory Text 6" xfId="52536"/>
    <cellStyle name="Explanatory Text 6 2" xfId="52537"/>
    <cellStyle name="Explanatory Text 7" xfId="52538"/>
    <cellStyle name="Explanatory Text 7 2" xfId="52539"/>
    <cellStyle name="Explanatory Text 8" xfId="52540"/>
    <cellStyle name="Explanatory Text 9" xfId="52541"/>
    <cellStyle name="F2" xfId="3972"/>
    <cellStyle name="F2 2" xfId="3973"/>
    <cellStyle name="F2 2 2" xfId="52542"/>
    <cellStyle name="F2 3" xfId="52543"/>
    <cellStyle name="F2 3 2" xfId="52544"/>
    <cellStyle name="F2 4" xfId="52545"/>
    <cellStyle name="F2 5" xfId="52546"/>
    <cellStyle name="F2 6" xfId="52547"/>
    <cellStyle name="F2 7" xfId="52548"/>
    <cellStyle name="F2 8" xfId="52549"/>
    <cellStyle name="F2 9" xfId="52550"/>
    <cellStyle name="F2_Regenerated Revenues LGE Gas 2008-04 with Elec Gen-Seelye final version " xfId="52551"/>
    <cellStyle name="F3" xfId="3974"/>
    <cellStyle name="F3 2" xfId="3975"/>
    <cellStyle name="F3 2 2" xfId="52552"/>
    <cellStyle name="F3 3" xfId="52553"/>
    <cellStyle name="F3 3 2" xfId="52554"/>
    <cellStyle name="F3 4" xfId="52555"/>
    <cellStyle name="F3 5" xfId="52556"/>
    <cellStyle name="F3 6" xfId="52557"/>
    <cellStyle name="F3 7" xfId="52558"/>
    <cellStyle name="F3 8" xfId="52559"/>
    <cellStyle name="F3 9" xfId="52560"/>
    <cellStyle name="F3_Regenerated Revenues LGE Gas 2008-04 with Elec Gen-Seelye final version " xfId="52561"/>
    <cellStyle name="F4" xfId="3976"/>
    <cellStyle name="F4 2" xfId="3977"/>
    <cellStyle name="F4 2 2" xfId="52562"/>
    <cellStyle name="F4 3" xfId="52563"/>
    <cellStyle name="F4 3 2" xfId="52564"/>
    <cellStyle name="F4 4" xfId="52565"/>
    <cellStyle name="F4 5" xfId="52566"/>
    <cellStyle name="F4 6" xfId="52567"/>
    <cellStyle name="F4 7" xfId="52568"/>
    <cellStyle name="F4 8" xfId="52569"/>
    <cellStyle name="F4 9" xfId="52570"/>
    <cellStyle name="F4_Regenerated Revenues LGE Gas 2008-04 with Elec Gen-Seelye final version " xfId="52571"/>
    <cellStyle name="F5" xfId="3978"/>
    <cellStyle name="F5 2" xfId="3979"/>
    <cellStyle name="F5 2 2" xfId="52572"/>
    <cellStyle name="F5 3" xfId="3980"/>
    <cellStyle name="F5 3 2" xfId="52573"/>
    <cellStyle name="F5 4" xfId="52574"/>
    <cellStyle name="F5 5" xfId="52575"/>
    <cellStyle name="F5 6" xfId="52576"/>
    <cellStyle name="F5 7" xfId="52577"/>
    <cellStyle name="F5 8" xfId="52578"/>
    <cellStyle name="F5 9" xfId="52579"/>
    <cellStyle name="F5_Regenerated Revenues LGE Gas 2008-04 with Elec Gen-Seelye final version " xfId="52580"/>
    <cellStyle name="F6" xfId="3981"/>
    <cellStyle name="F6 10" xfId="59264"/>
    <cellStyle name="F6 10 2" xfId="59265"/>
    <cellStyle name="F6 11" xfId="59266"/>
    <cellStyle name="F6 2" xfId="3982"/>
    <cellStyle name="F6 2 2" xfId="3983"/>
    <cellStyle name="F6 2 2 2" xfId="59267"/>
    <cellStyle name="F6 3" xfId="3984"/>
    <cellStyle name="F6 3 2" xfId="52581"/>
    <cellStyle name="F6 4" xfId="52582"/>
    <cellStyle name="F6 5" xfId="52583"/>
    <cellStyle name="F6 6" xfId="52584"/>
    <cellStyle name="F6 7" xfId="52585"/>
    <cellStyle name="F6 8" xfId="52586"/>
    <cellStyle name="F6 9" xfId="52587"/>
    <cellStyle name="F6_Regenerated Revenues LGE Gas 2008-04 with Elec Gen-Seelye final version " xfId="52588"/>
    <cellStyle name="F7" xfId="3985"/>
    <cellStyle name="F7 2" xfId="3986"/>
    <cellStyle name="F7 2 2" xfId="52589"/>
    <cellStyle name="F7 3" xfId="52590"/>
    <cellStyle name="F7 3 2" xfId="52591"/>
    <cellStyle name="F7 4" xfId="52592"/>
    <cellStyle name="F7 5" xfId="52593"/>
    <cellStyle name="F7 6" xfId="52594"/>
    <cellStyle name="F7 7" xfId="52595"/>
    <cellStyle name="F7 8" xfId="52596"/>
    <cellStyle name="F7 9" xfId="52597"/>
    <cellStyle name="F7_Regenerated Revenues LGE Gas 2008-04 with Elec Gen-Seelye final version " xfId="52598"/>
    <cellStyle name="F8" xfId="3987"/>
    <cellStyle name="F8 2" xfId="3988"/>
    <cellStyle name="F8 2 2" xfId="52599"/>
    <cellStyle name="F8 3" xfId="52600"/>
    <cellStyle name="F8 3 2" xfId="52601"/>
    <cellStyle name="F8 4" xfId="52602"/>
    <cellStyle name="F8 5" xfId="52603"/>
    <cellStyle name="F8 6" xfId="52604"/>
    <cellStyle name="F8 7" xfId="52605"/>
    <cellStyle name="F8 8" xfId="52606"/>
    <cellStyle name="F8 9" xfId="52607"/>
    <cellStyle name="F8_Regenerated Revenues LGE Gas 2008-04 with Elec Gen-Seelye final version " xfId="52608"/>
    <cellStyle name="Fixed" xfId="3989"/>
    <cellStyle name="Fixed 2" xfId="3990"/>
    <cellStyle name="Fixed 2 2" xfId="52609"/>
    <cellStyle name="Fixed 2 3" xfId="59268"/>
    <cellStyle name="Fixed 3" xfId="3991"/>
    <cellStyle name="Fixed 3 2" xfId="52610"/>
    <cellStyle name="Fixed 3 3" xfId="59269"/>
    <cellStyle name="Fixed 4" xfId="57923"/>
    <cellStyle name="Good 10" xfId="52611"/>
    <cellStyle name="Good 11" xfId="52612"/>
    <cellStyle name="Good 12" xfId="52613"/>
    <cellStyle name="Good 13" xfId="52614"/>
    <cellStyle name="Good 14" xfId="52615"/>
    <cellStyle name="Good 15" xfId="52616"/>
    <cellStyle name="Good 16" xfId="52617"/>
    <cellStyle name="Good 17" xfId="52618"/>
    <cellStyle name="Good 17 2" xfId="59270"/>
    <cellStyle name="Good 2" xfId="3992"/>
    <cellStyle name="Good 2 2" xfId="3993"/>
    <cellStyle name="Good 2 2 2" xfId="52619"/>
    <cellStyle name="Good 2 3" xfId="52620"/>
    <cellStyle name="Good 2 4" xfId="52621"/>
    <cellStyle name="Good 2 5" xfId="52622"/>
    <cellStyle name="Good 3" xfId="3994"/>
    <cellStyle name="Good 3 2" xfId="9223"/>
    <cellStyle name="Good 4" xfId="9224"/>
    <cellStyle name="Good 4 2" xfId="52623"/>
    <cellStyle name="Good 5" xfId="52624"/>
    <cellStyle name="Good 5 2" xfId="52625"/>
    <cellStyle name="Good 6" xfId="52626"/>
    <cellStyle name="Good 6 2" xfId="52627"/>
    <cellStyle name="Good 7" xfId="52628"/>
    <cellStyle name="Good 7 2" xfId="52629"/>
    <cellStyle name="Good 8" xfId="52630"/>
    <cellStyle name="Good 9" xfId="52631"/>
    <cellStyle name="Heading 1 10" xfId="52632"/>
    <cellStyle name="Heading 1 11" xfId="52633"/>
    <cellStyle name="Heading 1 12" xfId="52634"/>
    <cellStyle name="Heading 1 13" xfId="52635"/>
    <cellStyle name="Heading 1 14" xfId="52636"/>
    <cellStyle name="Heading 1 15" xfId="52637"/>
    <cellStyle name="Heading 1 16" xfId="52638"/>
    <cellStyle name="Heading 1 17" xfId="52639"/>
    <cellStyle name="Heading 1 17 2" xfId="59271"/>
    <cellStyle name="Heading 1 17 3" xfId="59272"/>
    <cellStyle name="Heading 1 17 4" xfId="59273"/>
    <cellStyle name="Heading 1 2" xfId="3995"/>
    <cellStyle name="Heading 1 2 2" xfId="3996"/>
    <cellStyle name="Heading 1 2 2 2" xfId="52640"/>
    <cellStyle name="Heading 1 2 3" xfId="52641"/>
    <cellStyle name="Heading 1 2 4" xfId="52642"/>
    <cellStyle name="Heading 1 2 5" xfId="52643"/>
    <cellStyle name="Heading 1 3" xfId="3997"/>
    <cellStyle name="Heading 1 3 2" xfId="3998"/>
    <cellStyle name="Heading 1 3 2 2" xfId="57924"/>
    <cellStyle name="Heading 1 3 3" xfId="52644"/>
    <cellStyle name="Heading 1 4" xfId="9225"/>
    <cellStyle name="Heading 1 4 2" xfId="52645"/>
    <cellStyle name="Heading 1 5" xfId="9226"/>
    <cellStyle name="Heading 1 5 2" xfId="52646"/>
    <cellStyle name="Heading 1 6" xfId="52647"/>
    <cellStyle name="Heading 1 6 2" xfId="52648"/>
    <cellStyle name="Heading 1 7" xfId="52649"/>
    <cellStyle name="Heading 1 7 2" xfId="52650"/>
    <cellStyle name="Heading 1 8" xfId="52651"/>
    <cellStyle name="Heading 1 9" xfId="52652"/>
    <cellStyle name="Heading 2 10" xfId="52653"/>
    <cellStyle name="Heading 2 11" xfId="52654"/>
    <cellStyle name="Heading 2 12" xfId="52655"/>
    <cellStyle name="Heading 2 13" xfId="52656"/>
    <cellStyle name="Heading 2 14" xfId="52657"/>
    <cellStyle name="Heading 2 15" xfId="52658"/>
    <cellStyle name="Heading 2 16" xfId="52659"/>
    <cellStyle name="Heading 2 17" xfId="52660"/>
    <cellStyle name="Heading 2 17 2" xfId="59274"/>
    <cellStyle name="Heading 2 17 3" xfId="59275"/>
    <cellStyle name="Heading 2 17 4" xfId="59276"/>
    <cellStyle name="Heading 2 2" xfId="3999"/>
    <cellStyle name="Heading 2 2 2" xfId="4000"/>
    <cellStyle name="Heading 2 2 2 2" xfId="52661"/>
    <cellStyle name="Heading 2 2 3" xfId="52662"/>
    <cellStyle name="Heading 2 2 4" xfId="52663"/>
    <cellStyle name="Heading 2 2 5" xfId="52664"/>
    <cellStyle name="Heading 2 3" xfId="4001"/>
    <cellStyle name="Heading 2 3 2" xfId="4002"/>
    <cellStyle name="Heading 2 3 2 2" xfId="52665"/>
    <cellStyle name="Heading 2 3 3" xfId="52666"/>
    <cellStyle name="Heading 2 4" xfId="9227"/>
    <cellStyle name="Heading 2 4 2" xfId="52667"/>
    <cellStyle name="Heading 2 5" xfId="9228"/>
    <cellStyle name="Heading 2 5 2" xfId="52668"/>
    <cellStyle name="Heading 2 6" xfId="52669"/>
    <cellStyle name="Heading 2 6 2" xfId="52670"/>
    <cellStyle name="Heading 2 7" xfId="52671"/>
    <cellStyle name="Heading 2 7 2" xfId="52672"/>
    <cellStyle name="Heading 2 8" xfId="52673"/>
    <cellStyle name="Heading 2 9" xfId="52674"/>
    <cellStyle name="Heading 3 10" xfId="52675"/>
    <cellStyle name="Heading 3 11" xfId="52676"/>
    <cellStyle name="Heading 3 12" xfId="52677"/>
    <cellStyle name="Heading 3 13" xfId="52678"/>
    <cellStyle name="Heading 3 14" xfId="52679"/>
    <cellStyle name="Heading 3 15" xfId="52680"/>
    <cellStyle name="Heading 3 16" xfId="52681"/>
    <cellStyle name="Heading 3 17" xfId="52682"/>
    <cellStyle name="Heading 3 17 2" xfId="59277"/>
    <cellStyle name="Heading 3 2" xfId="4003"/>
    <cellStyle name="Heading 3 2 2" xfId="4004"/>
    <cellStyle name="Heading 3 2 2 2" xfId="52683"/>
    <cellStyle name="Heading 3 2 3" xfId="4005"/>
    <cellStyle name="Heading 3 2 4" xfId="52684"/>
    <cellStyle name="Heading 3 2 5" xfId="52685"/>
    <cellStyle name="Heading 3 2 6" xfId="52686"/>
    <cellStyle name="Heading 3 2 7" xfId="52687"/>
    <cellStyle name="Heading 3 3" xfId="4006"/>
    <cellStyle name="Heading 3 3 2" xfId="9229"/>
    <cellStyle name="Heading 3 3 3" xfId="52688"/>
    <cellStyle name="Heading 3 4" xfId="4007"/>
    <cellStyle name="Heading 3 4 2" xfId="52689"/>
    <cellStyle name="Heading 3 5" xfId="4008"/>
    <cellStyle name="Heading 3 5 2" xfId="52690"/>
    <cellStyle name="Heading 3 6" xfId="9230"/>
    <cellStyle name="Heading 3 6 2" xfId="52691"/>
    <cellStyle name="Heading 3 7" xfId="52692"/>
    <cellStyle name="Heading 3 7 2" xfId="52693"/>
    <cellStyle name="Heading 3 8" xfId="52694"/>
    <cellStyle name="Heading 3 8 2" xfId="52695"/>
    <cellStyle name="Heading 3 9" xfId="52696"/>
    <cellStyle name="Heading 3 9 2" xfId="52697"/>
    <cellStyle name="Heading 4 10" xfId="52698"/>
    <cellStyle name="Heading 4 11" xfId="52699"/>
    <cellStyle name="Heading 4 12" xfId="52700"/>
    <cellStyle name="Heading 4 13" xfId="52701"/>
    <cellStyle name="Heading 4 14" xfId="52702"/>
    <cellStyle name="Heading 4 15" xfId="52703"/>
    <cellStyle name="Heading 4 16" xfId="52704"/>
    <cellStyle name="Heading 4 17" xfId="52705"/>
    <cellStyle name="Heading 4 17 2" xfId="59278"/>
    <cellStyle name="Heading 4 2" xfId="4009"/>
    <cellStyle name="Heading 4 2 2" xfId="4010"/>
    <cellStyle name="Heading 4 2 2 2" xfId="52706"/>
    <cellStyle name="Heading 4 2 3" xfId="52707"/>
    <cellStyle name="Heading 4 2 4" xfId="52708"/>
    <cellStyle name="Heading 4 2 5" xfId="52709"/>
    <cellStyle name="Heading 4 3" xfId="4011"/>
    <cellStyle name="Heading 4 3 2" xfId="9231"/>
    <cellStyle name="Heading 4 4" xfId="9232"/>
    <cellStyle name="Heading 4 4 2" xfId="52710"/>
    <cellStyle name="Heading 4 5" xfId="52711"/>
    <cellStyle name="Heading 4 5 2" xfId="52712"/>
    <cellStyle name="Heading 4 6" xfId="52713"/>
    <cellStyle name="Heading 4 6 2" xfId="52714"/>
    <cellStyle name="Heading 4 7" xfId="52715"/>
    <cellStyle name="Heading 4 7 2" xfId="52716"/>
    <cellStyle name="Heading 4 8" xfId="52717"/>
    <cellStyle name="Heading 4 9" xfId="52718"/>
    <cellStyle name="Hyperlink 2" xfId="4012"/>
    <cellStyle name="Hyperlink 2 2" xfId="52719"/>
    <cellStyle name="Input 10" xfId="4013"/>
    <cellStyle name="Input 10 10" xfId="4014"/>
    <cellStyle name="Input 10 11" xfId="57925"/>
    <cellStyle name="Input 10 12" xfId="59279"/>
    <cellStyle name="Input 10 2" xfId="4015"/>
    <cellStyle name="Input 10 2 2" xfId="4016"/>
    <cellStyle name="Input 10 2 2 2" xfId="59280"/>
    <cellStyle name="Input 10 2 3" xfId="4017"/>
    <cellStyle name="Input 10 2 3 2" xfId="59281"/>
    <cellStyle name="Input 10 2 4" xfId="4018"/>
    <cellStyle name="Input 10 2 4 2" xfId="59282"/>
    <cellStyle name="Input 10 2 5" xfId="4019"/>
    <cellStyle name="Input 10 2 5 2" xfId="59283"/>
    <cellStyle name="Input 10 2 6" xfId="4020"/>
    <cellStyle name="Input 10 2 6 2" xfId="59284"/>
    <cellStyle name="Input 10 2 7" xfId="4021"/>
    <cellStyle name="Input 10 2 7 2" xfId="59285"/>
    <cellStyle name="Input 10 2 8" xfId="4022"/>
    <cellStyle name="Input 10 2 8 2" xfId="59286"/>
    <cellStyle name="Input 10 2 9" xfId="4023"/>
    <cellStyle name="Input 10 3" xfId="4024"/>
    <cellStyle name="Input 10 3 2" xfId="59287"/>
    <cellStyle name="Input 10 4" xfId="4025"/>
    <cellStyle name="Input 10 4 2" xfId="59288"/>
    <cellStyle name="Input 10 5" xfId="4026"/>
    <cellStyle name="Input 10 5 2" xfId="59289"/>
    <cellStyle name="Input 10 6" xfId="4027"/>
    <cellStyle name="Input 10 6 2" xfId="59290"/>
    <cellStyle name="Input 10 7" xfId="4028"/>
    <cellStyle name="Input 10 7 2" xfId="59291"/>
    <cellStyle name="Input 10 8" xfId="4029"/>
    <cellStyle name="Input 10 8 2" xfId="59292"/>
    <cellStyle name="Input 10 9" xfId="4030"/>
    <cellStyle name="Input 10 9 2" xfId="59293"/>
    <cellStyle name="Input 11" xfId="4031"/>
    <cellStyle name="Input 11 10" xfId="4032"/>
    <cellStyle name="Input 11 11" xfId="57926"/>
    <cellStyle name="Input 11 12" xfId="59294"/>
    <cellStyle name="Input 11 2" xfId="4033"/>
    <cellStyle name="Input 11 2 2" xfId="4034"/>
    <cellStyle name="Input 11 2 2 2" xfId="59295"/>
    <cellStyle name="Input 11 2 3" xfId="4035"/>
    <cellStyle name="Input 11 2 3 2" xfId="59296"/>
    <cellStyle name="Input 11 2 4" xfId="4036"/>
    <cellStyle name="Input 11 2 4 2" xfId="59297"/>
    <cellStyle name="Input 11 2 5" xfId="4037"/>
    <cellStyle name="Input 11 2 5 2" xfId="59298"/>
    <cellStyle name="Input 11 2 6" xfId="4038"/>
    <cellStyle name="Input 11 2 6 2" xfId="59299"/>
    <cellStyle name="Input 11 2 7" xfId="4039"/>
    <cellStyle name="Input 11 2 7 2" xfId="59300"/>
    <cellStyle name="Input 11 2 8" xfId="4040"/>
    <cellStyle name="Input 11 2 8 2" xfId="59301"/>
    <cellStyle name="Input 11 2 9" xfId="4041"/>
    <cellStyle name="Input 11 3" xfId="4042"/>
    <cellStyle name="Input 11 3 2" xfId="59302"/>
    <cellStyle name="Input 11 4" xfId="4043"/>
    <cellStyle name="Input 11 4 2" xfId="59303"/>
    <cellStyle name="Input 11 5" xfId="4044"/>
    <cellStyle name="Input 11 5 2" xfId="59304"/>
    <cellStyle name="Input 11 6" xfId="4045"/>
    <cellStyle name="Input 11 6 2" xfId="59305"/>
    <cellStyle name="Input 11 7" xfId="4046"/>
    <cellStyle name="Input 11 7 2" xfId="59306"/>
    <cellStyle name="Input 11 8" xfId="4047"/>
    <cellStyle name="Input 11 8 2" xfId="59307"/>
    <cellStyle name="Input 11 9" xfId="4048"/>
    <cellStyle name="Input 11 9 2" xfId="59308"/>
    <cellStyle name="Input 12" xfId="4049"/>
    <cellStyle name="Input 12 10" xfId="4050"/>
    <cellStyle name="Input 12 11" xfId="57927"/>
    <cellStyle name="Input 12 12" xfId="59309"/>
    <cellStyle name="Input 12 2" xfId="4051"/>
    <cellStyle name="Input 12 2 2" xfId="4052"/>
    <cellStyle name="Input 12 2 2 2" xfId="59310"/>
    <cellStyle name="Input 12 2 3" xfId="4053"/>
    <cellStyle name="Input 12 2 3 2" xfId="59311"/>
    <cellStyle name="Input 12 2 4" xfId="4054"/>
    <cellStyle name="Input 12 2 4 2" xfId="59312"/>
    <cellStyle name="Input 12 2 5" xfId="4055"/>
    <cellStyle name="Input 12 2 5 2" xfId="59313"/>
    <cellStyle name="Input 12 2 6" xfId="4056"/>
    <cellStyle name="Input 12 2 6 2" xfId="59314"/>
    <cellStyle name="Input 12 2 7" xfId="4057"/>
    <cellStyle name="Input 12 2 7 2" xfId="59315"/>
    <cellStyle name="Input 12 2 8" xfId="4058"/>
    <cellStyle name="Input 12 2 8 2" xfId="59316"/>
    <cellStyle name="Input 12 2 9" xfId="4059"/>
    <cellStyle name="Input 12 3" xfId="4060"/>
    <cellStyle name="Input 12 3 2" xfId="59317"/>
    <cellStyle name="Input 12 4" xfId="4061"/>
    <cellStyle name="Input 12 4 2" xfId="59318"/>
    <cellStyle name="Input 12 5" xfId="4062"/>
    <cellStyle name="Input 12 5 2" xfId="59319"/>
    <cellStyle name="Input 12 6" xfId="4063"/>
    <cellStyle name="Input 12 6 2" xfId="59320"/>
    <cellStyle name="Input 12 7" xfId="4064"/>
    <cellStyle name="Input 12 7 2" xfId="59321"/>
    <cellStyle name="Input 12 8" xfId="4065"/>
    <cellStyle name="Input 12 8 2" xfId="59322"/>
    <cellStyle name="Input 12 9" xfId="4066"/>
    <cellStyle name="Input 12 9 2" xfId="59323"/>
    <cellStyle name="Input 13" xfId="4067"/>
    <cellStyle name="Input 13 10" xfId="4068"/>
    <cellStyle name="Input 13 11" xfId="57928"/>
    <cellStyle name="Input 13 12" xfId="59324"/>
    <cellStyle name="Input 13 2" xfId="4069"/>
    <cellStyle name="Input 13 2 2" xfId="4070"/>
    <cellStyle name="Input 13 2 2 2" xfId="59325"/>
    <cellStyle name="Input 13 2 3" xfId="4071"/>
    <cellStyle name="Input 13 2 3 2" xfId="59326"/>
    <cellStyle name="Input 13 2 4" xfId="4072"/>
    <cellStyle name="Input 13 2 4 2" xfId="59327"/>
    <cellStyle name="Input 13 2 5" xfId="4073"/>
    <cellStyle name="Input 13 2 5 2" xfId="59328"/>
    <cellStyle name="Input 13 2 6" xfId="4074"/>
    <cellStyle name="Input 13 2 6 2" xfId="59329"/>
    <cellStyle name="Input 13 2 7" xfId="4075"/>
    <cellStyle name="Input 13 2 7 2" xfId="59330"/>
    <cellStyle name="Input 13 2 8" xfId="4076"/>
    <cellStyle name="Input 13 2 8 2" xfId="59331"/>
    <cellStyle name="Input 13 2 9" xfId="4077"/>
    <cellStyle name="Input 13 3" xfId="4078"/>
    <cellStyle name="Input 13 3 2" xfId="59332"/>
    <cellStyle name="Input 13 4" xfId="4079"/>
    <cellStyle name="Input 13 4 2" xfId="59333"/>
    <cellStyle name="Input 13 5" xfId="4080"/>
    <cellStyle name="Input 13 5 2" xfId="59334"/>
    <cellStyle name="Input 13 6" xfId="4081"/>
    <cellStyle name="Input 13 6 2" xfId="59335"/>
    <cellStyle name="Input 13 7" xfId="4082"/>
    <cellStyle name="Input 13 7 2" xfId="59336"/>
    <cellStyle name="Input 13 8" xfId="4083"/>
    <cellStyle name="Input 13 8 2" xfId="59337"/>
    <cellStyle name="Input 13 9" xfId="4084"/>
    <cellStyle name="Input 13 9 2" xfId="59338"/>
    <cellStyle name="Input 14" xfId="4085"/>
    <cellStyle name="Input 14 10" xfId="4086"/>
    <cellStyle name="Input 14 11" xfId="57929"/>
    <cellStyle name="Input 14 12" xfId="59339"/>
    <cellStyle name="Input 14 2" xfId="4087"/>
    <cellStyle name="Input 14 2 2" xfId="4088"/>
    <cellStyle name="Input 14 2 2 2" xfId="59340"/>
    <cellStyle name="Input 14 2 3" xfId="4089"/>
    <cellStyle name="Input 14 2 3 2" xfId="59341"/>
    <cellStyle name="Input 14 2 4" xfId="4090"/>
    <cellStyle name="Input 14 2 4 2" xfId="59342"/>
    <cellStyle name="Input 14 2 5" xfId="4091"/>
    <cellStyle name="Input 14 2 5 2" xfId="59343"/>
    <cellStyle name="Input 14 2 6" xfId="4092"/>
    <cellStyle name="Input 14 2 6 2" xfId="59344"/>
    <cellStyle name="Input 14 2 7" xfId="4093"/>
    <cellStyle name="Input 14 2 7 2" xfId="59345"/>
    <cellStyle name="Input 14 2 8" xfId="4094"/>
    <cellStyle name="Input 14 2 8 2" xfId="59346"/>
    <cellStyle name="Input 14 2 9" xfId="4095"/>
    <cellStyle name="Input 14 3" xfId="4096"/>
    <cellStyle name="Input 14 3 2" xfId="59347"/>
    <cellStyle name="Input 14 4" xfId="4097"/>
    <cellStyle name="Input 14 4 2" xfId="59348"/>
    <cellStyle name="Input 14 5" xfId="4098"/>
    <cellStyle name="Input 14 5 2" xfId="59349"/>
    <cellStyle name="Input 14 6" xfId="4099"/>
    <cellStyle name="Input 14 6 2" xfId="59350"/>
    <cellStyle name="Input 14 7" xfId="4100"/>
    <cellStyle name="Input 14 7 2" xfId="59351"/>
    <cellStyle name="Input 14 8" xfId="4101"/>
    <cellStyle name="Input 14 8 2" xfId="59352"/>
    <cellStyle name="Input 14 9" xfId="4102"/>
    <cellStyle name="Input 14 9 2" xfId="59353"/>
    <cellStyle name="Input 15" xfId="4103"/>
    <cellStyle name="Input 15 10" xfId="4104"/>
    <cellStyle name="Input 15 11" xfId="57930"/>
    <cellStyle name="Input 15 12" xfId="59354"/>
    <cellStyle name="Input 15 2" xfId="4105"/>
    <cellStyle name="Input 15 2 2" xfId="4106"/>
    <cellStyle name="Input 15 2 2 2" xfId="59355"/>
    <cellStyle name="Input 15 2 3" xfId="4107"/>
    <cellStyle name="Input 15 2 3 2" xfId="59356"/>
    <cellStyle name="Input 15 2 4" xfId="4108"/>
    <cellStyle name="Input 15 2 4 2" xfId="59357"/>
    <cellStyle name="Input 15 2 5" xfId="4109"/>
    <cellStyle name="Input 15 2 5 2" xfId="59358"/>
    <cellStyle name="Input 15 2 6" xfId="4110"/>
    <cellStyle name="Input 15 2 6 2" xfId="59359"/>
    <cellStyle name="Input 15 2 7" xfId="4111"/>
    <cellStyle name="Input 15 2 7 2" xfId="59360"/>
    <cellStyle name="Input 15 2 8" xfId="4112"/>
    <cellStyle name="Input 15 2 8 2" xfId="59361"/>
    <cellStyle name="Input 15 2 9" xfId="4113"/>
    <cellStyle name="Input 15 3" xfId="4114"/>
    <cellStyle name="Input 15 3 2" xfId="59362"/>
    <cellStyle name="Input 15 4" xfId="4115"/>
    <cellStyle name="Input 15 4 2" xfId="59363"/>
    <cellStyle name="Input 15 5" xfId="4116"/>
    <cellStyle name="Input 15 5 2" xfId="59364"/>
    <cellStyle name="Input 15 6" xfId="4117"/>
    <cellStyle name="Input 15 6 2" xfId="59365"/>
    <cellStyle name="Input 15 7" xfId="4118"/>
    <cellStyle name="Input 15 7 2" xfId="59366"/>
    <cellStyle name="Input 15 8" xfId="4119"/>
    <cellStyle name="Input 15 8 2" xfId="59367"/>
    <cellStyle name="Input 15 9" xfId="4120"/>
    <cellStyle name="Input 15 9 2" xfId="59368"/>
    <cellStyle name="Input 16" xfId="4121"/>
    <cellStyle name="Input 16 10" xfId="4122"/>
    <cellStyle name="Input 16 11" xfId="57931"/>
    <cellStyle name="Input 16 12" xfId="59369"/>
    <cellStyle name="Input 16 2" xfId="4123"/>
    <cellStyle name="Input 16 2 2" xfId="4124"/>
    <cellStyle name="Input 16 2 2 2" xfId="59370"/>
    <cellStyle name="Input 16 2 3" xfId="4125"/>
    <cellStyle name="Input 16 2 3 2" xfId="59371"/>
    <cellStyle name="Input 16 2 4" xfId="4126"/>
    <cellStyle name="Input 16 2 4 2" xfId="59372"/>
    <cellStyle name="Input 16 2 5" xfId="4127"/>
    <cellStyle name="Input 16 2 5 2" xfId="59373"/>
    <cellStyle name="Input 16 2 6" xfId="4128"/>
    <cellStyle name="Input 16 2 6 2" xfId="59374"/>
    <cellStyle name="Input 16 2 7" xfId="4129"/>
    <cellStyle name="Input 16 2 7 2" xfId="59375"/>
    <cellStyle name="Input 16 2 8" xfId="4130"/>
    <cellStyle name="Input 16 2 8 2" xfId="59376"/>
    <cellStyle name="Input 16 2 9" xfId="4131"/>
    <cellStyle name="Input 16 3" xfId="4132"/>
    <cellStyle name="Input 16 3 2" xfId="59377"/>
    <cellStyle name="Input 16 4" xfId="4133"/>
    <cellStyle name="Input 16 4 2" xfId="59378"/>
    <cellStyle name="Input 16 5" xfId="4134"/>
    <cellStyle name="Input 16 5 2" xfId="59379"/>
    <cellStyle name="Input 16 6" xfId="4135"/>
    <cellStyle name="Input 16 6 2" xfId="59380"/>
    <cellStyle name="Input 16 7" xfId="4136"/>
    <cellStyle name="Input 16 7 2" xfId="59381"/>
    <cellStyle name="Input 16 8" xfId="4137"/>
    <cellStyle name="Input 16 8 2" xfId="59382"/>
    <cellStyle name="Input 16 9" xfId="4138"/>
    <cellStyle name="Input 16 9 2" xfId="59383"/>
    <cellStyle name="Input 17" xfId="4139"/>
    <cellStyle name="Input 17 10" xfId="4140"/>
    <cellStyle name="Input 17 11" xfId="59384"/>
    <cellStyle name="Input 17 2" xfId="4141"/>
    <cellStyle name="Input 17 2 2" xfId="4142"/>
    <cellStyle name="Input 17 2 2 2" xfId="59385"/>
    <cellStyle name="Input 17 2 3" xfId="4143"/>
    <cellStyle name="Input 17 2 3 2" xfId="59386"/>
    <cellStyle name="Input 17 2 4" xfId="4144"/>
    <cellStyle name="Input 17 2 4 2" xfId="59387"/>
    <cellStyle name="Input 17 2 5" xfId="4145"/>
    <cellStyle name="Input 17 2 5 2" xfId="59388"/>
    <cellStyle name="Input 17 2 6" xfId="4146"/>
    <cellStyle name="Input 17 2 6 2" xfId="59389"/>
    <cellStyle name="Input 17 2 7" xfId="4147"/>
    <cellStyle name="Input 17 2 7 2" xfId="59390"/>
    <cellStyle name="Input 17 2 8" xfId="4148"/>
    <cellStyle name="Input 17 2 8 2" xfId="59391"/>
    <cellStyle name="Input 17 2 9" xfId="4149"/>
    <cellStyle name="Input 17 3" xfId="4150"/>
    <cellStyle name="Input 17 3 2" xfId="59392"/>
    <cellStyle name="Input 17 4" xfId="4151"/>
    <cellStyle name="Input 17 4 2" xfId="59393"/>
    <cellStyle name="Input 17 5" xfId="4152"/>
    <cellStyle name="Input 17 5 2" xfId="59394"/>
    <cellStyle name="Input 17 6" xfId="4153"/>
    <cellStyle name="Input 17 6 2" xfId="59395"/>
    <cellStyle name="Input 17 7" xfId="4154"/>
    <cellStyle name="Input 17 7 2" xfId="59396"/>
    <cellStyle name="Input 17 8" xfId="4155"/>
    <cellStyle name="Input 17 8 2" xfId="59397"/>
    <cellStyle name="Input 17 9" xfId="4156"/>
    <cellStyle name="Input 17 9 2" xfId="59398"/>
    <cellStyle name="Input 18" xfId="4157"/>
    <cellStyle name="Input 18 10" xfId="4158"/>
    <cellStyle name="Input 18 2" xfId="4159"/>
    <cellStyle name="Input 18 2 2" xfId="4160"/>
    <cellStyle name="Input 18 2 2 2" xfId="59399"/>
    <cellStyle name="Input 18 2 3" xfId="4161"/>
    <cellStyle name="Input 18 2 3 2" xfId="59400"/>
    <cellStyle name="Input 18 2 4" xfId="4162"/>
    <cellStyle name="Input 18 2 4 2" xfId="59401"/>
    <cellStyle name="Input 18 2 5" xfId="4163"/>
    <cellStyle name="Input 18 2 5 2" xfId="59402"/>
    <cellStyle name="Input 18 2 6" xfId="4164"/>
    <cellStyle name="Input 18 2 6 2" xfId="59403"/>
    <cellStyle name="Input 18 2 7" xfId="4165"/>
    <cellStyle name="Input 18 2 7 2" xfId="59404"/>
    <cellStyle name="Input 18 2 8" xfId="4166"/>
    <cellStyle name="Input 18 2 8 2" xfId="59405"/>
    <cellStyle name="Input 18 2 9" xfId="4167"/>
    <cellStyle name="Input 18 3" xfId="4168"/>
    <cellStyle name="Input 18 3 2" xfId="59406"/>
    <cellStyle name="Input 18 4" xfId="4169"/>
    <cellStyle name="Input 18 4 2" xfId="59407"/>
    <cellStyle name="Input 18 5" xfId="4170"/>
    <cellStyle name="Input 18 5 2" xfId="59408"/>
    <cellStyle name="Input 18 6" xfId="4171"/>
    <cellStyle name="Input 18 6 2" xfId="59409"/>
    <cellStyle name="Input 18 7" xfId="4172"/>
    <cellStyle name="Input 18 7 2" xfId="59410"/>
    <cellStyle name="Input 18 8" xfId="4173"/>
    <cellStyle name="Input 18 8 2" xfId="59411"/>
    <cellStyle name="Input 18 9" xfId="4174"/>
    <cellStyle name="Input 18 9 2" xfId="59412"/>
    <cellStyle name="Input 19" xfId="4175"/>
    <cellStyle name="Input 19 10" xfId="4176"/>
    <cellStyle name="Input 19 2" xfId="4177"/>
    <cellStyle name="Input 19 2 2" xfId="4178"/>
    <cellStyle name="Input 19 2 2 2" xfId="59413"/>
    <cellStyle name="Input 19 2 3" xfId="4179"/>
    <cellStyle name="Input 19 2 3 2" xfId="59414"/>
    <cellStyle name="Input 19 2 4" xfId="4180"/>
    <cellStyle name="Input 19 2 4 2" xfId="59415"/>
    <cellStyle name="Input 19 2 5" xfId="4181"/>
    <cellStyle name="Input 19 2 5 2" xfId="59416"/>
    <cellStyle name="Input 19 2 6" xfId="4182"/>
    <cellStyle name="Input 19 2 6 2" xfId="59417"/>
    <cellStyle name="Input 19 2 7" xfId="4183"/>
    <cellStyle name="Input 19 2 7 2" xfId="59418"/>
    <cellStyle name="Input 19 2 8" xfId="4184"/>
    <cellStyle name="Input 19 2 8 2" xfId="59419"/>
    <cellStyle name="Input 19 2 9" xfId="4185"/>
    <cellStyle name="Input 19 3" xfId="4186"/>
    <cellStyle name="Input 19 3 2" xfId="59420"/>
    <cellStyle name="Input 19 4" xfId="4187"/>
    <cellStyle name="Input 19 4 2" xfId="59421"/>
    <cellStyle name="Input 19 5" xfId="4188"/>
    <cellStyle name="Input 19 5 2" xfId="59422"/>
    <cellStyle name="Input 19 6" xfId="4189"/>
    <cellStyle name="Input 19 6 2" xfId="59423"/>
    <cellStyle name="Input 19 7" xfId="4190"/>
    <cellStyle name="Input 19 7 2" xfId="59424"/>
    <cellStyle name="Input 19 8" xfId="4191"/>
    <cellStyle name="Input 19 8 2" xfId="59425"/>
    <cellStyle name="Input 19 9" xfId="4192"/>
    <cellStyle name="Input 19 9 2" xfId="59426"/>
    <cellStyle name="Input 2" xfId="4193"/>
    <cellStyle name="Input 2 10" xfId="59427"/>
    <cellStyle name="Input 2 2" xfId="4194"/>
    <cellStyle name="Input 2 2 10" xfId="4195"/>
    <cellStyle name="Input 2 2 11" xfId="59428"/>
    <cellStyle name="Input 2 2 2" xfId="4196"/>
    <cellStyle name="Input 2 2 2 2" xfId="59429"/>
    <cellStyle name="Input 2 2 3" xfId="4197"/>
    <cellStyle name="Input 2 2 3 2" xfId="59430"/>
    <cellStyle name="Input 2 2 4" xfId="4198"/>
    <cellStyle name="Input 2 2 4 2" xfId="59431"/>
    <cellStyle name="Input 2 2 5" xfId="4199"/>
    <cellStyle name="Input 2 2 5 2" xfId="59432"/>
    <cellStyle name="Input 2 2 6" xfId="4200"/>
    <cellStyle name="Input 2 2 6 2" xfId="59433"/>
    <cellStyle name="Input 2 2 7" xfId="4201"/>
    <cellStyle name="Input 2 2 7 2" xfId="59434"/>
    <cellStyle name="Input 2 2 8" xfId="4202"/>
    <cellStyle name="Input 2 2 8 2" xfId="59435"/>
    <cellStyle name="Input 2 2 9" xfId="4203"/>
    <cellStyle name="Input 2 3" xfId="4204"/>
    <cellStyle name="Input 2 3 2" xfId="59436"/>
    <cellStyle name="Input 2 4" xfId="4205"/>
    <cellStyle name="Input 2 4 2" xfId="59437"/>
    <cellStyle name="Input 2 5" xfId="4206"/>
    <cellStyle name="Input 2 5 2" xfId="59438"/>
    <cellStyle name="Input 2 6" xfId="4207"/>
    <cellStyle name="Input 2 6 2" xfId="59439"/>
    <cellStyle name="Input 2 7" xfId="4208"/>
    <cellStyle name="Input 2 7 2" xfId="59440"/>
    <cellStyle name="Input 2 8" xfId="4209"/>
    <cellStyle name="Input 2 8 2" xfId="59441"/>
    <cellStyle name="Input 2 9" xfId="4210"/>
    <cellStyle name="Input 20" xfId="4211"/>
    <cellStyle name="Input 20 10" xfId="4212"/>
    <cellStyle name="Input 20 2" xfId="4213"/>
    <cellStyle name="Input 20 2 2" xfId="4214"/>
    <cellStyle name="Input 20 2 2 2" xfId="59442"/>
    <cellStyle name="Input 20 2 3" xfId="4215"/>
    <cellStyle name="Input 20 2 3 2" xfId="59443"/>
    <cellStyle name="Input 20 2 4" xfId="4216"/>
    <cellStyle name="Input 20 2 4 2" xfId="59444"/>
    <cellStyle name="Input 20 2 5" xfId="4217"/>
    <cellStyle name="Input 20 2 5 2" xfId="59445"/>
    <cellStyle name="Input 20 2 6" xfId="4218"/>
    <cellStyle name="Input 20 2 6 2" xfId="59446"/>
    <cellStyle name="Input 20 2 7" xfId="4219"/>
    <cellStyle name="Input 20 2 7 2" xfId="59447"/>
    <cellStyle name="Input 20 2 8" xfId="4220"/>
    <cellStyle name="Input 20 2 8 2" xfId="59448"/>
    <cellStyle name="Input 20 2 9" xfId="4221"/>
    <cellStyle name="Input 20 3" xfId="4222"/>
    <cellStyle name="Input 20 3 2" xfId="59449"/>
    <cellStyle name="Input 20 4" xfId="4223"/>
    <cellStyle name="Input 20 4 2" xfId="59450"/>
    <cellStyle name="Input 20 5" xfId="4224"/>
    <cellStyle name="Input 20 5 2" xfId="59451"/>
    <cellStyle name="Input 20 6" xfId="4225"/>
    <cellStyle name="Input 20 6 2" xfId="59452"/>
    <cellStyle name="Input 20 7" xfId="4226"/>
    <cellStyle name="Input 20 7 2" xfId="59453"/>
    <cellStyle name="Input 20 8" xfId="4227"/>
    <cellStyle name="Input 20 8 2" xfId="59454"/>
    <cellStyle name="Input 20 9" xfId="4228"/>
    <cellStyle name="Input 20 9 2" xfId="59455"/>
    <cellStyle name="Input 21" xfId="4229"/>
    <cellStyle name="Input 21 10" xfId="4230"/>
    <cellStyle name="Input 21 2" xfId="4231"/>
    <cellStyle name="Input 21 2 2" xfId="4232"/>
    <cellStyle name="Input 21 2 2 2" xfId="59456"/>
    <cellStyle name="Input 21 2 3" xfId="4233"/>
    <cellStyle name="Input 21 2 3 2" xfId="59457"/>
    <cellStyle name="Input 21 2 4" xfId="4234"/>
    <cellStyle name="Input 21 2 4 2" xfId="59458"/>
    <cellStyle name="Input 21 2 5" xfId="4235"/>
    <cellStyle name="Input 21 2 5 2" xfId="59459"/>
    <cellStyle name="Input 21 2 6" xfId="4236"/>
    <cellStyle name="Input 21 2 6 2" xfId="59460"/>
    <cellStyle name="Input 21 2 7" xfId="4237"/>
    <cellStyle name="Input 21 2 7 2" xfId="59461"/>
    <cellStyle name="Input 21 2 8" xfId="4238"/>
    <cellStyle name="Input 21 2 8 2" xfId="59462"/>
    <cellStyle name="Input 21 2 9" xfId="4239"/>
    <cellStyle name="Input 21 3" xfId="4240"/>
    <cellStyle name="Input 21 3 2" xfId="59463"/>
    <cellStyle name="Input 21 4" xfId="4241"/>
    <cellStyle name="Input 21 4 2" xfId="59464"/>
    <cellStyle name="Input 21 5" xfId="4242"/>
    <cellStyle name="Input 21 5 2" xfId="59465"/>
    <cellStyle name="Input 21 6" xfId="4243"/>
    <cellStyle name="Input 21 6 2" xfId="59466"/>
    <cellStyle name="Input 21 7" xfId="4244"/>
    <cellStyle name="Input 21 7 2" xfId="59467"/>
    <cellStyle name="Input 21 8" xfId="4245"/>
    <cellStyle name="Input 21 8 2" xfId="59468"/>
    <cellStyle name="Input 21 9" xfId="4246"/>
    <cellStyle name="Input 21 9 2" xfId="59469"/>
    <cellStyle name="Input 22" xfId="4247"/>
    <cellStyle name="Input 22 2" xfId="4248"/>
    <cellStyle name="Input 22 2 2" xfId="59470"/>
    <cellStyle name="Input 22 3" xfId="4249"/>
    <cellStyle name="Input 22 3 2" xfId="59471"/>
    <cellStyle name="Input 22 4" xfId="4250"/>
    <cellStyle name="Input 22 4 2" xfId="59472"/>
    <cellStyle name="Input 22 5" xfId="4251"/>
    <cellStyle name="Input 22 5 2" xfId="59473"/>
    <cellStyle name="Input 22 6" xfId="4252"/>
    <cellStyle name="Input 22 6 2" xfId="59474"/>
    <cellStyle name="Input 22 7" xfId="4253"/>
    <cellStyle name="Input 22 7 2" xfId="59475"/>
    <cellStyle name="Input 22 8" xfId="4254"/>
    <cellStyle name="Input 22 8 2" xfId="59476"/>
    <cellStyle name="Input 22 9" xfId="4255"/>
    <cellStyle name="Input 23" xfId="9233"/>
    <cellStyle name="Input 3" xfId="4256"/>
    <cellStyle name="Input 3 10" xfId="4257"/>
    <cellStyle name="Input 3 11" xfId="9234"/>
    <cellStyle name="Input 3 2" xfId="4258"/>
    <cellStyle name="Input 3 2 10" xfId="4259"/>
    <cellStyle name="Input 3 2 2" xfId="4260"/>
    <cellStyle name="Input 3 2 2 2" xfId="59477"/>
    <cellStyle name="Input 3 2 3" xfId="4261"/>
    <cellStyle name="Input 3 2 3 2" xfId="59478"/>
    <cellStyle name="Input 3 2 4" xfId="4262"/>
    <cellStyle name="Input 3 2 4 2" xfId="59479"/>
    <cellStyle name="Input 3 2 5" xfId="4263"/>
    <cellStyle name="Input 3 2 5 2" xfId="59480"/>
    <cellStyle name="Input 3 2 6" xfId="4264"/>
    <cellStyle name="Input 3 2 6 2" xfId="59481"/>
    <cellStyle name="Input 3 2 7" xfId="4265"/>
    <cellStyle name="Input 3 2 7 2" xfId="59482"/>
    <cellStyle name="Input 3 2 8" xfId="4266"/>
    <cellStyle name="Input 3 2 8 2" xfId="59483"/>
    <cellStyle name="Input 3 2 9" xfId="4267"/>
    <cellStyle name="Input 3 3" xfId="4268"/>
    <cellStyle name="Input 3 3 2" xfId="59484"/>
    <cellStyle name="Input 3 4" xfId="4269"/>
    <cellStyle name="Input 3 4 2" xfId="59485"/>
    <cellStyle name="Input 3 5" xfId="4270"/>
    <cellStyle name="Input 3 5 2" xfId="59486"/>
    <cellStyle name="Input 3 6" xfId="4271"/>
    <cellStyle name="Input 3 6 2" xfId="59487"/>
    <cellStyle name="Input 3 7" xfId="4272"/>
    <cellStyle name="Input 3 7 2" xfId="59488"/>
    <cellStyle name="Input 3 8" xfId="4273"/>
    <cellStyle name="Input 3 8 2" xfId="59489"/>
    <cellStyle name="Input 3 9" xfId="4274"/>
    <cellStyle name="Input 3 9 2" xfId="59490"/>
    <cellStyle name="Input 4" xfId="4275"/>
    <cellStyle name="Input 4 10" xfId="4276"/>
    <cellStyle name="Input 4 11" xfId="57932"/>
    <cellStyle name="Input 4 12" xfId="59491"/>
    <cellStyle name="Input 4 2" xfId="4277"/>
    <cellStyle name="Input 4 2 2" xfId="4278"/>
    <cellStyle name="Input 4 2 2 2" xfId="59492"/>
    <cellStyle name="Input 4 2 3" xfId="4279"/>
    <cellStyle name="Input 4 2 3 2" xfId="59493"/>
    <cellStyle name="Input 4 2 4" xfId="4280"/>
    <cellStyle name="Input 4 2 4 2" xfId="59494"/>
    <cellStyle name="Input 4 2 5" xfId="4281"/>
    <cellStyle name="Input 4 2 5 2" xfId="59495"/>
    <cellStyle name="Input 4 2 6" xfId="4282"/>
    <cellStyle name="Input 4 2 6 2" xfId="59496"/>
    <cellStyle name="Input 4 2 7" xfId="4283"/>
    <cellStyle name="Input 4 2 7 2" xfId="59497"/>
    <cellStyle name="Input 4 2 8" xfId="4284"/>
    <cellStyle name="Input 4 2 8 2" xfId="59498"/>
    <cellStyle name="Input 4 2 9" xfId="4285"/>
    <cellStyle name="Input 4 3" xfId="4286"/>
    <cellStyle name="Input 4 3 2" xfId="59499"/>
    <cellStyle name="Input 4 4" xfId="4287"/>
    <cellStyle name="Input 4 4 2" xfId="59500"/>
    <cellStyle name="Input 4 5" xfId="4288"/>
    <cellStyle name="Input 4 5 2" xfId="59501"/>
    <cellStyle name="Input 4 6" xfId="4289"/>
    <cellStyle name="Input 4 6 2" xfId="59502"/>
    <cellStyle name="Input 4 7" xfId="4290"/>
    <cellStyle name="Input 4 7 2" xfId="59503"/>
    <cellStyle name="Input 4 8" xfId="4291"/>
    <cellStyle name="Input 4 8 2" xfId="59504"/>
    <cellStyle name="Input 4 9" xfId="4292"/>
    <cellStyle name="Input 4 9 2" xfId="59505"/>
    <cellStyle name="Input 5" xfId="4293"/>
    <cellStyle name="Input 5 10" xfId="4294"/>
    <cellStyle name="Input 5 11" xfId="57933"/>
    <cellStyle name="Input 5 12" xfId="59506"/>
    <cellStyle name="Input 5 2" xfId="4295"/>
    <cellStyle name="Input 5 2 2" xfId="4296"/>
    <cellStyle name="Input 5 2 2 2" xfId="59507"/>
    <cellStyle name="Input 5 2 3" xfId="4297"/>
    <cellStyle name="Input 5 2 3 2" xfId="59508"/>
    <cellStyle name="Input 5 2 4" xfId="4298"/>
    <cellStyle name="Input 5 2 4 2" xfId="59509"/>
    <cellStyle name="Input 5 2 5" xfId="4299"/>
    <cellStyle name="Input 5 2 5 2" xfId="59510"/>
    <cellStyle name="Input 5 2 6" xfId="4300"/>
    <cellStyle name="Input 5 2 6 2" xfId="59511"/>
    <cellStyle name="Input 5 2 7" xfId="4301"/>
    <cellStyle name="Input 5 2 7 2" xfId="59512"/>
    <cellStyle name="Input 5 2 8" xfId="4302"/>
    <cellStyle name="Input 5 2 8 2" xfId="59513"/>
    <cellStyle name="Input 5 2 9" xfId="4303"/>
    <cellStyle name="Input 5 3" xfId="4304"/>
    <cellStyle name="Input 5 3 2" xfId="59514"/>
    <cellStyle name="Input 5 4" xfId="4305"/>
    <cellStyle name="Input 5 4 2" xfId="59515"/>
    <cellStyle name="Input 5 5" xfId="4306"/>
    <cellStyle name="Input 5 5 2" xfId="59516"/>
    <cellStyle name="Input 5 6" xfId="4307"/>
    <cellStyle name="Input 5 6 2" xfId="59517"/>
    <cellStyle name="Input 5 7" xfId="4308"/>
    <cellStyle name="Input 5 7 2" xfId="59518"/>
    <cellStyle name="Input 5 8" xfId="4309"/>
    <cellStyle name="Input 5 8 2" xfId="59519"/>
    <cellStyle name="Input 5 9" xfId="4310"/>
    <cellStyle name="Input 5 9 2" xfId="59520"/>
    <cellStyle name="Input 6" xfId="4311"/>
    <cellStyle name="Input 6 10" xfId="4312"/>
    <cellStyle name="Input 6 11" xfId="57934"/>
    <cellStyle name="Input 6 12" xfId="59521"/>
    <cellStyle name="Input 6 2" xfId="4313"/>
    <cellStyle name="Input 6 2 2" xfId="4314"/>
    <cellStyle name="Input 6 2 2 2" xfId="59522"/>
    <cellStyle name="Input 6 2 3" xfId="4315"/>
    <cellStyle name="Input 6 2 3 2" xfId="59523"/>
    <cellStyle name="Input 6 2 4" xfId="4316"/>
    <cellStyle name="Input 6 2 4 2" xfId="59524"/>
    <cellStyle name="Input 6 2 5" xfId="4317"/>
    <cellStyle name="Input 6 2 5 2" xfId="59525"/>
    <cellStyle name="Input 6 2 6" xfId="4318"/>
    <cellStyle name="Input 6 2 6 2" xfId="59526"/>
    <cellStyle name="Input 6 2 7" xfId="4319"/>
    <cellStyle name="Input 6 2 7 2" xfId="59527"/>
    <cellStyle name="Input 6 2 8" xfId="4320"/>
    <cellStyle name="Input 6 2 8 2" xfId="59528"/>
    <cellStyle name="Input 6 2 9" xfId="4321"/>
    <cellStyle name="Input 6 3" xfId="4322"/>
    <cellStyle name="Input 6 3 2" xfId="59529"/>
    <cellStyle name="Input 6 4" xfId="4323"/>
    <cellStyle name="Input 6 4 2" xfId="59530"/>
    <cellStyle name="Input 6 5" xfId="4324"/>
    <cellStyle name="Input 6 5 2" xfId="59531"/>
    <cellStyle name="Input 6 6" xfId="4325"/>
    <cellStyle name="Input 6 6 2" xfId="59532"/>
    <cellStyle name="Input 6 7" xfId="4326"/>
    <cellStyle name="Input 6 7 2" xfId="59533"/>
    <cellStyle name="Input 6 8" xfId="4327"/>
    <cellStyle name="Input 6 8 2" xfId="59534"/>
    <cellStyle name="Input 6 9" xfId="4328"/>
    <cellStyle name="Input 6 9 2" xfId="59535"/>
    <cellStyle name="Input 7" xfId="4329"/>
    <cellStyle name="Input 7 10" xfId="4330"/>
    <cellStyle name="Input 7 11" xfId="57935"/>
    <cellStyle name="Input 7 12" xfId="59536"/>
    <cellStyle name="Input 7 2" xfId="4331"/>
    <cellStyle name="Input 7 2 2" xfId="4332"/>
    <cellStyle name="Input 7 2 2 2" xfId="59537"/>
    <cellStyle name="Input 7 2 3" xfId="4333"/>
    <cellStyle name="Input 7 2 3 2" xfId="59538"/>
    <cellStyle name="Input 7 2 4" xfId="4334"/>
    <cellStyle name="Input 7 2 4 2" xfId="59539"/>
    <cellStyle name="Input 7 2 5" xfId="4335"/>
    <cellStyle name="Input 7 2 5 2" xfId="59540"/>
    <cellStyle name="Input 7 2 6" xfId="4336"/>
    <cellStyle name="Input 7 2 6 2" xfId="59541"/>
    <cellStyle name="Input 7 2 7" xfId="4337"/>
    <cellStyle name="Input 7 2 7 2" xfId="59542"/>
    <cellStyle name="Input 7 2 8" xfId="4338"/>
    <cellStyle name="Input 7 2 8 2" xfId="59543"/>
    <cellStyle name="Input 7 2 9" xfId="4339"/>
    <cellStyle name="Input 7 3" xfId="4340"/>
    <cellStyle name="Input 7 3 2" xfId="59544"/>
    <cellStyle name="Input 7 4" xfId="4341"/>
    <cellStyle name="Input 7 4 2" xfId="59545"/>
    <cellStyle name="Input 7 5" xfId="4342"/>
    <cellStyle name="Input 7 5 2" xfId="59546"/>
    <cellStyle name="Input 7 6" xfId="4343"/>
    <cellStyle name="Input 7 6 2" xfId="59547"/>
    <cellStyle name="Input 7 7" xfId="4344"/>
    <cellStyle name="Input 7 7 2" xfId="59548"/>
    <cellStyle name="Input 7 8" xfId="4345"/>
    <cellStyle name="Input 7 8 2" xfId="59549"/>
    <cellStyle name="Input 7 9" xfId="4346"/>
    <cellStyle name="Input 7 9 2" xfId="59550"/>
    <cellStyle name="Input 8" xfId="4347"/>
    <cellStyle name="Input 8 10" xfId="4348"/>
    <cellStyle name="Input 8 11" xfId="57936"/>
    <cellStyle name="Input 8 12" xfId="59551"/>
    <cellStyle name="Input 8 2" xfId="4349"/>
    <cellStyle name="Input 8 2 2" xfId="4350"/>
    <cellStyle name="Input 8 2 2 2" xfId="59552"/>
    <cellStyle name="Input 8 2 3" xfId="4351"/>
    <cellStyle name="Input 8 2 3 2" xfId="59553"/>
    <cellStyle name="Input 8 2 4" xfId="4352"/>
    <cellStyle name="Input 8 2 4 2" xfId="59554"/>
    <cellStyle name="Input 8 2 5" xfId="4353"/>
    <cellStyle name="Input 8 2 5 2" xfId="59555"/>
    <cellStyle name="Input 8 2 6" xfId="4354"/>
    <cellStyle name="Input 8 2 6 2" xfId="59556"/>
    <cellStyle name="Input 8 2 7" xfId="4355"/>
    <cellStyle name="Input 8 2 7 2" xfId="59557"/>
    <cellStyle name="Input 8 2 8" xfId="4356"/>
    <cellStyle name="Input 8 2 8 2" xfId="59558"/>
    <cellStyle name="Input 8 2 9" xfId="4357"/>
    <cellStyle name="Input 8 3" xfId="4358"/>
    <cellStyle name="Input 8 3 2" xfId="59559"/>
    <cellStyle name="Input 8 4" xfId="4359"/>
    <cellStyle name="Input 8 4 2" xfId="59560"/>
    <cellStyle name="Input 8 5" xfId="4360"/>
    <cellStyle name="Input 8 5 2" xfId="59561"/>
    <cellStyle name="Input 8 6" xfId="4361"/>
    <cellStyle name="Input 8 6 2" xfId="59562"/>
    <cellStyle name="Input 8 7" xfId="4362"/>
    <cellStyle name="Input 8 7 2" xfId="59563"/>
    <cellStyle name="Input 8 8" xfId="4363"/>
    <cellStyle name="Input 8 8 2" xfId="59564"/>
    <cellStyle name="Input 8 9" xfId="4364"/>
    <cellStyle name="Input 8 9 2" xfId="59565"/>
    <cellStyle name="Input 9" xfId="4365"/>
    <cellStyle name="Input 9 10" xfId="4366"/>
    <cellStyle name="Input 9 11" xfId="57937"/>
    <cellStyle name="Input 9 12" xfId="59566"/>
    <cellStyle name="Input 9 2" xfId="4367"/>
    <cellStyle name="Input 9 2 2" xfId="4368"/>
    <cellStyle name="Input 9 2 2 2" xfId="59567"/>
    <cellStyle name="Input 9 2 3" xfId="4369"/>
    <cellStyle name="Input 9 2 3 2" xfId="59568"/>
    <cellStyle name="Input 9 2 4" xfId="4370"/>
    <cellStyle name="Input 9 2 4 2" xfId="59569"/>
    <cellStyle name="Input 9 2 5" xfId="4371"/>
    <cellStyle name="Input 9 2 5 2" xfId="59570"/>
    <cellStyle name="Input 9 2 6" xfId="4372"/>
    <cellStyle name="Input 9 2 6 2" xfId="59571"/>
    <cellStyle name="Input 9 2 7" xfId="4373"/>
    <cellStyle name="Input 9 2 7 2" xfId="59572"/>
    <cellStyle name="Input 9 2 8" xfId="4374"/>
    <cellStyle name="Input 9 2 8 2" xfId="59573"/>
    <cellStyle name="Input 9 2 9" xfId="4375"/>
    <cellStyle name="Input 9 3" xfId="4376"/>
    <cellStyle name="Input 9 3 2" xfId="59574"/>
    <cellStyle name="Input 9 4" xfId="4377"/>
    <cellStyle name="Input 9 4 2" xfId="59575"/>
    <cellStyle name="Input 9 5" xfId="4378"/>
    <cellStyle name="Input 9 5 2" xfId="59576"/>
    <cellStyle name="Input 9 6" xfId="4379"/>
    <cellStyle name="Input 9 6 2" xfId="59577"/>
    <cellStyle name="Input 9 7" xfId="4380"/>
    <cellStyle name="Input 9 7 2" xfId="59578"/>
    <cellStyle name="Input 9 8" xfId="4381"/>
    <cellStyle name="Input 9 8 2" xfId="59579"/>
    <cellStyle name="Input 9 9" xfId="4382"/>
    <cellStyle name="Input 9 9 2" xfId="59580"/>
    <cellStyle name="Labels - Style3" xfId="57938"/>
    <cellStyle name="LineItemPrompt" xfId="4383"/>
    <cellStyle name="LineItemPrompt 2" xfId="4384"/>
    <cellStyle name="LineItemPrompt 2 2" xfId="52720"/>
    <cellStyle name="LineItemPrompt 2 3" xfId="52721"/>
    <cellStyle name="LineItemPrompt 3" xfId="4385"/>
    <cellStyle name="LineItemPrompt 4" xfId="9235"/>
    <cellStyle name="LineItemValue" xfId="4386"/>
    <cellStyle name="LineItemValue 2" xfId="4387"/>
    <cellStyle name="LineItemValue 2 2" xfId="52722"/>
    <cellStyle name="LineItemValue 2 3" xfId="52723"/>
    <cellStyle name="LineItemValue 3" xfId="4388"/>
    <cellStyle name="LineItemValue 4" xfId="4389"/>
    <cellStyle name="LineItemValue 5" xfId="9236"/>
    <cellStyle name="Linked Cell 10" xfId="52724"/>
    <cellStyle name="Linked Cell 11" xfId="52725"/>
    <cellStyle name="Linked Cell 12" xfId="52726"/>
    <cellStyle name="Linked Cell 13" xfId="52727"/>
    <cellStyle name="Linked Cell 14" xfId="52728"/>
    <cellStyle name="Linked Cell 15" xfId="52729"/>
    <cellStyle name="Linked Cell 16" xfId="52730"/>
    <cellStyle name="Linked Cell 17" xfId="52731"/>
    <cellStyle name="Linked Cell 17 2" xfId="59581"/>
    <cellStyle name="Linked Cell 2" xfId="4390"/>
    <cellStyle name="Linked Cell 2 2" xfId="4391"/>
    <cellStyle name="Linked Cell 2 2 2" xfId="52732"/>
    <cellStyle name="Linked Cell 2 3" xfId="52733"/>
    <cellStyle name="Linked Cell 2 4" xfId="52734"/>
    <cellStyle name="Linked Cell 2 5" xfId="52735"/>
    <cellStyle name="Linked Cell 3" xfId="4392"/>
    <cellStyle name="Linked Cell 3 2" xfId="9237"/>
    <cellStyle name="Linked Cell 4" xfId="9238"/>
    <cellStyle name="Linked Cell 4 2" xfId="52736"/>
    <cellStyle name="Linked Cell 5" xfId="52737"/>
    <cellStyle name="Linked Cell 5 2" xfId="52738"/>
    <cellStyle name="Linked Cell 6" xfId="52739"/>
    <cellStyle name="Linked Cell 6 2" xfId="52740"/>
    <cellStyle name="Linked Cell 7" xfId="52741"/>
    <cellStyle name="Linked Cell 7 2" xfId="52742"/>
    <cellStyle name="Linked Cell 8" xfId="52743"/>
    <cellStyle name="Linked Cell 9" xfId="52744"/>
    <cellStyle name="Milliers [0]_EDYAN" xfId="52745"/>
    <cellStyle name="Milliers_EDYAN" xfId="52746"/>
    <cellStyle name="Monétaire [0]_EDYAN" xfId="52747"/>
    <cellStyle name="Monétaire_EDYAN" xfId="52748"/>
    <cellStyle name="MTH" xfId="52749"/>
    <cellStyle name="Neutral 10" xfId="52750"/>
    <cellStyle name="Neutral 11" xfId="52751"/>
    <cellStyle name="Neutral 12" xfId="52752"/>
    <cellStyle name="Neutral 13" xfId="52753"/>
    <cellStyle name="Neutral 14" xfId="52754"/>
    <cellStyle name="Neutral 15" xfId="52755"/>
    <cellStyle name="Neutral 16" xfId="52756"/>
    <cellStyle name="Neutral 17" xfId="52757"/>
    <cellStyle name="Neutral 17 2" xfId="59582"/>
    <cellStyle name="Neutral 2" xfId="4393"/>
    <cellStyle name="Neutral 2 2" xfId="4394"/>
    <cellStyle name="Neutral 2 2 2" xfId="52758"/>
    <cellStyle name="Neutral 2 3" xfId="52759"/>
    <cellStyle name="Neutral 2 4" xfId="52760"/>
    <cellStyle name="Neutral 2 5" xfId="52761"/>
    <cellStyle name="Neutral 3" xfId="4395"/>
    <cellStyle name="Neutral 3 2" xfId="9239"/>
    <cellStyle name="Neutral 4" xfId="9240"/>
    <cellStyle name="Neutral 4 2" xfId="52762"/>
    <cellStyle name="Neutral 5" xfId="52763"/>
    <cellStyle name="Neutral 5 2" xfId="52764"/>
    <cellStyle name="Neutral 6" xfId="52765"/>
    <cellStyle name="Neutral 6 2" xfId="52766"/>
    <cellStyle name="Neutral 7" xfId="52767"/>
    <cellStyle name="Neutral 7 2" xfId="52768"/>
    <cellStyle name="Neutral 8" xfId="52769"/>
    <cellStyle name="Neutral 9" xfId="52770"/>
    <cellStyle name="Normal" xfId="0" builtinId="0"/>
    <cellStyle name="Normal - Style1" xfId="52771"/>
    <cellStyle name="Normal - Style1 2" xfId="59583"/>
    <cellStyle name="Normal - Style2" xfId="57939"/>
    <cellStyle name="Normal - Style3" xfId="57940"/>
    <cellStyle name="Normal - Style4" xfId="57941"/>
    <cellStyle name="Normal - Style5" xfId="57942"/>
    <cellStyle name="Normal - Style6" xfId="57943"/>
    <cellStyle name="Normal - Style7" xfId="57944"/>
    <cellStyle name="Normal - Style8" xfId="57945"/>
    <cellStyle name="Normal 10" xfId="4396"/>
    <cellStyle name="Normal 10 2" xfId="4397"/>
    <cellStyle name="Normal 10 2 2" xfId="59584"/>
    <cellStyle name="Normal 10 3" xfId="4398"/>
    <cellStyle name="Normal 10 3 2" xfId="52772"/>
    <cellStyle name="Normal 10 3 3" xfId="52773"/>
    <cellStyle name="Normal 10 4" xfId="9241"/>
    <cellStyle name="Normal 10 5" xfId="57946"/>
    <cellStyle name="Normal 11" xfId="4399"/>
    <cellStyle name="Normal 11 10" xfId="52774"/>
    <cellStyle name="Normal 11 10 2" xfId="52775"/>
    <cellStyle name="Normal 11 10 2 2" xfId="52776"/>
    <cellStyle name="Normal 11 10 2 3" xfId="52777"/>
    <cellStyle name="Normal 11 10 3" xfId="52778"/>
    <cellStyle name="Normal 11 10 3 2" xfId="52779"/>
    <cellStyle name="Normal 11 10 4" xfId="52780"/>
    <cellStyle name="Normal 11 10 5" xfId="52781"/>
    <cellStyle name="Normal 11 11" xfId="52782"/>
    <cellStyle name="Normal 11 11 2" xfId="52783"/>
    <cellStyle name="Normal 11 11 3" xfId="52784"/>
    <cellStyle name="Normal 11 12" xfId="52785"/>
    <cellStyle name="Normal 11 12 2" xfId="52786"/>
    <cellStyle name="Normal 11 12 3" xfId="52787"/>
    <cellStyle name="Normal 11 13" xfId="52788"/>
    <cellStyle name="Normal 11 13 2" xfId="52789"/>
    <cellStyle name="Normal 11 14" xfId="52790"/>
    <cellStyle name="Normal 11 15" xfId="52791"/>
    <cellStyle name="Normal 11 16" xfId="52792"/>
    <cellStyle name="Normal 11 2" xfId="4400"/>
    <cellStyle name="Normal 11 2 10" xfId="52793"/>
    <cellStyle name="Normal 11 2 10 2" xfId="52794"/>
    <cellStyle name="Normal 11 2 10 3" xfId="52795"/>
    <cellStyle name="Normal 11 2 11" xfId="52796"/>
    <cellStyle name="Normal 11 2 11 2" xfId="52797"/>
    <cellStyle name="Normal 11 2 11 3" xfId="52798"/>
    <cellStyle name="Normal 11 2 12" xfId="52799"/>
    <cellStyle name="Normal 11 2 12 2" xfId="52800"/>
    <cellStyle name="Normal 11 2 13" xfId="52801"/>
    <cellStyle name="Normal 11 2 14" xfId="52802"/>
    <cellStyle name="Normal 11 2 15" xfId="52803"/>
    <cellStyle name="Normal 11 2 2" xfId="52804"/>
    <cellStyle name="Normal 11 2 2 10" xfId="52805"/>
    <cellStyle name="Normal 11 2 2 10 2" xfId="52806"/>
    <cellStyle name="Normal 11 2 2 10 3" xfId="52807"/>
    <cellStyle name="Normal 11 2 2 11" xfId="52808"/>
    <cellStyle name="Normal 11 2 2 11 2" xfId="52809"/>
    <cellStyle name="Normal 11 2 2 12" xfId="52810"/>
    <cellStyle name="Normal 11 2 2 13" xfId="52811"/>
    <cellStyle name="Normal 11 2 2 2" xfId="52812"/>
    <cellStyle name="Normal 11 2 2 2 10" xfId="52813"/>
    <cellStyle name="Normal 11 2 2 2 10 2" xfId="52814"/>
    <cellStyle name="Normal 11 2 2 2 11" xfId="52815"/>
    <cellStyle name="Normal 11 2 2 2 12" xfId="52816"/>
    <cellStyle name="Normal 11 2 2 2 2" xfId="52817"/>
    <cellStyle name="Normal 11 2 2 2 2 10" xfId="52818"/>
    <cellStyle name="Normal 11 2 2 2 2 2" xfId="52819"/>
    <cellStyle name="Normal 11 2 2 2 2 2 2" xfId="52820"/>
    <cellStyle name="Normal 11 2 2 2 2 2 2 2" xfId="52821"/>
    <cellStyle name="Normal 11 2 2 2 2 2 2 2 2" xfId="52822"/>
    <cellStyle name="Normal 11 2 2 2 2 2 2 2 3" xfId="52823"/>
    <cellStyle name="Normal 11 2 2 2 2 2 2 3" xfId="52824"/>
    <cellStyle name="Normal 11 2 2 2 2 2 2 3 2" xfId="52825"/>
    <cellStyle name="Normal 11 2 2 2 2 2 2 3 3" xfId="52826"/>
    <cellStyle name="Normal 11 2 2 2 2 2 2 4" xfId="52827"/>
    <cellStyle name="Normal 11 2 2 2 2 2 2 4 2" xfId="52828"/>
    <cellStyle name="Normal 11 2 2 2 2 2 2 5" xfId="52829"/>
    <cellStyle name="Normal 11 2 2 2 2 2 2 6" xfId="52830"/>
    <cellStyle name="Normal 11 2 2 2 2 2 3" xfId="52831"/>
    <cellStyle name="Normal 11 2 2 2 2 2 3 2" xfId="52832"/>
    <cellStyle name="Normal 11 2 2 2 2 2 3 2 2" xfId="52833"/>
    <cellStyle name="Normal 11 2 2 2 2 2 3 2 3" xfId="52834"/>
    <cellStyle name="Normal 11 2 2 2 2 2 3 3" xfId="52835"/>
    <cellStyle name="Normal 11 2 2 2 2 2 3 3 2" xfId="52836"/>
    <cellStyle name="Normal 11 2 2 2 2 2 3 3 3" xfId="52837"/>
    <cellStyle name="Normal 11 2 2 2 2 2 3 4" xfId="52838"/>
    <cellStyle name="Normal 11 2 2 2 2 2 3 4 2" xfId="52839"/>
    <cellStyle name="Normal 11 2 2 2 2 2 3 5" xfId="52840"/>
    <cellStyle name="Normal 11 2 2 2 2 2 3 6" xfId="52841"/>
    <cellStyle name="Normal 11 2 2 2 2 2 4" xfId="52842"/>
    <cellStyle name="Normal 11 2 2 2 2 2 4 2" xfId="52843"/>
    <cellStyle name="Normal 11 2 2 2 2 2 4 2 2" xfId="52844"/>
    <cellStyle name="Normal 11 2 2 2 2 2 4 2 3" xfId="52845"/>
    <cellStyle name="Normal 11 2 2 2 2 2 4 3" xfId="52846"/>
    <cellStyle name="Normal 11 2 2 2 2 2 4 3 2" xfId="52847"/>
    <cellStyle name="Normal 11 2 2 2 2 2 4 4" xfId="52848"/>
    <cellStyle name="Normal 11 2 2 2 2 2 4 5" xfId="52849"/>
    <cellStyle name="Normal 11 2 2 2 2 2 5" xfId="52850"/>
    <cellStyle name="Normal 11 2 2 2 2 2 5 2" xfId="52851"/>
    <cellStyle name="Normal 11 2 2 2 2 2 5 3" xfId="52852"/>
    <cellStyle name="Normal 11 2 2 2 2 2 6" xfId="52853"/>
    <cellStyle name="Normal 11 2 2 2 2 2 6 2" xfId="52854"/>
    <cellStyle name="Normal 11 2 2 2 2 2 6 3" xfId="52855"/>
    <cellStyle name="Normal 11 2 2 2 2 2 7" xfId="52856"/>
    <cellStyle name="Normal 11 2 2 2 2 2 7 2" xfId="52857"/>
    <cellStyle name="Normal 11 2 2 2 2 2 8" xfId="52858"/>
    <cellStyle name="Normal 11 2 2 2 2 2 9" xfId="52859"/>
    <cellStyle name="Normal 11 2 2 2 2 3" xfId="52860"/>
    <cellStyle name="Normal 11 2 2 2 2 3 2" xfId="52861"/>
    <cellStyle name="Normal 11 2 2 2 2 3 2 2" xfId="52862"/>
    <cellStyle name="Normal 11 2 2 2 2 3 2 3" xfId="52863"/>
    <cellStyle name="Normal 11 2 2 2 2 3 3" xfId="52864"/>
    <cellStyle name="Normal 11 2 2 2 2 3 3 2" xfId="52865"/>
    <cellStyle name="Normal 11 2 2 2 2 3 3 3" xfId="52866"/>
    <cellStyle name="Normal 11 2 2 2 2 3 4" xfId="52867"/>
    <cellStyle name="Normal 11 2 2 2 2 3 4 2" xfId="52868"/>
    <cellStyle name="Normal 11 2 2 2 2 3 5" xfId="52869"/>
    <cellStyle name="Normal 11 2 2 2 2 3 6" xfId="52870"/>
    <cellStyle name="Normal 11 2 2 2 2 4" xfId="52871"/>
    <cellStyle name="Normal 11 2 2 2 2 4 2" xfId="52872"/>
    <cellStyle name="Normal 11 2 2 2 2 4 2 2" xfId="52873"/>
    <cellStyle name="Normal 11 2 2 2 2 4 2 3" xfId="52874"/>
    <cellStyle name="Normal 11 2 2 2 2 4 3" xfId="52875"/>
    <cellStyle name="Normal 11 2 2 2 2 4 3 2" xfId="52876"/>
    <cellStyle name="Normal 11 2 2 2 2 4 3 3" xfId="52877"/>
    <cellStyle name="Normal 11 2 2 2 2 4 4" xfId="52878"/>
    <cellStyle name="Normal 11 2 2 2 2 4 4 2" xfId="52879"/>
    <cellStyle name="Normal 11 2 2 2 2 4 5" xfId="52880"/>
    <cellStyle name="Normal 11 2 2 2 2 4 6" xfId="52881"/>
    <cellStyle name="Normal 11 2 2 2 2 5" xfId="52882"/>
    <cellStyle name="Normal 11 2 2 2 2 5 2" xfId="52883"/>
    <cellStyle name="Normal 11 2 2 2 2 5 2 2" xfId="52884"/>
    <cellStyle name="Normal 11 2 2 2 2 5 2 3" xfId="52885"/>
    <cellStyle name="Normal 11 2 2 2 2 5 3" xfId="52886"/>
    <cellStyle name="Normal 11 2 2 2 2 5 3 2" xfId="52887"/>
    <cellStyle name="Normal 11 2 2 2 2 5 4" xfId="52888"/>
    <cellStyle name="Normal 11 2 2 2 2 5 5" xfId="52889"/>
    <cellStyle name="Normal 11 2 2 2 2 6" xfId="52890"/>
    <cellStyle name="Normal 11 2 2 2 2 6 2" xfId="52891"/>
    <cellStyle name="Normal 11 2 2 2 2 6 3" xfId="52892"/>
    <cellStyle name="Normal 11 2 2 2 2 7" xfId="52893"/>
    <cellStyle name="Normal 11 2 2 2 2 7 2" xfId="52894"/>
    <cellStyle name="Normal 11 2 2 2 2 7 3" xfId="52895"/>
    <cellStyle name="Normal 11 2 2 2 2 8" xfId="52896"/>
    <cellStyle name="Normal 11 2 2 2 2 8 2" xfId="52897"/>
    <cellStyle name="Normal 11 2 2 2 2 9" xfId="52898"/>
    <cellStyle name="Normal 11 2 2 2 3" xfId="52899"/>
    <cellStyle name="Normal 11 2 2 2 3 2" xfId="52900"/>
    <cellStyle name="Normal 11 2 2 2 3 2 2" xfId="52901"/>
    <cellStyle name="Normal 11 2 2 2 3 2 2 2" xfId="52902"/>
    <cellStyle name="Normal 11 2 2 2 3 2 2 3" xfId="52903"/>
    <cellStyle name="Normal 11 2 2 2 3 2 3" xfId="52904"/>
    <cellStyle name="Normal 11 2 2 2 3 2 3 2" xfId="52905"/>
    <cellStyle name="Normal 11 2 2 2 3 2 3 3" xfId="52906"/>
    <cellStyle name="Normal 11 2 2 2 3 2 4" xfId="52907"/>
    <cellStyle name="Normal 11 2 2 2 3 2 4 2" xfId="52908"/>
    <cellStyle name="Normal 11 2 2 2 3 2 5" xfId="52909"/>
    <cellStyle name="Normal 11 2 2 2 3 2 6" xfId="52910"/>
    <cellStyle name="Normal 11 2 2 2 3 3" xfId="52911"/>
    <cellStyle name="Normal 11 2 2 2 3 3 2" xfId="52912"/>
    <cellStyle name="Normal 11 2 2 2 3 3 2 2" xfId="52913"/>
    <cellStyle name="Normal 11 2 2 2 3 3 2 3" xfId="52914"/>
    <cellStyle name="Normal 11 2 2 2 3 3 3" xfId="52915"/>
    <cellStyle name="Normal 11 2 2 2 3 3 3 2" xfId="52916"/>
    <cellStyle name="Normal 11 2 2 2 3 3 3 3" xfId="52917"/>
    <cellStyle name="Normal 11 2 2 2 3 3 4" xfId="52918"/>
    <cellStyle name="Normal 11 2 2 2 3 3 4 2" xfId="52919"/>
    <cellStyle name="Normal 11 2 2 2 3 3 5" xfId="52920"/>
    <cellStyle name="Normal 11 2 2 2 3 3 6" xfId="52921"/>
    <cellStyle name="Normal 11 2 2 2 3 4" xfId="52922"/>
    <cellStyle name="Normal 11 2 2 2 3 4 2" xfId="52923"/>
    <cellStyle name="Normal 11 2 2 2 3 4 2 2" xfId="52924"/>
    <cellStyle name="Normal 11 2 2 2 3 4 2 3" xfId="52925"/>
    <cellStyle name="Normal 11 2 2 2 3 4 3" xfId="52926"/>
    <cellStyle name="Normal 11 2 2 2 3 4 3 2" xfId="52927"/>
    <cellStyle name="Normal 11 2 2 2 3 4 4" xfId="52928"/>
    <cellStyle name="Normal 11 2 2 2 3 4 5" xfId="52929"/>
    <cellStyle name="Normal 11 2 2 2 3 5" xfId="52930"/>
    <cellStyle name="Normal 11 2 2 2 3 5 2" xfId="52931"/>
    <cellStyle name="Normal 11 2 2 2 3 5 3" xfId="52932"/>
    <cellStyle name="Normal 11 2 2 2 3 6" xfId="52933"/>
    <cellStyle name="Normal 11 2 2 2 3 6 2" xfId="52934"/>
    <cellStyle name="Normal 11 2 2 2 3 6 3" xfId="52935"/>
    <cellStyle name="Normal 11 2 2 2 3 7" xfId="52936"/>
    <cellStyle name="Normal 11 2 2 2 3 7 2" xfId="52937"/>
    <cellStyle name="Normal 11 2 2 2 3 8" xfId="52938"/>
    <cellStyle name="Normal 11 2 2 2 3 9" xfId="52939"/>
    <cellStyle name="Normal 11 2 2 2 4" xfId="52940"/>
    <cellStyle name="Normal 11 2 2 2 4 2" xfId="52941"/>
    <cellStyle name="Normal 11 2 2 2 4 2 2" xfId="52942"/>
    <cellStyle name="Normal 11 2 2 2 4 2 2 2" xfId="52943"/>
    <cellStyle name="Normal 11 2 2 2 4 2 2 3" xfId="52944"/>
    <cellStyle name="Normal 11 2 2 2 4 2 3" xfId="52945"/>
    <cellStyle name="Normal 11 2 2 2 4 2 3 2" xfId="52946"/>
    <cellStyle name="Normal 11 2 2 2 4 2 3 3" xfId="52947"/>
    <cellStyle name="Normal 11 2 2 2 4 2 4" xfId="52948"/>
    <cellStyle name="Normal 11 2 2 2 4 2 4 2" xfId="52949"/>
    <cellStyle name="Normal 11 2 2 2 4 2 5" xfId="52950"/>
    <cellStyle name="Normal 11 2 2 2 4 2 6" xfId="52951"/>
    <cellStyle name="Normal 11 2 2 2 4 3" xfId="52952"/>
    <cellStyle name="Normal 11 2 2 2 4 3 2" xfId="52953"/>
    <cellStyle name="Normal 11 2 2 2 4 3 2 2" xfId="52954"/>
    <cellStyle name="Normal 11 2 2 2 4 3 2 3" xfId="52955"/>
    <cellStyle name="Normal 11 2 2 2 4 3 3" xfId="52956"/>
    <cellStyle name="Normal 11 2 2 2 4 3 3 2" xfId="52957"/>
    <cellStyle name="Normal 11 2 2 2 4 3 3 3" xfId="52958"/>
    <cellStyle name="Normal 11 2 2 2 4 3 4" xfId="52959"/>
    <cellStyle name="Normal 11 2 2 2 4 3 4 2" xfId="52960"/>
    <cellStyle name="Normal 11 2 2 2 4 3 5" xfId="52961"/>
    <cellStyle name="Normal 11 2 2 2 4 3 6" xfId="52962"/>
    <cellStyle name="Normal 11 2 2 2 4 4" xfId="52963"/>
    <cellStyle name="Normal 11 2 2 2 4 4 2" xfId="52964"/>
    <cellStyle name="Normal 11 2 2 2 4 4 2 2" xfId="52965"/>
    <cellStyle name="Normal 11 2 2 2 4 4 2 3" xfId="52966"/>
    <cellStyle name="Normal 11 2 2 2 4 4 3" xfId="52967"/>
    <cellStyle name="Normal 11 2 2 2 4 4 3 2" xfId="52968"/>
    <cellStyle name="Normal 11 2 2 2 4 4 4" xfId="52969"/>
    <cellStyle name="Normal 11 2 2 2 4 4 5" xfId="52970"/>
    <cellStyle name="Normal 11 2 2 2 4 5" xfId="52971"/>
    <cellStyle name="Normal 11 2 2 2 4 5 2" xfId="52972"/>
    <cellStyle name="Normal 11 2 2 2 4 5 3" xfId="52973"/>
    <cellStyle name="Normal 11 2 2 2 4 6" xfId="52974"/>
    <cellStyle name="Normal 11 2 2 2 4 6 2" xfId="52975"/>
    <cellStyle name="Normal 11 2 2 2 4 6 3" xfId="52976"/>
    <cellStyle name="Normal 11 2 2 2 4 7" xfId="52977"/>
    <cellStyle name="Normal 11 2 2 2 4 7 2" xfId="52978"/>
    <cellStyle name="Normal 11 2 2 2 4 8" xfId="52979"/>
    <cellStyle name="Normal 11 2 2 2 4 9" xfId="52980"/>
    <cellStyle name="Normal 11 2 2 2 5" xfId="52981"/>
    <cellStyle name="Normal 11 2 2 2 5 2" xfId="52982"/>
    <cellStyle name="Normal 11 2 2 2 5 2 2" xfId="52983"/>
    <cellStyle name="Normal 11 2 2 2 5 2 3" xfId="52984"/>
    <cellStyle name="Normal 11 2 2 2 5 3" xfId="52985"/>
    <cellStyle name="Normal 11 2 2 2 5 3 2" xfId="52986"/>
    <cellStyle name="Normal 11 2 2 2 5 3 3" xfId="52987"/>
    <cellStyle name="Normal 11 2 2 2 5 4" xfId="52988"/>
    <cellStyle name="Normal 11 2 2 2 5 4 2" xfId="52989"/>
    <cellStyle name="Normal 11 2 2 2 5 5" xfId="52990"/>
    <cellStyle name="Normal 11 2 2 2 5 6" xfId="52991"/>
    <cellStyle name="Normal 11 2 2 2 6" xfId="52992"/>
    <cellStyle name="Normal 11 2 2 2 6 2" xfId="52993"/>
    <cellStyle name="Normal 11 2 2 2 6 2 2" xfId="52994"/>
    <cellStyle name="Normal 11 2 2 2 6 2 3" xfId="52995"/>
    <cellStyle name="Normal 11 2 2 2 6 3" xfId="52996"/>
    <cellStyle name="Normal 11 2 2 2 6 3 2" xfId="52997"/>
    <cellStyle name="Normal 11 2 2 2 6 3 3" xfId="52998"/>
    <cellStyle name="Normal 11 2 2 2 6 4" xfId="52999"/>
    <cellStyle name="Normal 11 2 2 2 6 4 2" xfId="53000"/>
    <cellStyle name="Normal 11 2 2 2 6 5" xfId="53001"/>
    <cellStyle name="Normal 11 2 2 2 6 6" xfId="53002"/>
    <cellStyle name="Normal 11 2 2 2 7" xfId="53003"/>
    <cellStyle name="Normal 11 2 2 2 7 2" xfId="53004"/>
    <cellStyle name="Normal 11 2 2 2 7 2 2" xfId="53005"/>
    <cellStyle name="Normal 11 2 2 2 7 2 3" xfId="53006"/>
    <cellStyle name="Normal 11 2 2 2 7 3" xfId="53007"/>
    <cellStyle name="Normal 11 2 2 2 7 3 2" xfId="53008"/>
    <cellStyle name="Normal 11 2 2 2 7 4" xfId="53009"/>
    <cellStyle name="Normal 11 2 2 2 7 5" xfId="53010"/>
    <cellStyle name="Normal 11 2 2 2 8" xfId="53011"/>
    <cellStyle name="Normal 11 2 2 2 8 2" xfId="53012"/>
    <cellStyle name="Normal 11 2 2 2 8 3" xfId="53013"/>
    <cellStyle name="Normal 11 2 2 2 9" xfId="53014"/>
    <cellStyle name="Normal 11 2 2 2 9 2" xfId="53015"/>
    <cellStyle name="Normal 11 2 2 2 9 3" xfId="53016"/>
    <cellStyle name="Normal 11 2 2 3" xfId="53017"/>
    <cellStyle name="Normal 11 2 2 3 10" xfId="53018"/>
    <cellStyle name="Normal 11 2 2 3 2" xfId="53019"/>
    <cellStyle name="Normal 11 2 2 3 2 2" xfId="53020"/>
    <cellStyle name="Normal 11 2 2 3 2 2 2" xfId="53021"/>
    <cellStyle name="Normal 11 2 2 3 2 2 2 2" xfId="53022"/>
    <cellStyle name="Normal 11 2 2 3 2 2 2 3" xfId="53023"/>
    <cellStyle name="Normal 11 2 2 3 2 2 3" xfId="53024"/>
    <cellStyle name="Normal 11 2 2 3 2 2 3 2" xfId="53025"/>
    <cellStyle name="Normal 11 2 2 3 2 2 3 3" xfId="53026"/>
    <cellStyle name="Normal 11 2 2 3 2 2 4" xfId="53027"/>
    <cellStyle name="Normal 11 2 2 3 2 2 4 2" xfId="53028"/>
    <cellStyle name="Normal 11 2 2 3 2 2 5" xfId="53029"/>
    <cellStyle name="Normal 11 2 2 3 2 2 6" xfId="53030"/>
    <cellStyle name="Normal 11 2 2 3 2 3" xfId="53031"/>
    <cellStyle name="Normal 11 2 2 3 2 3 2" xfId="53032"/>
    <cellStyle name="Normal 11 2 2 3 2 3 2 2" xfId="53033"/>
    <cellStyle name="Normal 11 2 2 3 2 3 2 3" xfId="53034"/>
    <cellStyle name="Normal 11 2 2 3 2 3 3" xfId="53035"/>
    <cellStyle name="Normal 11 2 2 3 2 3 3 2" xfId="53036"/>
    <cellStyle name="Normal 11 2 2 3 2 3 3 3" xfId="53037"/>
    <cellStyle name="Normal 11 2 2 3 2 3 4" xfId="53038"/>
    <cellStyle name="Normal 11 2 2 3 2 3 4 2" xfId="53039"/>
    <cellStyle name="Normal 11 2 2 3 2 3 5" xfId="53040"/>
    <cellStyle name="Normal 11 2 2 3 2 3 6" xfId="53041"/>
    <cellStyle name="Normal 11 2 2 3 2 4" xfId="53042"/>
    <cellStyle name="Normal 11 2 2 3 2 4 2" xfId="53043"/>
    <cellStyle name="Normal 11 2 2 3 2 4 2 2" xfId="53044"/>
    <cellStyle name="Normal 11 2 2 3 2 4 2 3" xfId="53045"/>
    <cellStyle name="Normal 11 2 2 3 2 4 3" xfId="53046"/>
    <cellStyle name="Normal 11 2 2 3 2 4 3 2" xfId="53047"/>
    <cellStyle name="Normal 11 2 2 3 2 4 4" xfId="53048"/>
    <cellStyle name="Normal 11 2 2 3 2 4 5" xfId="53049"/>
    <cellStyle name="Normal 11 2 2 3 2 5" xfId="53050"/>
    <cellStyle name="Normal 11 2 2 3 2 5 2" xfId="53051"/>
    <cellStyle name="Normal 11 2 2 3 2 5 3" xfId="53052"/>
    <cellStyle name="Normal 11 2 2 3 2 6" xfId="53053"/>
    <cellStyle name="Normal 11 2 2 3 2 6 2" xfId="53054"/>
    <cellStyle name="Normal 11 2 2 3 2 6 3" xfId="53055"/>
    <cellStyle name="Normal 11 2 2 3 2 7" xfId="53056"/>
    <cellStyle name="Normal 11 2 2 3 2 7 2" xfId="53057"/>
    <cellStyle name="Normal 11 2 2 3 2 8" xfId="53058"/>
    <cellStyle name="Normal 11 2 2 3 2 9" xfId="53059"/>
    <cellStyle name="Normal 11 2 2 3 3" xfId="53060"/>
    <cellStyle name="Normal 11 2 2 3 3 2" xfId="53061"/>
    <cellStyle name="Normal 11 2 2 3 3 2 2" xfId="53062"/>
    <cellStyle name="Normal 11 2 2 3 3 2 3" xfId="53063"/>
    <cellStyle name="Normal 11 2 2 3 3 3" xfId="53064"/>
    <cellStyle name="Normal 11 2 2 3 3 3 2" xfId="53065"/>
    <cellStyle name="Normal 11 2 2 3 3 3 3" xfId="53066"/>
    <cellStyle name="Normal 11 2 2 3 3 4" xfId="53067"/>
    <cellStyle name="Normal 11 2 2 3 3 4 2" xfId="53068"/>
    <cellStyle name="Normal 11 2 2 3 3 5" xfId="53069"/>
    <cellStyle name="Normal 11 2 2 3 3 6" xfId="53070"/>
    <cellStyle name="Normal 11 2 2 3 4" xfId="53071"/>
    <cellStyle name="Normal 11 2 2 3 4 2" xfId="53072"/>
    <cellStyle name="Normal 11 2 2 3 4 2 2" xfId="53073"/>
    <cellStyle name="Normal 11 2 2 3 4 2 3" xfId="53074"/>
    <cellStyle name="Normal 11 2 2 3 4 3" xfId="53075"/>
    <cellStyle name="Normal 11 2 2 3 4 3 2" xfId="53076"/>
    <cellStyle name="Normal 11 2 2 3 4 3 3" xfId="53077"/>
    <cellStyle name="Normal 11 2 2 3 4 4" xfId="53078"/>
    <cellStyle name="Normal 11 2 2 3 4 4 2" xfId="53079"/>
    <cellStyle name="Normal 11 2 2 3 4 5" xfId="53080"/>
    <cellStyle name="Normal 11 2 2 3 4 6" xfId="53081"/>
    <cellStyle name="Normal 11 2 2 3 5" xfId="53082"/>
    <cellStyle name="Normal 11 2 2 3 5 2" xfId="53083"/>
    <cellStyle name="Normal 11 2 2 3 5 2 2" xfId="53084"/>
    <cellStyle name="Normal 11 2 2 3 5 2 3" xfId="53085"/>
    <cellStyle name="Normal 11 2 2 3 5 3" xfId="53086"/>
    <cellStyle name="Normal 11 2 2 3 5 3 2" xfId="53087"/>
    <cellStyle name="Normal 11 2 2 3 5 4" xfId="53088"/>
    <cellStyle name="Normal 11 2 2 3 5 5" xfId="53089"/>
    <cellStyle name="Normal 11 2 2 3 6" xfId="53090"/>
    <cellStyle name="Normal 11 2 2 3 6 2" xfId="53091"/>
    <cellStyle name="Normal 11 2 2 3 6 3" xfId="53092"/>
    <cellStyle name="Normal 11 2 2 3 7" xfId="53093"/>
    <cellStyle name="Normal 11 2 2 3 7 2" xfId="53094"/>
    <cellStyle name="Normal 11 2 2 3 7 3" xfId="53095"/>
    <cellStyle name="Normal 11 2 2 3 8" xfId="53096"/>
    <cellStyle name="Normal 11 2 2 3 8 2" xfId="53097"/>
    <cellStyle name="Normal 11 2 2 3 9" xfId="53098"/>
    <cellStyle name="Normal 11 2 2 4" xfId="53099"/>
    <cellStyle name="Normal 11 2 2 4 2" xfId="53100"/>
    <cellStyle name="Normal 11 2 2 4 2 2" xfId="53101"/>
    <cellStyle name="Normal 11 2 2 4 2 2 2" xfId="53102"/>
    <cellStyle name="Normal 11 2 2 4 2 2 3" xfId="53103"/>
    <cellStyle name="Normal 11 2 2 4 2 3" xfId="53104"/>
    <cellStyle name="Normal 11 2 2 4 2 3 2" xfId="53105"/>
    <cellStyle name="Normal 11 2 2 4 2 3 3" xfId="53106"/>
    <cellStyle name="Normal 11 2 2 4 2 4" xfId="53107"/>
    <cellStyle name="Normal 11 2 2 4 2 4 2" xfId="53108"/>
    <cellStyle name="Normal 11 2 2 4 2 5" xfId="53109"/>
    <cellStyle name="Normal 11 2 2 4 2 6" xfId="53110"/>
    <cellStyle name="Normal 11 2 2 4 3" xfId="53111"/>
    <cellStyle name="Normal 11 2 2 4 3 2" xfId="53112"/>
    <cellStyle name="Normal 11 2 2 4 3 2 2" xfId="53113"/>
    <cellStyle name="Normal 11 2 2 4 3 2 3" xfId="53114"/>
    <cellStyle name="Normal 11 2 2 4 3 3" xfId="53115"/>
    <cellStyle name="Normal 11 2 2 4 3 3 2" xfId="53116"/>
    <cellStyle name="Normal 11 2 2 4 3 3 3" xfId="53117"/>
    <cellStyle name="Normal 11 2 2 4 3 4" xfId="53118"/>
    <cellStyle name="Normal 11 2 2 4 3 4 2" xfId="53119"/>
    <cellStyle name="Normal 11 2 2 4 3 5" xfId="53120"/>
    <cellStyle name="Normal 11 2 2 4 3 6" xfId="53121"/>
    <cellStyle name="Normal 11 2 2 4 4" xfId="53122"/>
    <cellStyle name="Normal 11 2 2 4 4 2" xfId="53123"/>
    <cellStyle name="Normal 11 2 2 4 4 2 2" xfId="53124"/>
    <cellStyle name="Normal 11 2 2 4 4 2 3" xfId="53125"/>
    <cellStyle name="Normal 11 2 2 4 4 3" xfId="53126"/>
    <cellStyle name="Normal 11 2 2 4 4 3 2" xfId="53127"/>
    <cellStyle name="Normal 11 2 2 4 4 4" xfId="53128"/>
    <cellStyle name="Normal 11 2 2 4 4 5" xfId="53129"/>
    <cellStyle name="Normal 11 2 2 4 5" xfId="53130"/>
    <cellStyle name="Normal 11 2 2 4 5 2" xfId="53131"/>
    <cellStyle name="Normal 11 2 2 4 5 3" xfId="53132"/>
    <cellStyle name="Normal 11 2 2 4 6" xfId="53133"/>
    <cellStyle name="Normal 11 2 2 4 6 2" xfId="53134"/>
    <cellStyle name="Normal 11 2 2 4 6 3" xfId="53135"/>
    <cellStyle name="Normal 11 2 2 4 7" xfId="53136"/>
    <cellStyle name="Normal 11 2 2 4 7 2" xfId="53137"/>
    <cellStyle name="Normal 11 2 2 4 8" xfId="53138"/>
    <cellStyle name="Normal 11 2 2 4 9" xfId="53139"/>
    <cellStyle name="Normal 11 2 2 5" xfId="53140"/>
    <cellStyle name="Normal 11 2 2 5 2" xfId="53141"/>
    <cellStyle name="Normal 11 2 2 5 2 2" xfId="53142"/>
    <cellStyle name="Normal 11 2 2 5 2 2 2" xfId="53143"/>
    <cellStyle name="Normal 11 2 2 5 2 2 3" xfId="53144"/>
    <cellStyle name="Normal 11 2 2 5 2 3" xfId="53145"/>
    <cellStyle name="Normal 11 2 2 5 2 3 2" xfId="53146"/>
    <cellStyle name="Normal 11 2 2 5 2 3 3" xfId="53147"/>
    <cellStyle name="Normal 11 2 2 5 2 4" xfId="53148"/>
    <cellStyle name="Normal 11 2 2 5 2 4 2" xfId="53149"/>
    <cellStyle name="Normal 11 2 2 5 2 5" xfId="53150"/>
    <cellStyle name="Normal 11 2 2 5 2 6" xfId="53151"/>
    <cellStyle name="Normal 11 2 2 5 3" xfId="53152"/>
    <cellStyle name="Normal 11 2 2 5 3 2" xfId="53153"/>
    <cellStyle name="Normal 11 2 2 5 3 2 2" xfId="53154"/>
    <cellStyle name="Normal 11 2 2 5 3 2 3" xfId="53155"/>
    <cellStyle name="Normal 11 2 2 5 3 3" xfId="53156"/>
    <cellStyle name="Normal 11 2 2 5 3 3 2" xfId="53157"/>
    <cellStyle name="Normal 11 2 2 5 3 3 3" xfId="53158"/>
    <cellStyle name="Normal 11 2 2 5 3 4" xfId="53159"/>
    <cellStyle name="Normal 11 2 2 5 3 4 2" xfId="53160"/>
    <cellStyle name="Normal 11 2 2 5 3 5" xfId="53161"/>
    <cellStyle name="Normal 11 2 2 5 3 6" xfId="53162"/>
    <cellStyle name="Normal 11 2 2 5 4" xfId="53163"/>
    <cellStyle name="Normal 11 2 2 5 4 2" xfId="53164"/>
    <cellStyle name="Normal 11 2 2 5 4 2 2" xfId="53165"/>
    <cellStyle name="Normal 11 2 2 5 4 2 3" xfId="53166"/>
    <cellStyle name="Normal 11 2 2 5 4 3" xfId="53167"/>
    <cellStyle name="Normal 11 2 2 5 4 3 2" xfId="53168"/>
    <cellStyle name="Normal 11 2 2 5 4 4" xfId="53169"/>
    <cellStyle name="Normal 11 2 2 5 4 5" xfId="53170"/>
    <cellStyle name="Normal 11 2 2 5 5" xfId="53171"/>
    <cellStyle name="Normal 11 2 2 5 5 2" xfId="53172"/>
    <cellStyle name="Normal 11 2 2 5 5 3" xfId="53173"/>
    <cellStyle name="Normal 11 2 2 5 6" xfId="53174"/>
    <cellStyle name="Normal 11 2 2 5 6 2" xfId="53175"/>
    <cellStyle name="Normal 11 2 2 5 6 3" xfId="53176"/>
    <cellStyle name="Normal 11 2 2 5 7" xfId="53177"/>
    <cellStyle name="Normal 11 2 2 5 7 2" xfId="53178"/>
    <cellStyle name="Normal 11 2 2 5 8" xfId="53179"/>
    <cellStyle name="Normal 11 2 2 5 9" xfId="53180"/>
    <cellStyle name="Normal 11 2 2 6" xfId="53181"/>
    <cellStyle name="Normal 11 2 2 6 2" xfId="53182"/>
    <cellStyle name="Normal 11 2 2 6 2 2" xfId="53183"/>
    <cellStyle name="Normal 11 2 2 6 2 3" xfId="53184"/>
    <cellStyle name="Normal 11 2 2 6 3" xfId="53185"/>
    <cellStyle name="Normal 11 2 2 6 3 2" xfId="53186"/>
    <cellStyle name="Normal 11 2 2 6 3 3" xfId="53187"/>
    <cellStyle name="Normal 11 2 2 6 4" xfId="53188"/>
    <cellStyle name="Normal 11 2 2 6 4 2" xfId="53189"/>
    <cellStyle name="Normal 11 2 2 6 5" xfId="53190"/>
    <cellStyle name="Normal 11 2 2 6 6" xfId="53191"/>
    <cellStyle name="Normal 11 2 2 7" xfId="53192"/>
    <cellStyle name="Normal 11 2 2 7 2" xfId="53193"/>
    <cellStyle name="Normal 11 2 2 7 2 2" xfId="53194"/>
    <cellStyle name="Normal 11 2 2 7 2 3" xfId="53195"/>
    <cellStyle name="Normal 11 2 2 7 3" xfId="53196"/>
    <cellStyle name="Normal 11 2 2 7 3 2" xfId="53197"/>
    <cellStyle name="Normal 11 2 2 7 3 3" xfId="53198"/>
    <cellStyle name="Normal 11 2 2 7 4" xfId="53199"/>
    <cellStyle name="Normal 11 2 2 7 4 2" xfId="53200"/>
    <cellStyle name="Normal 11 2 2 7 5" xfId="53201"/>
    <cellStyle name="Normal 11 2 2 7 6" xfId="53202"/>
    <cellStyle name="Normal 11 2 2 8" xfId="53203"/>
    <cellStyle name="Normal 11 2 2 8 2" xfId="53204"/>
    <cellStyle name="Normal 11 2 2 8 2 2" xfId="53205"/>
    <cellStyle name="Normal 11 2 2 8 2 3" xfId="53206"/>
    <cellStyle name="Normal 11 2 2 8 3" xfId="53207"/>
    <cellStyle name="Normal 11 2 2 8 3 2" xfId="53208"/>
    <cellStyle name="Normal 11 2 2 8 4" xfId="53209"/>
    <cellStyle name="Normal 11 2 2 8 5" xfId="53210"/>
    <cellStyle name="Normal 11 2 2 9" xfId="53211"/>
    <cellStyle name="Normal 11 2 2 9 2" xfId="53212"/>
    <cellStyle name="Normal 11 2 2 9 3" xfId="53213"/>
    <cellStyle name="Normal 11 2 3" xfId="53214"/>
    <cellStyle name="Normal 11 2 3 10" xfId="53215"/>
    <cellStyle name="Normal 11 2 3 10 2" xfId="53216"/>
    <cellStyle name="Normal 11 2 3 11" xfId="53217"/>
    <cellStyle name="Normal 11 2 3 12" xfId="53218"/>
    <cellStyle name="Normal 11 2 3 2" xfId="53219"/>
    <cellStyle name="Normal 11 2 3 2 10" xfId="53220"/>
    <cellStyle name="Normal 11 2 3 2 2" xfId="53221"/>
    <cellStyle name="Normal 11 2 3 2 2 2" xfId="53222"/>
    <cellStyle name="Normal 11 2 3 2 2 2 2" xfId="53223"/>
    <cellStyle name="Normal 11 2 3 2 2 2 2 2" xfId="53224"/>
    <cellStyle name="Normal 11 2 3 2 2 2 2 3" xfId="53225"/>
    <cellStyle name="Normal 11 2 3 2 2 2 3" xfId="53226"/>
    <cellStyle name="Normal 11 2 3 2 2 2 3 2" xfId="53227"/>
    <cellStyle name="Normal 11 2 3 2 2 2 3 3" xfId="53228"/>
    <cellStyle name="Normal 11 2 3 2 2 2 4" xfId="53229"/>
    <cellStyle name="Normal 11 2 3 2 2 2 4 2" xfId="53230"/>
    <cellStyle name="Normal 11 2 3 2 2 2 5" xfId="53231"/>
    <cellStyle name="Normal 11 2 3 2 2 2 6" xfId="53232"/>
    <cellStyle name="Normal 11 2 3 2 2 3" xfId="53233"/>
    <cellStyle name="Normal 11 2 3 2 2 3 2" xfId="53234"/>
    <cellStyle name="Normal 11 2 3 2 2 3 2 2" xfId="53235"/>
    <cellStyle name="Normal 11 2 3 2 2 3 2 3" xfId="53236"/>
    <cellStyle name="Normal 11 2 3 2 2 3 3" xfId="53237"/>
    <cellStyle name="Normal 11 2 3 2 2 3 3 2" xfId="53238"/>
    <cellStyle name="Normal 11 2 3 2 2 3 3 3" xfId="53239"/>
    <cellStyle name="Normal 11 2 3 2 2 3 4" xfId="53240"/>
    <cellStyle name="Normal 11 2 3 2 2 3 4 2" xfId="53241"/>
    <cellStyle name="Normal 11 2 3 2 2 3 5" xfId="53242"/>
    <cellStyle name="Normal 11 2 3 2 2 3 6" xfId="53243"/>
    <cellStyle name="Normal 11 2 3 2 2 4" xfId="53244"/>
    <cellStyle name="Normal 11 2 3 2 2 4 2" xfId="53245"/>
    <cellStyle name="Normal 11 2 3 2 2 4 2 2" xfId="53246"/>
    <cellStyle name="Normal 11 2 3 2 2 4 2 3" xfId="53247"/>
    <cellStyle name="Normal 11 2 3 2 2 4 3" xfId="53248"/>
    <cellStyle name="Normal 11 2 3 2 2 4 3 2" xfId="53249"/>
    <cellStyle name="Normal 11 2 3 2 2 4 4" xfId="53250"/>
    <cellStyle name="Normal 11 2 3 2 2 4 5" xfId="53251"/>
    <cellStyle name="Normal 11 2 3 2 2 5" xfId="53252"/>
    <cellStyle name="Normal 11 2 3 2 2 5 2" xfId="53253"/>
    <cellStyle name="Normal 11 2 3 2 2 5 3" xfId="53254"/>
    <cellStyle name="Normal 11 2 3 2 2 6" xfId="53255"/>
    <cellStyle name="Normal 11 2 3 2 2 6 2" xfId="53256"/>
    <cellStyle name="Normal 11 2 3 2 2 6 3" xfId="53257"/>
    <cellStyle name="Normal 11 2 3 2 2 7" xfId="53258"/>
    <cellStyle name="Normal 11 2 3 2 2 7 2" xfId="53259"/>
    <cellStyle name="Normal 11 2 3 2 2 8" xfId="53260"/>
    <cellStyle name="Normal 11 2 3 2 2 9" xfId="53261"/>
    <cellStyle name="Normal 11 2 3 2 3" xfId="53262"/>
    <cellStyle name="Normal 11 2 3 2 3 2" xfId="53263"/>
    <cellStyle name="Normal 11 2 3 2 3 2 2" xfId="53264"/>
    <cellStyle name="Normal 11 2 3 2 3 2 3" xfId="53265"/>
    <cellStyle name="Normal 11 2 3 2 3 3" xfId="53266"/>
    <cellStyle name="Normal 11 2 3 2 3 3 2" xfId="53267"/>
    <cellStyle name="Normal 11 2 3 2 3 3 3" xfId="53268"/>
    <cellStyle name="Normal 11 2 3 2 3 4" xfId="53269"/>
    <cellStyle name="Normal 11 2 3 2 3 4 2" xfId="53270"/>
    <cellStyle name="Normal 11 2 3 2 3 5" xfId="53271"/>
    <cellStyle name="Normal 11 2 3 2 3 6" xfId="53272"/>
    <cellStyle name="Normal 11 2 3 2 4" xfId="53273"/>
    <cellStyle name="Normal 11 2 3 2 4 2" xfId="53274"/>
    <cellStyle name="Normal 11 2 3 2 4 2 2" xfId="53275"/>
    <cellStyle name="Normal 11 2 3 2 4 2 3" xfId="53276"/>
    <cellStyle name="Normal 11 2 3 2 4 3" xfId="53277"/>
    <cellStyle name="Normal 11 2 3 2 4 3 2" xfId="53278"/>
    <cellStyle name="Normal 11 2 3 2 4 3 3" xfId="53279"/>
    <cellStyle name="Normal 11 2 3 2 4 4" xfId="53280"/>
    <cellStyle name="Normal 11 2 3 2 4 4 2" xfId="53281"/>
    <cellStyle name="Normal 11 2 3 2 4 5" xfId="53282"/>
    <cellStyle name="Normal 11 2 3 2 4 6" xfId="53283"/>
    <cellStyle name="Normal 11 2 3 2 5" xfId="53284"/>
    <cellStyle name="Normal 11 2 3 2 5 2" xfId="53285"/>
    <cellStyle name="Normal 11 2 3 2 5 2 2" xfId="53286"/>
    <cellStyle name="Normal 11 2 3 2 5 2 3" xfId="53287"/>
    <cellStyle name="Normal 11 2 3 2 5 3" xfId="53288"/>
    <cellStyle name="Normal 11 2 3 2 5 3 2" xfId="53289"/>
    <cellStyle name="Normal 11 2 3 2 5 4" xfId="53290"/>
    <cellStyle name="Normal 11 2 3 2 5 5" xfId="53291"/>
    <cellStyle name="Normal 11 2 3 2 6" xfId="53292"/>
    <cellStyle name="Normal 11 2 3 2 6 2" xfId="53293"/>
    <cellStyle name="Normal 11 2 3 2 6 3" xfId="53294"/>
    <cellStyle name="Normal 11 2 3 2 7" xfId="53295"/>
    <cellStyle name="Normal 11 2 3 2 7 2" xfId="53296"/>
    <cellStyle name="Normal 11 2 3 2 7 3" xfId="53297"/>
    <cellStyle name="Normal 11 2 3 2 8" xfId="53298"/>
    <cellStyle name="Normal 11 2 3 2 8 2" xfId="53299"/>
    <cellStyle name="Normal 11 2 3 2 9" xfId="53300"/>
    <cellStyle name="Normal 11 2 3 3" xfId="53301"/>
    <cellStyle name="Normal 11 2 3 3 2" xfId="53302"/>
    <cellStyle name="Normal 11 2 3 3 2 2" xfId="53303"/>
    <cellStyle name="Normal 11 2 3 3 2 2 2" xfId="53304"/>
    <cellStyle name="Normal 11 2 3 3 2 2 3" xfId="53305"/>
    <cellStyle name="Normal 11 2 3 3 2 3" xfId="53306"/>
    <cellStyle name="Normal 11 2 3 3 2 3 2" xfId="53307"/>
    <cellStyle name="Normal 11 2 3 3 2 3 3" xfId="53308"/>
    <cellStyle name="Normal 11 2 3 3 2 4" xfId="53309"/>
    <cellStyle name="Normal 11 2 3 3 2 4 2" xfId="53310"/>
    <cellStyle name="Normal 11 2 3 3 2 5" xfId="53311"/>
    <cellStyle name="Normal 11 2 3 3 2 6" xfId="53312"/>
    <cellStyle name="Normal 11 2 3 3 3" xfId="53313"/>
    <cellStyle name="Normal 11 2 3 3 3 2" xfId="53314"/>
    <cellStyle name="Normal 11 2 3 3 3 2 2" xfId="53315"/>
    <cellStyle name="Normal 11 2 3 3 3 2 3" xfId="53316"/>
    <cellStyle name="Normal 11 2 3 3 3 3" xfId="53317"/>
    <cellStyle name="Normal 11 2 3 3 3 3 2" xfId="53318"/>
    <cellStyle name="Normal 11 2 3 3 3 3 3" xfId="53319"/>
    <cellStyle name="Normal 11 2 3 3 3 4" xfId="53320"/>
    <cellStyle name="Normal 11 2 3 3 3 4 2" xfId="53321"/>
    <cellStyle name="Normal 11 2 3 3 3 5" xfId="53322"/>
    <cellStyle name="Normal 11 2 3 3 3 6" xfId="53323"/>
    <cellStyle name="Normal 11 2 3 3 4" xfId="53324"/>
    <cellStyle name="Normal 11 2 3 3 4 2" xfId="53325"/>
    <cellStyle name="Normal 11 2 3 3 4 2 2" xfId="53326"/>
    <cellStyle name="Normal 11 2 3 3 4 2 3" xfId="53327"/>
    <cellStyle name="Normal 11 2 3 3 4 3" xfId="53328"/>
    <cellStyle name="Normal 11 2 3 3 4 3 2" xfId="53329"/>
    <cellStyle name="Normal 11 2 3 3 4 4" xfId="53330"/>
    <cellStyle name="Normal 11 2 3 3 4 5" xfId="53331"/>
    <cellStyle name="Normal 11 2 3 3 5" xfId="53332"/>
    <cellStyle name="Normal 11 2 3 3 5 2" xfId="53333"/>
    <cellStyle name="Normal 11 2 3 3 5 3" xfId="53334"/>
    <cellStyle name="Normal 11 2 3 3 6" xfId="53335"/>
    <cellStyle name="Normal 11 2 3 3 6 2" xfId="53336"/>
    <cellStyle name="Normal 11 2 3 3 6 3" xfId="53337"/>
    <cellStyle name="Normal 11 2 3 3 7" xfId="53338"/>
    <cellStyle name="Normal 11 2 3 3 7 2" xfId="53339"/>
    <cellStyle name="Normal 11 2 3 3 8" xfId="53340"/>
    <cellStyle name="Normal 11 2 3 3 9" xfId="53341"/>
    <cellStyle name="Normal 11 2 3 4" xfId="53342"/>
    <cellStyle name="Normal 11 2 3 4 2" xfId="53343"/>
    <cellStyle name="Normal 11 2 3 4 2 2" xfId="53344"/>
    <cellStyle name="Normal 11 2 3 4 2 2 2" xfId="53345"/>
    <cellStyle name="Normal 11 2 3 4 2 2 3" xfId="53346"/>
    <cellStyle name="Normal 11 2 3 4 2 3" xfId="53347"/>
    <cellStyle name="Normal 11 2 3 4 2 3 2" xfId="53348"/>
    <cellStyle name="Normal 11 2 3 4 2 3 3" xfId="53349"/>
    <cellStyle name="Normal 11 2 3 4 2 4" xfId="53350"/>
    <cellStyle name="Normal 11 2 3 4 2 4 2" xfId="53351"/>
    <cellStyle name="Normal 11 2 3 4 2 5" xfId="53352"/>
    <cellStyle name="Normal 11 2 3 4 2 6" xfId="53353"/>
    <cellStyle name="Normal 11 2 3 4 3" xfId="53354"/>
    <cellStyle name="Normal 11 2 3 4 3 2" xfId="53355"/>
    <cellStyle name="Normal 11 2 3 4 3 2 2" xfId="53356"/>
    <cellStyle name="Normal 11 2 3 4 3 2 3" xfId="53357"/>
    <cellStyle name="Normal 11 2 3 4 3 3" xfId="53358"/>
    <cellStyle name="Normal 11 2 3 4 3 3 2" xfId="53359"/>
    <cellStyle name="Normal 11 2 3 4 3 3 3" xfId="53360"/>
    <cellStyle name="Normal 11 2 3 4 3 4" xfId="53361"/>
    <cellStyle name="Normal 11 2 3 4 3 4 2" xfId="53362"/>
    <cellStyle name="Normal 11 2 3 4 3 5" xfId="53363"/>
    <cellStyle name="Normal 11 2 3 4 3 6" xfId="53364"/>
    <cellStyle name="Normal 11 2 3 4 4" xfId="53365"/>
    <cellStyle name="Normal 11 2 3 4 4 2" xfId="53366"/>
    <cellStyle name="Normal 11 2 3 4 4 2 2" xfId="53367"/>
    <cellStyle name="Normal 11 2 3 4 4 2 3" xfId="53368"/>
    <cellStyle name="Normal 11 2 3 4 4 3" xfId="53369"/>
    <cellStyle name="Normal 11 2 3 4 4 3 2" xfId="53370"/>
    <cellStyle name="Normal 11 2 3 4 4 4" xfId="53371"/>
    <cellStyle name="Normal 11 2 3 4 4 5" xfId="53372"/>
    <cellStyle name="Normal 11 2 3 4 5" xfId="53373"/>
    <cellStyle name="Normal 11 2 3 4 5 2" xfId="53374"/>
    <cellStyle name="Normal 11 2 3 4 5 3" xfId="53375"/>
    <cellStyle name="Normal 11 2 3 4 6" xfId="53376"/>
    <cellStyle name="Normal 11 2 3 4 6 2" xfId="53377"/>
    <cellStyle name="Normal 11 2 3 4 6 3" xfId="53378"/>
    <cellStyle name="Normal 11 2 3 4 7" xfId="53379"/>
    <cellStyle name="Normal 11 2 3 4 7 2" xfId="53380"/>
    <cellStyle name="Normal 11 2 3 4 8" xfId="53381"/>
    <cellStyle name="Normal 11 2 3 4 9" xfId="53382"/>
    <cellStyle name="Normal 11 2 3 5" xfId="53383"/>
    <cellStyle name="Normal 11 2 3 5 2" xfId="53384"/>
    <cellStyle name="Normal 11 2 3 5 2 2" xfId="53385"/>
    <cellStyle name="Normal 11 2 3 5 2 3" xfId="53386"/>
    <cellStyle name="Normal 11 2 3 5 3" xfId="53387"/>
    <cellStyle name="Normal 11 2 3 5 3 2" xfId="53388"/>
    <cellStyle name="Normal 11 2 3 5 3 3" xfId="53389"/>
    <cellStyle name="Normal 11 2 3 5 4" xfId="53390"/>
    <cellStyle name="Normal 11 2 3 5 4 2" xfId="53391"/>
    <cellStyle name="Normal 11 2 3 5 5" xfId="53392"/>
    <cellStyle name="Normal 11 2 3 5 6" xfId="53393"/>
    <cellStyle name="Normal 11 2 3 6" xfId="53394"/>
    <cellStyle name="Normal 11 2 3 6 2" xfId="53395"/>
    <cellStyle name="Normal 11 2 3 6 2 2" xfId="53396"/>
    <cellStyle name="Normal 11 2 3 6 2 3" xfId="53397"/>
    <cellStyle name="Normal 11 2 3 6 3" xfId="53398"/>
    <cellStyle name="Normal 11 2 3 6 3 2" xfId="53399"/>
    <cellStyle name="Normal 11 2 3 6 3 3" xfId="53400"/>
    <cellStyle name="Normal 11 2 3 6 4" xfId="53401"/>
    <cellStyle name="Normal 11 2 3 6 4 2" xfId="53402"/>
    <cellStyle name="Normal 11 2 3 6 5" xfId="53403"/>
    <cellStyle name="Normal 11 2 3 6 6" xfId="53404"/>
    <cellStyle name="Normal 11 2 3 7" xfId="53405"/>
    <cellStyle name="Normal 11 2 3 7 2" xfId="53406"/>
    <cellStyle name="Normal 11 2 3 7 2 2" xfId="53407"/>
    <cellStyle name="Normal 11 2 3 7 2 3" xfId="53408"/>
    <cellStyle name="Normal 11 2 3 7 3" xfId="53409"/>
    <cellStyle name="Normal 11 2 3 7 3 2" xfId="53410"/>
    <cellStyle name="Normal 11 2 3 7 4" xfId="53411"/>
    <cellStyle name="Normal 11 2 3 7 5" xfId="53412"/>
    <cellStyle name="Normal 11 2 3 8" xfId="53413"/>
    <cellStyle name="Normal 11 2 3 8 2" xfId="53414"/>
    <cellStyle name="Normal 11 2 3 8 3" xfId="53415"/>
    <cellStyle name="Normal 11 2 3 9" xfId="53416"/>
    <cellStyle name="Normal 11 2 3 9 2" xfId="53417"/>
    <cellStyle name="Normal 11 2 3 9 3" xfId="53418"/>
    <cellStyle name="Normal 11 2 4" xfId="53419"/>
    <cellStyle name="Normal 11 2 4 10" xfId="53420"/>
    <cellStyle name="Normal 11 2 4 2" xfId="53421"/>
    <cellStyle name="Normal 11 2 4 2 2" xfId="53422"/>
    <cellStyle name="Normal 11 2 4 2 2 2" xfId="53423"/>
    <cellStyle name="Normal 11 2 4 2 2 2 2" xfId="53424"/>
    <cellStyle name="Normal 11 2 4 2 2 2 3" xfId="53425"/>
    <cellStyle name="Normal 11 2 4 2 2 3" xfId="53426"/>
    <cellStyle name="Normal 11 2 4 2 2 3 2" xfId="53427"/>
    <cellStyle name="Normal 11 2 4 2 2 3 3" xfId="53428"/>
    <cellStyle name="Normal 11 2 4 2 2 4" xfId="53429"/>
    <cellStyle name="Normal 11 2 4 2 2 4 2" xfId="53430"/>
    <cellStyle name="Normal 11 2 4 2 2 5" xfId="53431"/>
    <cellStyle name="Normal 11 2 4 2 2 6" xfId="53432"/>
    <cellStyle name="Normal 11 2 4 2 3" xfId="53433"/>
    <cellStyle name="Normal 11 2 4 2 3 2" xfId="53434"/>
    <cellStyle name="Normal 11 2 4 2 3 2 2" xfId="53435"/>
    <cellStyle name="Normal 11 2 4 2 3 2 3" xfId="53436"/>
    <cellStyle name="Normal 11 2 4 2 3 3" xfId="53437"/>
    <cellStyle name="Normal 11 2 4 2 3 3 2" xfId="53438"/>
    <cellStyle name="Normal 11 2 4 2 3 3 3" xfId="53439"/>
    <cellStyle name="Normal 11 2 4 2 3 4" xfId="53440"/>
    <cellStyle name="Normal 11 2 4 2 3 4 2" xfId="53441"/>
    <cellStyle name="Normal 11 2 4 2 3 5" xfId="53442"/>
    <cellStyle name="Normal 11 2 4 2 3 6" xfId="53443"/>
    <cellStyle name="Normal 11 2 4 2 4" xfId="53444"/>
    <cellStyle name="Normal 11 2 4 2 4 2" xfId="53445"/>
    <cellStyle name="Normal 11 2 4 2 4 2 2" xfId="53446"/>
    <cellStyle name="Normal 11 2 4 2 4 2 3" xfId="53447"/>
    <cellStyle name="Normal 11 2 4 2 4 3" xfId="53448"/>
    <cellStyle name="Normal 11 2 4 2 4 3 2" xfId="53449"/>
    <cellStyle name="Normal 11 2 4 2 4 4" xfId="53450"/>
    <cellStyle name="Normal 11 2 4 2 4 5" xfId="53451"/>
    <cellStyle name="Normal 11 2 4 2 5" xfId="53452"/>
    <cellStyle name="Normal 11 2 4 2 5 2" xfId="53453"/>
    <cellStyle name="Normal 11 2 4 2 5 3" xfId="53454"/>
    <cellStyle name="Normal 11 2 4 2 6" xfId="53455"/>
    <cellStyle name="Normal 11 2 4 2 6 2" xfId="53456"/>
    <cellStyle name="Normal 11 2 4 2 6 3" xfId="53457"/>
    <cellStyle name="Normal 11 2 4 2 7" xfId="53458"/>
    <cellStyle name="Normal 11 2 4 2 7 2" xfId="53459"/>
    <cellStyle name="Normal 11 2 4 2 8" xfId="53460"/>
    <cellStyle name="Normal 11 2 4 2 9" xfId="53461"/>
    <cellStyle name="Normal 11 2 4 3" xfId="53462"/>
    <cellStyle name="Normal 11 2 4 3 2" xfId="53463"/>
    <cellStyle name="Normal 11 2 4 3 2 2" xfId="53464"/>
    <cellStyle name="Normal 11 2 4 3 2 3" xfId="53465"/>
    <cellStyle name="Normal 11 2 4 3 3" xfId="53466"/>
    <cellStyle name="Normal 11 2 4 3 3 2" xfId="53467"/>
    <cellStyle name="Normal 11 2 4 3 3 3" xfId="53468"/>
    <cellStyle name="Normal 11 2 4 3 4" xfId="53469"/>
    <cellStyle name="Normal 11 2 4 3 4 2" xfId="53470"/>
    <cellStyle name="Normal 11 2 4 3 5" xfId="53471"/>
    <cellStyle name="Normal 11 2 4 3 6" xfId="53472"/>
    <cellStyle name="Normal 11 2 4 4" xfId="53473"/>
    <cellStyle name="Normal 11 2 4 4 2" xfId="53474"/>
    <cellStyle name="Normal 11 2 4 4 2 2" xfId="53475"/>
    <cellStyle name="Normal 11 2 4 4 2 3" xfId="53476"/>
    <cellStyle name="Normal 11 2 4 4 3" xfId="53477"/>
    <cellStyle name="Normal 11 2 4 4 3 2" xfId="53478"/>
    <cellStyle name="Normal 11 2 4 4 3 3" xfId="53479"/>
    <cellStyle name="Normal 11 2 4 4 4" xfId="53480"/>
    <cellStyle name="Normal 11 2 4 4 4 2" xfId="53481"/>
    <cellStyle name="Normal 11 2 4 4 5" xfId="53482"/>
    <cellStyle name="Normal 11 2 4 4 6" xfId="53483"/>
    <cellStyle name="Normal 11 2 4 5" xfId="53484"/>
    <cellStyle name="Normal 11 2 4 5 2" xfId="53485"/>
    <cellStyle name="Normal 11 2 4 5 2 2" xfId="53486"/>
    <cellStyle name="Normal 11 2 4 5 2 3" xfId="53487"/>
    <cellStyle name="Normal 11 2 4 5 3" xfId="53488"/>
    <cellStyle name="Normal 11 2 4 5 3 2" xfId="53489"/>
    <cellStyle name="Normal 11 2 4 5 4" xfId="53490"/>
    <cellStyle name="Normal 11 2 4 5 5" xfId="53491"/>
    <cellStyle name="Normal 11 2 4 6" xfId="53492"/>
    <cellStyle name="Normal 11 2 4 6 2" xfId="53493"/>
    <cellStyle name="Normal 11 2 4 6 3" xfId="53494"/>
    <cellStyle name="Normal 11 2 4 7" xfId="53495"/>
    <cellStyle name="Normal 11 2 4 7 2" xfId="53496"/>
    <cellStyle name="Normal 11 2 4 7 3" xfId="53497"/>
    <cellStyle name="Normal 11 2 4 8" xfId="53498"/>
    <cellStyle name="Normal 11 2 4 8 2" xfId="53499"/>
    <cellStyle name="Normal 11 2 4 9" xfId="53500"/>
    <cellStyle name="Normal 11 2 5" xfId="53501"/>
    <cellStyle name="Normal 11 2 5 2" xfId="53502"/>
    <cellStyle name="Normal 11 2 5 2 2" xfId="53503"/>
    <cellStyle name="Normal 11 2 5 2 2 2" xfId="53504"/>
    <cellStyle name="Normal 11 2 5 2 2 3" xfId="53505"/>
    <cellStyle name="Normal 11 2 5 2 3" xfId="53506"/>
    <cellStyle name="Normal 11 2 5 2 3 2" xfId="53507"/>
    <cellStyle name="Normal 11 2 5 2 3 3" xfId="53508"/>
    <cellStyle name="Normal 11 2 5 2 4" xfId="53509"/>
    <cellStyle name="Normal 11 2 5 2 4 2" xfId="53510"/>
    <cellStyle name="Normal 11 2 5 2 5" xfId="53511"/>
    <cellStyle name="Normal 11 2 5 2 6" xfId="53512"/>
    <cellStyle name="Normal 11 2 5 3" xfId="53513"/>
    <cellStyle name="Normal 11 2 5 3 2" xfId="53514"/>
    <cellStyle name="Normal 11 2 5 3 2 2" xfId="53515"/>
    <cellStyle name="Normal 11 2 5 3 2 3" xfId="53516"/>
    <cellStyle name="Normal 11 2 5 3 3" xfId="53517"/>
    <cellStyle name="Normal 11 2 5 3 3 2" xfId="53518"/>
    <cellStyle name="Normal 11 2 5 3 3 3" xfId="53519"/>
    <cellStyle name="Normal 11 2 5 3 4" xfId="53520"/>
    <cellStyle name="Normal 11 2 5 3 4 2" xfId="53521"/>
    <cellStyle name="Normal 11 2 5 3 5" xfId="53522"/>
    <cellStyle name="Normal 11 2 5 3 6" xfId="53523"/>
    <cellStyle name="Normal 11 2 5 4" xfId="53524"/>
    <cellStyle name="Normal 11 2 5 4 2" xfId="53525"/>
    <cellStyle name="Normal 11 2 5 4 2 2" xfId="53526"/>
    <cellStyle name="Normal 11 2 5 4 2 3" xfId="53527"/>
    <cellStyle name="Normal 11 2 5 4 3" xfId="53528"/>
    <cellStyle name="Normal 11 2 5 4 3 2" xfId="53529"/>
    <cellStyle name="Normal 11 2 5 4 4" xfId="53530"/>
    <cellStyle name="Normal 11 2 5 4 5" xfId="53531"/>
    <cellStyle name="Normal 11 2 5 5" xfId="53532"/>
    <cellStyle name="Normal 11 2 5 5 2" xfId="53533"/>
    <cellStyle name="Normal 11 2 5 5 3" xfId="53534"/>
    <cellStyle name="Normal 11 2 5 6" xfId="53535"/>
    <cellStyle name="Normal 11 2 5 6 2" xfId="53536"/>
    <cellStyle name="Normal 11 2 5 6 3" xfId="53537"/>
    <cellStyle name="Normal 11 2 5 7" xfId="53538"/>
    <cellStyle name="Normal 11 2 5 7 2" xfId="53539"/>
    <cellStyle name="Normal 11 2 5 8" xfId="53540"/>
    <cellStyle name="Normal 11 2 5 9" xfId="53541"/>
    <cellStyle name="Normal 11 2 6" xfId="53542"/>
    <cellStyle name="Normal 11 2 6 2" xfId="53543"/>
    <cellStyle name="Normal 11 2 6 2 2" xfId="53544"/>
    <cellStyle name="Normal 11 2 6 2 2 2" xfId="53545"/>
    <cellStyle name="Normal 11 2 6 2 2 3" xfId="53546"/>
    <cellStyle name="Normal 11 2 6 2 3" xfId="53547"/>
    <cellStyle name="Normal 11 2 6 2 3 2" xfId="53548"/>
    <cellStyle name="Normal 11 2 6 2 3 3" xfId="53549"/>
    <cellStyle name="Normal 11 2 6 2 4" xfId="53550"/>
    <cellStyle name="Normal 11 2 6 2 4 2" xfId="53551"/>
    <cellStyle name="Normal 11 2 6 2 5" xfId="53552"/>
    <cellStyle name="Normal 11 2 6 2 6" xfId="53553"/>
    <cellStyle name="Normal 11 2 6 3" xfId="53554"/>
    <cellStyle name="Normal 11 2 6 3 2" xfId="53555"/>
    <cellStyle name="Normal 11 2 6 3 2 2" xfId="53556"/>
    <cellStyle name="Normal 11 2 6 3 2 3" xfId="53557"/>
    <cellStyle name="Normal 11 2 6 3 3" xfId="53558"/>
    <cellStyle name="Normal 11 2 6 3 3 2" xfId="53559"/>
    <cellStyle name="Normal 11 2 6 3 3 3" xfId="53560"/>
    <cellStyle name="Normal 11 2 6 3 4" xfId="53561"/>
    <cellStyle name="Normal 11 2 6 3 4 2" xfId="53562"/>
    <cellStyle name="Normal 11 2 6 3 5" xfId="53563"/>
    <cellStyle name="Normal 11 2 6 3 6" xfId="53564"/>
    <cellStyle name="Normal 11 2 6 4" xfId="53565"/>
    <cellStyle name="Normal 11 2 6 4 2" xfId="53566"/>
    <cellStyle name="Normal 11 2 6 4 2 2" xfId="53567"/>
    <cellStyle name="Normal 11 2 6 4 2 3" xfId="53568"/>
    <cellStyle name="Normal 11 2 6 4 3" xfId="53569"/>
    <cellStyle name="Normal 11 2 6 4 3 2" xfId="53570"/>
    <cellStyle name="Normal 11 2 6 4 4" xfId="53571"/>
    <cellStyle name="Normal 11 2 6 4 5" xfId="53572"/>
    <cellStyle name="Normal 11 2 6 5" xfId="53573"/>
    <cellStyle name="Normal 11 2 6 5 2" xfId="53574"/>
    <cellStyle name="Normal 11 2 6 5 3" xfId="53575"/>
    <cellStyle name="Normal 11 2 6 6" xfId="53576"/>
    <cellStyle name="Normal 11 2 6 6 2" xfId="53577"/>
    <cellStyle name="Normal 11 2 6 6 3" xfId="53578"/>
    <cellStyle name="Normal 11 2 6 7" xfId="53579"/>
    <cellStyle name="Normal 11 2 6 7 2" xfId="53580"/>
    <cellStyle name="Normal 11 2 6 8" xfId="53581"/>
    <cellStyle name="Normal 11 2 6 9" xfId="53582"/>
    <cellStyle name="Normal 11 2 7" xfId="53583"/>
    <cellStyle name="Normal 11 2 7 2" xfId="53584"/>
    <cellStyle name="Normal 11 2 7 2 2" xfId="53585"/>
    <cellStyle name="Normal 11 2 7 2 3" xfId="53586"/>
    <cellStyle name="Normal 11 2 7 3" xfId="53587"/>
    <cellStyle name="Normal 11 2 7 3 2" xfId="53588"/>
    <cellStyle name="Normal 11 2 7 3 3" xfId="53589"/>
    <cellStyle name="Normal 11 2 7 4" xfId="53590"/>
    <cellStyle name="Normal 11 2 7 4 2" xfId="53591"/>
    <cellStyle name="Normal 11 2 7 5" xfId="53592"/>
    <cellStyle name="Normal 11 2 7 6" xfId="53593"/>
    <cellStyle name="Normal 11 2 8" xfId="53594"/>
    <cellStyle name="Normal 11 2 8 2" xfId="53595"/>
    <cellStyle name="Normal 11 2 8 2 2" xfId="53596"/>
    <cellStyle name="Normal 11 2 8 2 3" xfId="53597"/>
    <cellStyle name="Normal 11 2 8 3" xfId="53598"/>
    <cellStyle name="Normal 11 2 8 3 2" xfId="53599"/>
    <cellStyle name="Normal 11 2 8 3 3" xfId="53600"/>
    <cellStyle name="Normal 11 2 8 4" xfId="53601"/>
    <cellStyle name="Normal 11 2 8 4 2" xfId="53602"/>
    <cellStyle name="Normal 11 2 8 5" xfId="53603"/>
    <cellStyle name="Normal 11 2 8 6" xfId="53604"/>
    <cellStyle name="Normal 11 2 9" xfId="53605"/>
    <cellStyle name="Normal 11 2 9 2" xfId="53606"/>
    <cellStyle name="Normal 11 2 9 2 2" xfId="53607"/>
    <cellStyle name="Normal 11 2 9 2 3" xfId="53608"/>
    <cellStyle name="Normal 11 2 9 3" xfId="53609"/>
    <cellStyle name="Normal 11 2 9 3 2" xfId="53610"/>
    <cellStyle name="Normal 11 2 9 4" xfId="53611"/>
    <cellStyle name="Normal 11 2 9 5" xfId="53612"/>
    <cellStyle name="Normal 11 3" xfId="9242"/>
    <cellStyle name="Normal 11 3 10" xfId="53613"/>
    <cellStyle name="Normal 11 3 10 2" xfId="53614"/>
    <cellStyle name="Normal 11 3 10 3" xfId="53615"/>
    <cellStyle name="Normal 11 3 11" xfId="53616"/>
    <cellStyle name="Normal 11 3 11 2" xfId="53617"/>
    <cellStyle name="Normal 11 3 12" xfId="53618"/>
    <cellStyle name="Normal 11 3 13" xfId="53619"/>
    <cellStyle name="Normal 11 3 2" xfId="53620"/>
    <cellStyle name="Normal 11 3 2 10" xfId="53621"/>
    <cellStyle name="Normal 11 3 2 10 2" xfId="53622"/>
    <cellStyle name="Normal 11 3 2 11" xfId="53623"/>
    <cellStyle name="Normal 11 3 2 12" xfId="53624"/>
    <cellStyle name="Normal 11 3 2 2" xfId="53625"/>
    <cellStyle name="Normal 11 3 2 2 10" xfId="53626"/>
    <cellStyle name="Normal 11 3 2 2 2" xfId="53627"/>
    <cellStyle name="Normal 11 3 2 2 2 2" xfId="53628"/>
    <cellStyle name="Normal 11 3 2 2 2 2 2" xfId="53629"/>
    <cellStyle name="Normal 11 3 2 2 2 2 2 2" xfId="53630"/>
    <cellStyle name="Normal 11 3 2 2 2 2 2 3" xfId="53631"/>
    <cellStyle name="Normal 11 3 2 2 2 2 3" xfId="53632"/>
    <cellStyle name="Normal 11 3 2 2 2 2 3 2" xfId="53633"/>
    <cellStyle name="Normal 11 3 2 2 2 2 3 3" xfId="53634"/>
    <cellStyle name="Normal 11 3 2 2 2 2 4" xfId="53635"/>
    <cellStyle name="Normal 11 3 2 2 2 2 4 2" xfId="53636"/>
    <cellStyle name="Normal 11 3 2 2 2 2 5" xfId="53637"/>
    <cellStyle name="Normal 11 3 2 2 2 2 6" xfId="53638"/>
    <cellStyle name="Normal 11 3 2 2 2 3" xfId="53639"/>
    <cellStyle name="Normal 11 3 2 2 2 3 2" xfId="53640"/>
    <cellStyle name="Normal 11 3 2 2 2 3 2 2" xfId="53641"/>
    <cellStyle name="Normal 11 3 2 2 2 3 2 3" xfId="53642"/>
    <cellStyle name="Normal 11 3 2 2 2 3 3" xfId="53643"/>
    <cellStyle name="Normal 11 3 2 2 2 3 3 2" xfId="53644"/>
    <cellStyle name="Normal 11 3 2 2 2 3 3 3" xfId="53645"/>
    <cellStyle name="Normal 11 3 2 2 2 3 4" xfId="53646"/>
    <cellStyle name="Normal 11 3 2 2 2 3 4 2" xfId="53647"/>
    <cellStyle name="Normal 11 3 2 2 2 3 5" xfId="53648"/>
    <cellStyle name="Normal 11 3 2 2 2 3 6" xfId="53649"/>
    <cellStyle name="Normal 11 3 2 2 2 4" xfId="53650"/>
    <cellStyle name="Normal 11 3 2 2 2 4 2" xfId="53651"/>
    <cellStyle name="Normal 11 3 2 2 2 4 2 2" xfId="53652"/>
    <cellStyle name="Normal 11 3 2 2 2 4 2 3" xfId="53653"/>
    <cellStyle name="Normal 11 3 2 2 2 4 3" xfId="53654"/>
    <cellStyle name="Normal 11 3 2 2 2 4 3 2" xfId="53655"/>
    <cellStyle name="Normal 11 3 2 2 2 4 4" xfId="53656"/>
    <cellStyle name="Normal 11 3 2 2 2 4 5" xfId="53657"/>
    <cellStyle name="Normal 11 3 2 2 2 5" xfId="53658"/>
    <cellStyle name="Normal 11 3 2 2 2 5 2" xfId="53659"/>
    <cellStyle name="Normal 11 3 2 2 2 5 3" xfId="53660"/>
    <cellStyle name="Normal 11 3 2 2 2 6" xfId="53661"/>
    <cellStyle name="Normal 11 3 2 2 2 6 2" xfId="53662"/>
    <cellStyle name="Normal 11 3 2 2 2 6 3" xfId="53663"/>
    <cellStyle name="Normal 11 3 2 2 2 7" xfId="53664"/>
    <cellStyle name="Normal 11 3 2 2 2 7 2" xfId="53665"/>
    <cellStyle name="Normal 11 3 2 2 2 8" xfId="53666"/>
    <cellStyle name="Normal 11 3 2 2 2 9" xfId="53667"/>
    <cellStyle name="Normal 11 3 2 2 3" xfId="53668"/>
    <cellStyle name="Normal 11 3 2 2 3 2" xfId="53669"/>
    <cellStyle name="Normal 11 3 2 2 3 2 2" xfId="53670"/>
    <cellStyle name="Normal 11 3 2 2 3 2 3" xfId="53671"/>
    <cellStyle name="Normal 11 3 2 2 3 3" xfId="53672"/>
    <cellStyle name="Normal 11 3 2 2 3 3 2" xfId="53673"/>
    <cellStyle name="Normal 11 3 2 2 3 3 3" xfId="53674"/>
    <cellStyle name="Normal 11 3 2 2 3 4" xfId="53675"/>
    <cellStyle name="Normal 11 3 2 2 3 4 2" xfId="53676"/>
    <cellStyle name="Normal 11 3 2 2 3 5" xfId="53677"/>
    <cellStyle name="Normal 11 3 2 2 3 6" xfId="53678"/>
    <cellStyle name="Normal 11 3 2 2 4" xfId="53679"/>
    <cellStyle name="Normal 11 3 2 2 4 2" xfId="53680"/>
    <cellStyle name="Normal 11 3 2 2 4 2 2" xfId="53681"/>
    <cellStyle name="Normal 11 3 2 2 4 2 3" xfId="53682"/>
    <cellStyle name="Normal 11 3 2 2 4 3" xfId="53683"/>
    <cellStyle name="Normal 11 3 2 2 4 3 2" xfId="53684"/>
    <cellStyle name="Normal 11 3 2 2 4 3 3" xfId="53685"/>
    <cellStyle name="Normal 11 3 2 2 4 4" xfId="53686"/>
    <cellStyle name="Normal 11 3 2 2 4 4 2" xfId="53687"/>
    <cellStyle name="Normal 11 3 2 2 4 5" xfId="53688"/>
    <cellStyle name="Normal 11 3 2 2 4 6" xfId="53689"/>
    <cellStyle name="Normal 11 3 2 2 5" xfId="53690"/>
    <cellStyle name="Normal 11 3 2 2 5 2" xfId="53691"/>
    <cellStyle name="Normal 11 3 2 2 5 2 2" xfId="53692"/>
    <cellStyle name="Normal 11 3 2 2 5 2 3" xfId="53693"/>
    <cellStyle name="Normal 11 3 2 2 5 3" xfId="53694"/>
    <cellStyle name="Normal 11 3 2 2 5 3 2" xfId="53695"/>
    <cellStyle name="Normal 11 3 2 2 5 4" xfId="53696"/>
    <cellStyle name="Normal 11 3 2 2 5 5" xfId="53697"/>
    <cellStyle name="Normal 11 3 2 2 6" xfId="53698"/>
    <cellStyle name="Normal 11 3 2 2 6 2" xfId="53699"/>
    <cellStyle name="Normal 11 3 2 2 6 3" xfId="53700"/>
    <cellStyle name="Normal 11 3 2 2 7" xfId="53701"/>
    <cellStyle name="Normal 11 3 2 2 7 2" xfId="53702"/>
    <cellStyle name="Normal 11 3 2 2 7 3" xfId="53703"/>
    <cellStyle name="Normal 11 3 2 2 8" xfId="53704"/>
    <cellStyle name="Normal 11 3 2 2 8 2" xfId="53705"/>
    <cellStyle name="Normal 11 3 2 2 9" xfId="53706"/>
    <cellStyle name="Normal 11 3 2 3" xfId="53707"/>
    <cellStyle name="Normal 11 3 2 3 2" xfId="53708"/>
    <cellStyle name="Normal 11 3 2 3 2 2" xfId="53709"/>
    <cellStyle name="Normal 11 3 2 3 2 2 2" xfId="53710"/>
    <cellStyle name="Normal 11 3 2 3 2 2 3" xfId="53711"/>
    <cellStyle name="Normal 11 3 2 3 2 3" xfId="53712"/>
    <cellStyle name="Normal 11 3 2 3 2 3 2" xfId="53713"/>
    <cellStyle name="Normal 11 3 2 3 2 3 3" xfId="53714"/>
    <cellStyle name="Normal 11 3 2 3 2 4" xfId="53715"/>
    <cellStyle name="Normal 11 3 2 3 2 4 2" xfId="53716"/>
    <cellStyle name="Normal 11 3 2 3 2 5" xfId="53717"/>
    <cellStyle name="Normal 11 3 2 3 2 6" xfId="53718"/>
    <cellStyle name="Normal 11 3 2 3 3" xfId="53719"/>
    <cellStyle name="Normal 11 3 2 3 3 2" xfId="53720"/>
    <cellStyle name="Normal 11 3 2 3 3 2 2" xfId="53721"/>
    <cellStyle name="Normal 11 3 2 3 3 2 3" xfId="53722"/>
    <cellStyle name="Normal 11 3 2 3 3 3" xfId="53723"/>
    <cellStyle name="Normal 11 3 2 3 3 3 2" xfId="53724"/>
    <cellStyle name="Normal 11 3 2 3 3 3 3" xfId="53725"/>
    <cellStyle name="Normal 11 3 2 3 3 4" xfId="53726"/>
    <cellStyle name="Normal 11 3 2 3 3 4 2" xfId="53727"/>
    <cellStyle name="Normal 11 3 2 3 3 5" xfId="53728"/>
    <cellStyle name="Normal 11 3 2 3 3 6" xfId="53729"/>
    <cellStyle name="Normal 11 3 2 3 4" xfId="53730"/>
    <cellStyle name="Normal 11 3 2 3 4 2" xfId="53731"/>
    <cellStyle name="Normal 11 3 2 3 4 2 2" xfId="53732"/>
    <cellStyle name="Normal 11 3 2 3 4 2 3" xfId="53733"/>
    <cellStyle name="Normal 11 3 2 3 4 3" xfId="53734"/>
    <cellStyle name="Normal 11 3 2 3 4 3 2" xfId="53735"/>
    <cellStyle name="Normal 11 3 2 3 4 4" xfId="53736"/>
    <cellStyle name="Normal 11 3 2 3 4 5" xfId="53737"/>
    <cellStyle name="Normal 11 3 2 3 5" xfId="53738"/>
    <cellStyle name="Normal 11 3 2 3 5 2" xfId="53739"/>
    <cellStyle name="Normal 11 3 2 3 5 3" xfId="53740"/>
    <cellStyle name="Normal 11 3 2 3 6" xfId="53741"/>
    <cellStyle name="Normal 11 3 2 3 6 2" xfId="53742"/>
    <cellStyle name="Normal 11 3 2 3 6 3" xfId="53743"/>
    <cellStyle name="Normal 11 3 2 3 7" xfId="53744"/>
    <cellStyle name="Normal 11 3 2 3 7 2" xfId="53745"/>
    <cellStyle name="Normal 11 3 2 3 8" xfId="53746"/>
    <cellStyle name="Normal 11 3 2 3 9" xfId="53747"/>
    <cellStyle name="Normal 11 3 2 4" xfId="53748"/>
    <cellStyle name="Normal 11 3 2 4 2" xfId="53749"/>
    <cellStyle name="Normal 11 3 2 4 2 2" xfId="53750"/>
    <cellStyle name="Normal 11 3 2 4 2 2 2" xfId="53751"/>
    <cellStyle name="Normal 11 3 2 4 2 2 3" xfId="53752"/>
    <cellStyle name="Normal 11 3 2 4 2 3" xfId="53753"/>
    <cellStyle name="Normal 11 3 2 4 2 3 2" xfId="53754"/>
    <cellStyle name="Normal 11 3 2 4 2 3 3" xfId="53755"/>
    <cellStyle name="Normal 11 3 2 4 2 4" xfId="53756"/>
    <cellStyle name="Normal 11 3 2 4 2 4 2" xfId="53757"/>
    <cellStyle name="Normal 11 3 2 4 2 5" xfId="53758"/>
    <cellStyle name="Normal 11 3 2 4 2 6" xfId="53759"/>
    <cellStyle name="Normal 11 3 2 4 3" xfId="53760"/>
    <cellStyle name="Normal 11 3 2 4 3 2" xfId="53761"/>
    <cellStyle name="Normal 11 3 2 4 3 2 2" xfId="53762"/>
    <cellStyle name="Normal 11 3 2 4 3 2 3" xfId="53763"/>
    <cellStyle name="Normal 11 3 2 4 3 3" xfId="53764"/>
    <cellStyle name="Normal 11 3 2 4 3 3 2" xfId="53765"/>
    <cellStyle name="Normal 11 3 2 4 3 3 3" xfId="53766"/>
    <cellStyle name="Normal 11 3 2 4 3 4" xfId="53767"/>
    <cellStyle name="Normal 11 3 2 4 3 4 2" xfId="53768"/>
    <cellStyle name="Normal 11 3 2 4 3 5" xfId="53769"/>
    <cellStyle name="Normal 11 3 2 4 3 6" xfId="53770"/>
    <cellStyle name="Normal 11 3 2 4 4" xfId="53771"/>
    <cellStyle name="Normal 11 3 2 4 4 2" xfId="53772"/>
    <cellStyle name="Normal 11 3 2 4 4 2 2" xfId="53773"/>
    <cellStyle name="Normal 11 3 2 4 4 2 3" xfId="53774"/>
    <cellStyle name="Normal 11 3 2 4 4 3" xfId="53775"/>
    <cellStyle name="Normal 11 3 2 4 4 3 2" xfId="53776"/>
    <cellStyle name="Normal 11 3 2 4 4 4" xfId="53777"/>
    <cellStyle name="Normal 11 3 2 4 4 5" xfId="53778"/>
    <cellStyle name="Normal 11 3 2 4 5" xfId="53779"/>
    <cellStyle name="Normal 11 3 2 4 5 2" xfId="53780"/>
    <cellStyle name="Normal 11 3 2 4 5 3" xfId="53781"/>
    <cellStyle name="Normal 11 3 2 4 6" xfId="53782"/>
    <cellStyle name="Normal 11 3 2 4 6 2" xfId="53783"/>
    <cellStyle name="Normal 11 3 2 4 6 3" xfId="53784"/>
    <cellStyle name="Normal 11 3 2 4 7" xfId="53785"/>
    <cellStyle name="Normal 11 3 2 4 7 2" xfId="53786"/>
    <cellStyle name="Normal 11 3 2 4 8" xfId="53787"/>
    <cellStyle name="Normal 11 3 2 4 9" xfId="53788"/>
    <cellStyle name="Normal 11 3 2 5" xfId="53789"/>
    <cellStyle name="Normal 11 3 2 5 2" xfId="53790"/>
    <cellStyle name="Normal 11 3 2 5 2 2" xfId="53791"/>
    <cellStyle name="Normal 11 3 2 5 2 3" xfId="53792"/>
    <cellStyle name="Normal 11 3 2 5 3" xfId="53793"/>
    <cellStyle name="Normal 11 3 2 5 3 2" xfId="53794"/>
    <cellStyle name="Normal 11 3 2 5 3 3" xfId="53795"/>
    <cellStyle name="Normal 11 3 2 5 4" xfId="53796"/>
    <cellStyle name="Normal 11 3 2 5 4 2" xfId="53797"/>
    <cellStyle name="Normal 11 3 2 5 5" xfId="53798"/>
    <cellStyle name="Normal 11 3 2 5 6" xfId="53799"/>
    <cellStyle name="Normal 11 3 2 6" xfId="53800"/>
    <cellStyle name="Normal 11 3 2 6 2" xfId="53801"/>
    <cellStyle name="Normal 11 3 2 6 2 2" xfId="53802"/>
    <cellStyle name="Normal 11 3 2 6 2 3" xfId="53803"/>
    <cellStyle name="Normal 11 3 2 6 3" xfId="53804"/>
    <cellStyle name="Normal 11 3 2 6 3 2" xfId="53805"/>
    <cellStyle name="Normal 11 3 2 6 3 3" xfId="53806"/>
    <cellStyle name="Normal 11 3 2 6 4" xfId="53807"/>
    <cellStyle name="Normal 11 3 2 6 4 2" xfId="53808"/>
    <cellStyle name="Normal 11 3 2 6 5" xfId="53809"/>
    <cellStyle name="Normal 11 3 2 6 6" xfId="53810"/>
    <cellStyle name="Normal 11 3 2 7" xfId="53811"/>
    <cellStyle name="Normal 11 3 2 7 2" xfId="53812"/>
    <cellStyle name="Normal 11 3 2 7 2 2" xfId="53813"/>
    <cellStyle name="Normal 11 3 2 7 2 3" xfId="53814"/>
    <cellStyle name="Normal 11 3 2 7 3" xfId="53815"/>
    <cellStyle name="Normal 11 3 2 7 3 2" xfId="53816"/>
    <cellStyle name="Normal 11 3 2 7 4" xfId="53817"/>
    <cellStyle name="Normal 11 3 2 7 5" xfId="53818"/>
    <cellStyle name="Normal 11 3 2 8" xfId="53819"/>
    <cellStyle name="Normal 11 3 2 8 2" xfId="53820"/>
    <cellStyle name="Normal 11 3 2 8 3" xfId="53821"/>
    <cellStyle name="Normal 11 3 2 9" xfId="53822"/>
    <cellStyle name="Normal 11 3 2 9 2" xfId="53823"/>
    <cellStyle name="Normal 11 3 2 9 3" xfId="53824"/>
    <cellStyle name="Normal 11 3 3" xfId="53825"/>
    <cellStyle name="Normal 11 3 3 10" xfId="53826"/>
    <cellStyle name="Normal 11 3 3 2" xfId="53827"/>
    <cellStyle name="Normal 11 3 3 2 2" xfId="53828"/>
    <cellStyle name="Normal 11 3 3 2 2 2" xfId="53829"/>
    <cellStyle name="Normal 11 3 3 2 2 2 2" xfId="53830"/>
    <cellStyle name="Normal 11 3 3 2 2 2 3" xfId="53831"/>
    <cellStyle name="Normal 11 3 3 2 2 3" xfId="53832"/>
    <cellStyle name="Normal 11 3 3 2 2 3 2" xfId="53833"/>
    <cellStyle name="Normal 11 3 3 2 2 3 3" xfId="53834"/>
    <cellStyle name="Normal 11 3 3 2 2 4" xfId="53835"/>
    <cellStyle name="Normal 11 3 3 2 2 4 2" xfId="53836"/>
    <cellStyle name="Normal 11 3 3 2 2 5" xfId="53837"/>
    <cellStyle name="Normal 11 3 3 2 2 6" xfId="53838"/>
    <cellStyle name="Normal 11 3 3 2 3" xfId="53839"/>
    <cellStyle name="Normal 11 3 3 2 3 2" xfId="53840"/>
    <cellStyle name="Normal 11 3 3 2 3 2 2" xfId="53841"/>
    <cellStyle name="Normal 11 3 3 2 3 2 3" xfId="53842"/>
    <cellStyle name="Normal 11 3 3 2 3 3" xfId="53843"/>
    <cellStyle name="Normal 11 3 3 2 3 3 2" xfId="53844"/>
    <cellStyle name="Normal 11 3 3 2 3 3 3" xfId="53845"/>
    <cellStyle name="Normal 11 3 3 2 3 4" xfId="53846"/>
    <cellStyle name="Normal 11 3 3 2 3 4 2" xfId="53847"/>
    <cellStyle name="Normal 11 3 3 2 3 5" xfId="53848"/>
    <cellStyle name="Normal 11 3 3 2 3 6" xfId="53849"/>
    <cellStyle name="Normal 11 3 3 2 4" xfId="53850"/>
    <cellStyle name="Normal 11 3 3 2 4 2" xfId="53851"/>
    <cellStyle name="Normal 11 3 3 2 4 2 2" xfId="53852"/>
    <cellStyle name="Normal 11 3 3 2 4 2 3" xfId="53853"/>
    <cellStyle name="Normal 11 3 3 2 4 3" xfId="53854"/>
    <cellStyle name="Normal 11 3 3 2 4 3 2" xfId="53855"/>
    <cellStyle name="Normal 11 3 3 2 4 4" xfId="53856"/>
    <cellStyle name="Normal 11 3 3 2 4 5" xfId="53857"/>
    <cellStyle name="Normal 11 3 3 2 5" xfId="53858"/>
    <cellStyle name="Normal 11 3 3 2 5 2" xfId="53859"/>
    <cellStyle name="Normal 11 3 3 2 5 3" xfId="53860"/>
    <cellStyle name="Normal 11 3 3 2 6" xfId="53861"/>
    <cellStyle name="Normal 11 3 3 2 6 2" xfId="53862"/>
    <cellStyle name="Normal 11 3 3 2 6 3" xfId="53863"/>
    <cellStyle name="Normal 11 3 3 2 7" xfId="53864"/>
    <cellStyle name="Normal 11 3 3 2 7 2" xfId="53865"/>
    <cellStyle name="Normal 11 3 3 2 8" xfId="53866"/>
    <cellStyle name="Normal 11 3 3 2 9" xfId="53867"/>
    <cellStyle name="Normal 11 3 3 3" xfId="53868"/>
    <cellStyle name="Normal 11 3 3 3 2" xfId="53869"/>
    <cellStyle name="Normal 11 3 3 3 2 2" xfId="53870"/>
    <cellStyle name="Normal 11 3 3 3 2 3" xfId="53871"/>
    <cellStyle name="Normal 11 3 3 3 3" xfId="53872"/>
    <cellStyle name="Normal 11 3 3 3 3 2" xfId="53873"/>
    <cellStyle name="Normal 11 3 3 3 3 3" xfId="53874"/>
    <cellStyle name="Normal 11 3 3 3 4" xfId="53875"/>
    <cellStyle name="Normal 11 3 3 3 4 2" xfId="53876"/>
    <cellStyle name="Normal 11 3 3 3 5" xfId="53877"/>
    <cellStyle name="Normal 11 3 3 3 6" xfId="53878"/>
    <cellStyle name="Normal 11 3 3 4" xfId="53879"/>
    <cellStyle name="Normal 11 3 3 4 2" xfId="53880"/>
    <cellStyle name="Normal 11 3 3 4 2 2" xfId="53881"/>
    <cellStyle name="Normal 11 3 3 4 2 3" xfId="53882"/>
    <cellStyle name="Normal 11 3 3 4 3" xfId="53883"/>
    <cellStyle name="Normal 11 3 3 4 3 2" xfId="53884"/>
    <cellStyle name="Normal 11 3 3 4 3 3" xfId="53885"/>
    <cellStyle name="Normal 11 3 3 4 4" xfId="53886"/>
    <cellStyle name="Normal 11 3 3 4 4 2" xfId="53887"/>
    <cellStyle name="Normal 11 3 3 4 5" xfId="53888"/>
    <cellStyle name="Normal 11 3 3 4 6" xfId="53889"/>
    <cellStyle name="Normal 11 3 3 5" xfId="53890"/>
    <cellStyle name="Normal 11 3 3 5 2" xfId="53891"/>
    <cellStyle name="Normal 11 3 3 5 2 2" xfId="53892"/>
    <cellStyle name="Normal 11 3 3 5 2 3" xfId="53893"/>
    <cellStyle name="Normal 11 3 3 5 3" xfId="53894"/>
    <cellStyle name="Normal 11 3 3 5 3 2" xfId="53895"/>
    <cellStyle name="Normal 11 3 3 5 4" xfId="53896"/>
    <cellStyle name="Normal 11 3 3 5 5" xfId="53897"/>
    <cellStyle name="Normal 11 3 3 6" xfId="53898"/>
    <cellStyle name="Normal 11 3 3 6 2" xfId="53899"/>
    <cellStyle name="Normal 11 3 3 6 3" xfId="53900"/>
    <cellStyle name="Normal 11 3 3 7" xfId="53901"/>
    <cellStyle name="Normal 11 3 3 7 2" xfId="53902"/>
    <cellStyle name="Normal 11 3 3 7 3" xfId="53903"/>
    <cellStyle name="Normal 11 3 3 8" xfId="53904"/>
    <cellStyle name="Normal 11 3 3 8 2" xfId="53905"/>
    <cellStyle name="Normal 11 3 3 9" xfId="53906"/>
    <cellStyle name="Normal 11 3 4" xfId="53907"/>
    <cellStyle name="Normal 11 3 4 2" xfId="53908"/>
    <cellStyle name="Normal 11 3 4 2 2" xfId="53909"/>
    <cellStyle name="Normal 11 3 4 2 2 2" xfId="53910"/>
    <cellStyle name="Normal 11 3 4 2 2 3" xfId="53911"/>
    <cellStyle name="Normal 11 3 4 2 3" xfId="53912"/>
    <cellStyle name="Normal 11 3 4 2 3 2" xfId="53913"/>
    <cellStyle name="Normal 11 3 4 2 3 3" xfId="53914"/>
    <cellStyle name="Normal 11 3 4 2 4" xfId="53915"/>
    <cellStyle name="Normal 11 3 4 2 4 2" xfId="53916"/>
    <cellStyle name="Normal 11 3 4 2 5" xfId="53917"/>
    <cellStyle name="Normal 11 3 4 2 6" xfId="53918"/>
    <cellStyle name="Normal 11 3 4 3" xfId="53919"/>
    <cellStyle name="Normal 11 3 4 3 2" xfId="53920"/>
    <cellStyle name="Normal 11 3 4 3 2 2" xfId="53921"/>
    <cellStyle name="Normal 11 3 4 3 2 3" xfId="53922"/>
    <cellStyle name="Normal 11 3 4 3 3" xfId="53923"/>
    <cellStyle name="Normal 11 3 4 3 3 2" xfId="53924"/>
    <cellStyle name="Normal 11 3 4 3 3 3" xfId="53925"/>
    <cellStyle name="Normal 11 3 4 3 4" xfId="53926"/>
    <cellStyle name="Normal 11 3 4 3 4 2" xfId="53927"/>
    <cellStyle name="Normal 11 3 4 3 5" xfId="53928"/>
    <cellStyle name="Normal 11 3 4 3 6" xfId="53929"/>
    <cellStyle name="Normal 11 3 4 4" xfId="53930"/>
    <cellStyle name="Normal 11 3 4 4 2" xfId="53931"/>
    <cellStyle name="Normal 11 3 4 4 2 2" xfId="53932"/>
    <cellStyle name="Normal 11 3 4 4 2 3" xfId="53933"/>
    <cellStyle name="Normal 11 3 4 4 3" xfId="53934"/>
    <cellStyle name="Normal 11 3 4 4 3 2" xfId="53935"/>
    <cellStyle name="Normal 11 3 4 4 4" xfId="53936"/>
    <cellStyle name="Normal 11 3 4 4 5" xfId="53937"/>
    <cellStyle name="Normal 11 3 4 5" xfId="53938"/>
    <cellStyle name="Normal 11 3 4 5 2" xfId="53939"/>
    <cellStyle name="Normal 11 3 4 5 3" xfId="53940"/>
    <cellStyle name="Normal 11 3 4 6" xfId="53941"/>
    <cellStyle name="Normal 11 3 4 6 2" xfId="53942"/>
    <cellStyle name="Normal 11 3 4 6 3" xfId="53943"/>
    <cellStyle name="Normal 11 3 4 7" xfId="53944"/>
    <cellStyle name="Normal 11 3 4 7 2" xfId="53945"/>
    <cellStyle name="Normal 11 3 4 8" xfId="53946"/>
    <cellStyle name="Normal 11 3 4 9" xfId="53947"/>
    <cellStyle name="Normal 11 3 5" xfId="53948"/>
    <cellStyle name="Normal 11 3 5 2" xfId="53949"/>
    <cellStyle name="Normal 11 3 5 2 2" xfId="53950"/>
    <cellStyle name="Normal 11 3 5 2 2 2" xfId="53951"/>
    <cellStyle name="Normal 11 3 5 2 2 3" xfId="53952"/>
    <cellStyle name="Normal 11 3 5 2 3" xfId="53953"/>
    <cellStyle name="Normal 11 3 5 2 3 2" xfId="53954"/>
    <cellStyle name="Normal 11 3 5 2 3 3" xfId="53955"/>
    <cellStyle name="Normal 11 3 5 2 4" xfId="53956"/>
    <cellStyle name="Normal 11 3 5 2 4 2" xfId="53957"/>
    <cellStyle name="Normal 11 3 5 2 5" xfId="53958"/>
    <cellStyle name="Normal 11 3 5 2 6" xfId="53959"/>
    <cellStyle name="Normal 11 3 5 3" xfId="53960"/>
    <cellStyle name="Normal 11 3 5 3 2" xfId="53961"/>
    <cellStyle name="Normal 11 3 5 3 2 2" xfId="53962"/>
    <cellStyle name="Normal 11 3 5 3 2 3" xfId="53963"/>
    <cellStyle name="Normal 11 3 5 3 3" xfId="53964"/>
    <cellStyle name="Normal 11 3 5 3 3 2" xfId="53965"/>
    <cellStyle name="Normal 11 3 5 3 3 3" xfId="53966"/>
    <cellStyle name="Normal 11 3 5 3 4" xfId="53967"/>
    <cellStyle name="Normal 11 3 5 3 4 2" xfId="53968"/>
    <cellStyle name="Normal 11 3 5 3 5" xfId="53969"/>
    <cellStyle name="Normal 11 3 5 3 6" xfId="53970"/>
    <cellStyle name="Normal 11 3 5 4" xfId="53971"/>
    <cellStyle name="Normal 11 3 5 4 2" xfId="53972"/>
    <cellStyle name="Normal 11 3 5 4 2 2" xfId="53973"/>
    <cellStyle name="Normal 11 3 5 4 2 3" xfId="53974"/>
    <cellStyle name="Normal 11 3 5 4 3" xfId="53975"/>
    <cellStyle name="Normal 11 3 5 4 3 2" xfId="53976"/>
    <cellStyle name="Normal 11 3 5 4 4" xfId="53977"/>
    <cellStyle name="Normal 11 3 5 4 5" xfId="53978"/>
    <cellStyle name="Normal 11 3 5 5" xfId="53979"/>
    <cellStyle name="Normal 11 3 5 5 2" xfId="53980"/>
    <cellStyle name="Normal 11 3 5 5 3" xfId="53981"/>
    <cellStyle name="Normal 11 3 5 6" xfId="53982"/>
    <cellStyle name="Normal 11 3 5 6 2" xfId="53983"/>
    <cellStyle name="Normal 11 3 5 6 3" xfId="53984"/>
    <cellStyle name="Normal 11 3 5 7" xfId="53985"/>
    <cellStyle name="Normal 11 3 5 7 2" xfId="53986"/>
    <cellStyle name="Normal 11 3 5 8" xfId="53987"/>
    <cellStyle name="Normal 11 3 5 9" xfId="53988"/>
    <cellStyle name="Normal 11 3 6" xfId="53989"/>
    <cellStyle name="Normal 11 3 6 2" xfId="53990"/>
    <cellStyle name="Normal 11 3 6 2 2" xfId="53991"/>
    <cellStyle name="Normal 11 3 6 2 3" xfId="53992"/>
    <cellStyle name="Normal 11 3 6 3" xfId="53993"/>
    <cellStyle name="Normal 11 3 6 3 2" xfId="53994"/>
    <cellStyle name="Normal 11 3 6 3 3" xfId="53995"/>
    <cellStyle name="Normal 11 3 6 4" xfId="53996"/>
    <cellStyle name="Normal 11 3 6 4 2" xfId="53997"/>
    <cellStyle name="Normal 11 3 6 5" xfId="53998"/>
    <cellStyle name="Normal 11 3 6 6" xfId="53999"/>
    <cellStyle name="Normal 11 3 7" xfId="54000"/>
    <cellStyle name="Normal 11 3 7 2" xfId="54001"/>
    <cellStyle name="Normal 11 3 7 2 2" xfId="54002"/>
    <cellStyle name="Normal 11 3 7 2 3" xfId="54003"/>
    <cellStyle name="Normal 11 3 7 3" xfId="54004"/>
    <cellStyle name="Normal 11 3 7 3 2" xfId="54005"/>
    <cellStyle name="Normal 11 3 7 3 3" xfId="54006"/>
    <cellStyle name="Normal 11 3 7 4" xfId="54007"/>
    <cellStyle name="Normal 11 3 7 4 2" xfId="54008"/>
    <cellStyle name="Normal 11 3 7 5" xfId="54009"/>
    <cellStyle name="Normal 11 3 7 6" xfId="54010"/>
    <cellStyle name="Normal 11 3 8" xfId="54011"/>
    <cellStyle name="Normal 11 3 8 2" xfId="54012"/>
    <cellStyle name="Normal 11 3 8 2 2" xfId="54013"/>
    <cellStyle name="Normal 11 3 8 2 3" xfId="54014"/>
    <cellStyle name="Normal 11 3 8 3" xfId="54015"/>
    <cellStyle name="Normal 11 3 8 3 2" xfId="54016"/>
    <cellStyle name="Normal 11 3 8 4" xfId="54017"/>
    <cellStyle name="Normal 11 3 8 5" xfId="54018"/>
    <cellStyle name="Normal 11 3 9" xfId="54019"/>
    <cellStyle name="Normal 11 3 9 2" xfId="54020"/>
    <cellStyle name="Normal 11 3 9 3" xfId="54021"/>
    <cellStyle name="Normal 11 4" xfId="54022"/>
    <cellStyle name="Normal 11 4 10" xfId="54023"/>
    <cellStyle name="Normal 11 4 10 2" xfId="54024"/>
    <cellStyle name="Normal 11 4 11" xfId="54025"/>
    <cellStyle name="Normal 11 4 12" xfId="54026"/>
    <cellStyle name="Normal 11 4 2" xfId="54027"/>
    <cellStyle name="Normal 11 4 2 10" xfId="54028"/>
    <cellStyle name="Normal 11 4 2 2" xfId="54029"/>
    <cellStyle name="Normal 11 4 2 2 2" xfId="54030"/>
    <cellStyle name="Normal 11 4 2 2 2 2" xfId="54031"/>
    <cellStyle name="Normal 11 4 2 2 2 2 2" xfId="54032"/>
    <cellStyle name="Normal 11 4 2 2 2 2 3" xfId="54033"/>
    <cellStyle name="Normal 11 4 2 2 2 3" xfId="54034"/>
    <cellStyle name="Normal 11 4 2 2 2 3 2" xfId="54035"/>
    <cellStyle name="Normal 11 4 2 2 2 3 3" xfId="54036"/>
    <cellStyle name="Normal 11 4 2 2 2 4" xfId="54037"/>
    <cellStyle name="Normal 11 4 2 2 2 4 2" xfId="54038"/>
    <cellStyle name="Normal 11 4 2 2 2 5" xfId="54039"/>
    <cellStyle name="Normal 11 4 2 2 2 6" xfId="54040"/>
    <cellStyle name="Normal 11 4 2 2 3" xfId="54041"/>
    <cellStyle name="Normal 11 4 2 2 3 2" xfId="54042"/>
    <cellStyle name="Normal 11 4 2 2 3 2 2" xfId="54043"/>
    <cellStyle name="Normal 11 4 2 2 3 2 3" xfId="54044"/>
    <cellStyle name="Normal 11 4 2 2 3 3" xfId="54045"/>
    <cellStyle name="Normal 11 4 2 2 3 3 2" xfId="54046"/>
    <cellStyle name="Normal 11 4 2 2 3 3 3" xfId="54047"/>
    <cellStyle name="Normal 11 4 2 2 3 4" xfId="54048"/>
    <cellStyle name="Normal 11 4 2 2 3 4 2" xfId="54049"/>
    <cellStyle name="Normal 11 4 2 2 3 5" xfId="54050"/>
    <cellStyle name="Normal 11 4 2 2 3 6" xfId="54051"/>
    <cellStyle name="Normal 11 4 2 2 4" xfId="54052"/>
    <cellStyle name="Normal 11 4 2 2 4 2" xfId="54053"/>
    <cellStyle name="Normal 11 4 2 2 4 2 2" xfId="54054"/>
    <cellStyle name="Normal 11 4 2 2 4 2 3" xfId="54055"/>
    <cellStyle name="Normal 11 4 2 2 4 3" xfId="54056"/>
    <cellStyle name="Normal 11 4 2 2 4 3 2" xfId="54057"/>
    <cellStyle name="Normal 11 4 2 2 4 4" xfId="54058"/>
    <cellStyle name="Normal 11 4 2 2 4 5" xfId="54059"/>
    <cellStyle name="Normal 11 4 2 2 5" xfId="54060"/>
    <cellStyle name="Normal 11 4 2 2 5 2" xfId="54061"/>
    <cellStyle name="Normal 11 4 2 2 5 3" xfId="54062"/>
    <cellStyle name="Normal 11 4 2 2 6" xfId="54063"/>
    <cellStyle name="Normal 11 4 2 2 6 2" xfId="54064"/>
    <cellStyle name="Normal 11 4 2 2 6 3" xfId="54065"/>
    <cellStyle name="Normal 11 4 2 2 7" xfId="54066"/>
    <cellStyle name="Normal 11 4 2 2 7 2" xfId="54067"/>
    <cellStyle name="Normal 11 4 2 2 8" xfId="54068"/>
    <cellStyle name="Normal 11 4 2 2 9" xfId="54069"/>
    <cellStyle name="Normal 11 4 2 3" xfId="54070"/>
    <cellStyle name="Normal 11 4 2 3 2" xfId="54071"/>
    <cellStyle name="Normal 11 4 2 3 2 2" xfId="54072"/>
    <cellStyle name="Normal 11 4 2 3 2 3" xfId="54073"/>
    <cellStyle name="Normal 11 4 2 3 3" xfId="54074"/>
    <cellStyle name="Normal 11 4 2 3 3 2" xfId="54075"/>
    <cellStyle name="Normal 11 4 2 3 3 3" xfId="54076"/>
    <cellStyle name="Normal 11 4 2 3 4" xfId="54077"/>
    <cellStyle name="Normal 11 4 2 3 4 2" xfId="54078"/>
    <cellStyle name="Normal 11 4 2 3 5" xfId="54079"/>
    <cellStyle name="Normal 11 4 2 3 6" xfId="54080"/>
    <cellStyle name="Normal 11 4 2 4" xfId="54081"/>
    <cellStyle name="Normal 11 4 2 4 2" xfId="54082"/>
    <cellStyle name="Normal 11 4 2 4 2 2" xfId="54083"/>
    <cellStyle name="Normal 11 4 2 4 2 3" xfId="54084"/>
    <cellStyle name="Normal 11 4 2 4 3" xfId="54085"/>
    <cellStyle name="Normal 11 4 2 4 3 2" xfId="54086"/>
    <cellStyle name="Normal 11 4 2 4 3 3" xfId="54087"/>
    <cellStyle name="Normal 11 4 2 4 4" xfId="54088"/>
    <cellStyle name="Normal 11 4 2 4 4 2" xfId="54089"/>
    <cellStyle name="Normal 11 4 2 4 5" xfId="54090"/>
    <cellStyle name="Normal 11 4 2 4 6" xfId="54091"/>
    <cellStyle name="Normal 11 4 2 5" xfId="54092"/>
    <cellStyle name="Normal 11 4 2 5 2" xfId="54093"/>
    <cellStyle name="Normal 11 4 2 5 2 2" xfId="54094"/>
    <cellStyle name="Normal 11 4 2 5 2 3" xfId="54095"/>
    <cellStyle name="Normal 11 4 2 5 3" xfId="54096"/>
    <cellStyle name="Normal 11 4 2 5 3 2" xfId="54097"/>
    <cellStyle name="Normal 11 4 2 5 4" xfId="54098"/>
    <cellStyle name="Normal 11 4 2 5 5" xfId="54099"/>
    <cellStyle name="Normal 11 4 2 6" xfId="54100"/>
    <cellStyle name="Normal 11 4 2 6 2" xfId="54101"/>
    <cellStyle name="Normal 11 4 2 6 3" xfId="54102"/>
    <cellStyle name="Normal 11 4 2 7" xfId="54103"/>
    <cellStyle name="Normal 11 4 2 7 2" xfId="54104"/>
    <cellStyle name="Normal 11 4 2 7 3" xfId="54105"/>
    <cellStyle name="Normal 11 4 2 8" xfId="54106"/>
    <cellStyle name="Normal 11 4 2 8 2" xfId="54107"/>
    <cellStyle name="Normal 11 4 2 9" xfId="54108"/>
    <cellStyle name="Normal 11 4 3" xfId="54109"/>
    <cellStyle name="Normal 11 4 3 2" xfId="54110"/>
    <cellStyle name="Normal 11 4 3 2 2" xfId="54111"/>
    <cellStyle name="Normal 11 4 3 2 2 2" xfId="54112"/>
    <cellStyle name="Normal 11 4 3 2 2 3" xfId="54113"/>
    <cellStyle name="Normal 11 4 3 2 3" xfId="54114"/>
    <cellStyle name="Normal 11 4 3 2 3 2" xfId="54115"/>
    <cellStyle name="Normal 11 4 3 2 3 3" xfId="54116"/>
    <cellStyle name="Normal 11 4 3 2 4" xfId="54117"/>
    <cellStyle name="Normal 11 4 3 2 4 2" xfId="54118"/>
    <cellStyle name="Normal 11 4 3 2 5" xfId="54119"/>
    <cellStyle name="Normal 11 4 3 2 6" xfId="54120"/>
    <cellStyle name="Normal 11 4 3 3" xfId="54121"/>
    <cellStyle name="Normal 11 4 3 3 2" xfId="54122"/>
    <cellStyle name="Normal 11 4 3 3 2 2" xfId="54123"/>
    <cellStyle name="Normal 11 4 3 3 2 3" xfId="54124"/>
    <cellStyle name="Normal 11 4 3 3 3" xfId="54125"/>
    <cellStyle name="Normal 11 4 3 3 3 2" xfId="54126"/>
    <cellStyle name="Normal 11 4 3 3 3 3" xfId="54127"/>
    <cellStyle name="Normal 11 4 3 3 4" xfId="54128"/>
    <cellStyle name="Normal 11 4 3 3 4 2" xfId="54129"/>
    <cellStyle name="Normal 11 4 3 3 5" xfId="54130"/>
    <cellStyle name="Normal 11 4 3 3 6" xfId="54131"/>
    <cellStyle name="Normal 11 4 3 4" xfId="54132"/>
    <cellStyle name="Normal 11 4 3 4 2" xfId="54133"/>
    <cellStyle name="Normal 11 4 3 4 2 2" xfId="54134"/>
    <cellStyle name="Normal 11 4 3 4 2 3" xfId="54135"/>
    <cellStyle name="Normal 11 4 3 4 3" xfId="54136"/>
    <cellStyle name="Normal 11 4 3 4 3 2" xfId="54137"/>
    <cellStyle name="Normal 11 4 3 4 4" xfId="54138"/>
    <cellStyle name="Normal 11 4 3 4 5" xfId="54139"/>
    <cellStyle name="Normal 11 4 3 5" xfId="54140"/>
    <cellStyle name="Normal 11 4 3 5 2" xfId="54141"/>
    <cellStyle name="Normal 11 4 3 5 3" xfId="54142"/>
    <cellStyle name="Normal 11 4 3 6" xfId="54143"/>
    <cellStyle name="Normal 11 4 3 6 2" xfId="54144"/>
    <cellStyle name="Normal 11 4 3 6 3" xfId="54145"/>
    <cellStyle name="Normal 11 4 3 7" xfId="54146"/>
    <cellStyle name="Normal 11 4 3 7 2" xfId="54147"/>
    <cellStyle name="Normal 11 4 3 8" xfId="54148"/>
    <cellStyle name="Normal 11 4 3 9" xfId="54149"/>
    <cellStyle name="Normal 11 4 4" xfId="54150"/>
    <cellStyle name="Normal 11 4 4 2" xfId="54151"/>
    <cellStyle name="Normal 11 4 4 2 2" xfId="54152"/>
    <cellStyle name="Normal 11 4 4 2 2 2" xfId="54153"/>
    <cellStyle name="Normal 11 4 4 2 2 3" xfId="54154"/>
    <cellStyle name="Normal 11 4 4 2 3" xfId="54155"/>
    <cellStyle name="Normal 11 4 4 2 3 2" xfId="54156"/>
    <cellStyle name="Normal 11 4 4 2 3 3" xfId="54157"/>
    <cellStyle name="Normal 11 4 4 2 4" xfId="54158"/>
    <cellStyle name="Normal 11 4 4 2 4 2" xfId="54159"/>
    <cellStyle name="Normal 11 4 4 2 5" xfId="54160"/>
    <cellStyle name="Normal 11 4 4 2 6" xfId="54161"/>
    <cellStyle name="Normal 11 4 4 3" xfId="54162"/>
    <cellStyle name="Normal 11 4 4 3 2" xfId="54163"/>
    <cellStyle name="Normal 11 4 4 3 2 2" xfId="54164"/>
    <cellStyle name="Normal 11 4 4 3 2 3" xfId="54165"/>
    <cellStyle name="Normal 11 4 4 3 3" xfId="54166"/>
    <cellStyle name="Normal 11 4 4 3 3 2" xfId="54167"/>
    <cellStyle name="Normal 11 4 4 3 3 3" xfId="54168"/>
    <cellStyle name="Normal 11 4 4 3 4" xfId="54169"/>
    <cellStyle name="Normal 11 4 4 3 4 2" xfId="54170"/>
    <cellStyle name="Normal 11 4 4 3 5" xfId="54171"/>
    <cellStyle name="Normal 11 4 4 3 6" xfId="54172"/>
    <cellStyle name="Normal 11 4 4 4" xfId="54173"/>
    <cellStyle name="Normal 11 4 4 4 2" xfId="54174"/>
    <cellStyle name="Normal 11 4 4 4 2 2" xfId="54175"/>
    <cellStyle name="Normal 11 4 4 4 2 3" xfId="54176"/>
    <cellStyle name="Normal 11 4 4 4 3" xfId="54177"/>
    <cellStyle name="Normal 11 4 4 4 3 2" xfId="54178"/>
    <cellStyle name="Normal 11 4 4 4 4" xfId="54179"/>
    <cellStyle name="Normal 11 4 4 4 5" xfId="54180"/>
    <cellStyle name="Normal 11 4 4 5" xfId="54181"/>
    <cellStyle name="Normal 11 4 4 5 2" xfId="54182"/>
    <cellStyle name="Normal 11 4 4 5 3" xfId="54183"/>
    <cellStyle name="Normal 11 4 4 6" xfId="54184"/>
    <cellStyle name="Normal 11 4 4 6 2" xfId="54185"/>
    <cellStyle name="Normal 11 4 4 6 3" xfId="54186"/>
    <cellStyle name="Normal 11 4 4 7" xfId="54187"/>
    <cellStyle name="Normal 11 4 4 7 2" xfId="54188"/>
    <cellStyle name="Normal 11 4 4 8" xfId="54189"/>
    <cellStyle name="Normal 11 4 4 9" xfId="54190"/>
    <cellStyle name="Normal 11 4 5" xfId="54191"/>
    <cellStyle name="Normal 11 4 5 2" xfId="54192"/>
    <cellStyle name="Normal 11 4 5 2 2" xfId="54193"/>
    <cellStyle name="Normal 11 4 5 2 3" xfId="54194"/>
    <cellStyle name="Normal 11 4 5 3" xfId="54195"/>
    <cellStyle name="Normal 11 4 5 3 2" xfId="54196"/>
    <cellStyle name="Normal 11 4 5 3 3" xfId="54197"/>
    <cellStyle name="Normal 11 4 5 4" xfId="54198"/>
    <cellStyle name="Normal 11 4 5 4 2" xfId="54199"/>
    <cellStyle name="Normal 11 4 5 5" xfId="54200"/>
    <cellStyle name="Normal 11 4 5 6" xfId="54201"/>
    <cellStyle name="Normal 11 4 6" xfId="54202"/>
    <cellStyle name="Normal 11 4 6 2" xfId="54203"/>
    <cellStyle name="Normal 11 4 6 2 2" xfId="54204"/>
    <cellStyle name="Normal 11 4 6 2 3" xfId="54205"/>
    <cellStyle name="Normal 11 4 6 3" xfId="54206"/>
    <cellStyle name="Normal 11 4 6 3 2" xfId="54207"/>
    <cellStyle name="Normal 11 4 6 3 3" xfId="54208"/>
    <cellStyle name="Normal 11 4 6 4" xfId="54209"/>
    <cellStyle name="Normal 11 4 6 4 2" xfId="54210"/>
    <cellStyle name="Normal 11 4 6 5" xfId="54211"/>
    <cellStyle name="Normal 11 4 6 6" xfId="54212"/>
    <cellStyle name="Normal 11 4 7" xfId="54213"/>
    <cellStyle name="Normal 11 4 7 2" xfId="54214"/>
    <cellStyle name="Normal 11 4 7 2 2" xfId="54215"/>
    <cellStyle name="Normal 11 4 7 2 3" xfId="54216"/>
    <cellStyle name="Normal 11 4 7 3" xfId="54217"/>
    <cellStyle name="Normal 11 4 7 3 2" xfId="54218"/>
    <cellStyle name="Normal 11 4 7 4" xfId="54219"/>
    <cellStyle name="Normal 11 4 7 5" xfId="54220"/>
    <cellStyle name="Normal 11 4 8" xfId="54221"/>
    <cellStyle name="Normal 11 4 8 2" xfId="54222"/>
    <cellStyle name="Normal 11 4 8 3" xfId="54223"/>
    <cellStyle name="Normal 11 4 9" xfId="54224"/>
    <cellStyle name="Normal 11 4 9 2" xfId="54225"/>
    <cellStyle name="Normal 11 4 9 3" xfId="54226"/>
    <cellStyle name="Normal 11 5" xfId="54227"/>
    <cellStyle name="Normal 11 5 10" xfId="54228"/>
    <cellStyle name="Normal 11 5 2" xfId="54229"/>
    <cellStyle name="Normal 11 5 2 2" xfId="54230"/>
    <cellStyle name="Normal 11 5 2 2 2" xfId="54231"/>
    <cellStyle name="Normal 11 5 2 2 2 2" xfId="54232"/>
    <cellStyle name="Normal 11 5 2 2 2 3" xfId="54233"/>
    <cellStyle name="Normal 11 5 2 2 3" xfId="54234"/>
    <cellStyle name="Normal 11 5 2 2 3 2" xfId="54235"/>
    <cellStyle name="Normal 11 5 2 2 3 3" xfId="54236"/>
    <cellStyle name="Normal 11 5 2 2 4" xfId="54237"/>
    <cellStyle name="Normal 11 5 2 2 4 2" xfId="54238"/>
    <cellStyle name="Normal 11 5 2 2 5" xfId="54239"/>
    <cellStyle name="Normal 11 5 2 2 6" xfId="54240"/>
    <cellStyle name="Normal 11 5 2 3" xfId="54241"/>
    <cellStyle name="Normal 11 5 2 3 2" xfId="54242"/>
    <cellStyle name="Normal 11 5 2 3 2 2" xfId="54243"/>
    <cellStyle name="Normal 11 5 2 3 2 3" xfId="54244"/>
    <cellStyle name="Normal 11 5 2 3 3" xfId="54245"/>
    <cellStyle name="Normal 11 5 2 3 3 2" xfId="54246"/>
    <cellStyle name="Normal 11 5 2 3 3 3" xfId="54247"/>
    <cellStyle name="Normal 11 5 2 3 4" xfId="54248"/>
    <cellStyle name="Normal 11 5 2 3 4 2" xfId="54249"/>
    <cellStyle name="Normal 11 5 2 3 5" xfId="54250"/>
    <cellStyle name="Normal 11 5 2 3 6" xfId="54251"/>
    <cellStyle name="Normal 11 5 2 4" xfId="54252"/>
    <cellStyle name="Normal 11 5 2 4 2" xfId="54253"/>
    <cellStyle name="Normal 11 5 2 4 2 2" xfId="54254"/>
    <cellStyle name="Normal 11 5 2 4 2 3" xfId="54255"/>
    <cellStyle name="Normal 11 5 2 4 3" xfId="54256"/>
    <cellStyle name="Normal 11 5 2 4 3 2" xfId="54257"/>
    <cellStyle name="Normal 11 5 2 4 4" xfId="54258"/>
    <cellStyle name="Normal 11 5 2 4 5" xfId="54259"/>
    <cellStyle name="Normal 11 5 2 5" xfId="54260"/>
    <cellStyle name="Normal 11 5 2 5 2" xfId="54261"/>
    <cellStyle name="Normal 11 5 2 5 3" xfId="54262"/>
    <cellStyle name="Normal 11 5 2 6" xfId="54263"/>
    <cellStyle name="Normal 11 5 2 6 2" xfId="54264"/>
    <cellStyle name="Normal 11 5 2 6 3" xfId="54265"/>
    <cellStyle name="Normal 11 5 2 7" xfId="54266"/>
    <cellStyle name="Normal 11 5 2 7 2" xfId="54267"/>
    <cellStyle name="Normal 11 5 2 8" xfId="54268"/>
    <cellStyle name="Normal 11 5 2 9" xfId="54269"/>
    <cellStyle name="Normal 11 5 3" xfId="54270"/>
    <cellStyle name="Normal 11 5 3 2" xfId="54271"/>
    <cellStyle name="Normal 11 5 3 2 2" xfId="54272"/>
    <cellStyle name="Normal 11 5 3 2 3" xfId="54273"/>
    <cellStyle name="Normal 11 5 3 3" xfId="54274"/>
    <cellStyle name="Normal 11 5 3 3 2" xfId="54275"/>
    <cellStyle name="Normal 11 5 3 3 3" xfId="54276"/>
    <cellStyle name="Normal 11 5 3 4" xfId="54277"/>
    <cellStyle name="Normal 11 5 3 4 2" xfId="54278"/>
    <cellStyle name="Normal 11 5 3 5" xfId="54279"/>
    <cellStyle name="Normal 11 5 3 6" xfId="54280"/>
    <cellStyle name="Normal 11 5 4" xfId="54281"/>
    <cellStyle name="Normal 11 5 4 2" xfId="54282"/>
    <cellStyle name="Normal 11 5 4 2 2" xfId="54283"/>
    <cellStyle name="Normal 11 5 4 2 3" xfId="54284"/>
    <cellStyle name="Normal 11 5 4 3" xfId="54285"/>
    <cellStyle name="Normal 11 5 4 3 2" xfId="54286"/>
    <cellStyle name="Normal 11 5 4 3 3" xfId="54287"/>
    <cellStyle name="Normal 11 5 4 4" xfId="54288"/>
    <cellStyle name="Normal 11 5 4 4 2" xfId="54289"/>
    <cellStyle name="Normal 11 5 4 5" xfId="54290"/>
    <cellStyle name="Normal 11 5 4 6" xfId="54291"/>
    <cellStyle name="Normal 11 5 5" xfId="54292"/>
    <cellStyle name="Normal 11 5 5 2" xfId="54293"/>
    <cellStyle name="Normal 11 5 5 2 2" xfId="54294"/>
    <cellStyle name="Normal 11 5 5 2 3" xfId="54295"/>
    <cellStyle name="Normal 11 5 5 3" xfId="54296"/>
    <cellStyle name="Normal 11 5 5 3 2" xfId="54297"/>
    <cellStyle name="Normal 11 5 5 4" xfId="54298"/>
    <cellStyle name="Normal 11 5 5 5" xfId="54299"/>
    <cellStyle name="Normal 11 5 6" xfId="54300"/>
    <cellStyle name="Normal 11 5 6 2" xfId="54301"/>
    <cellStyle name="Normal 11 5 6 3" xfId="54302"/>
    <cellStyle name="Normal 11 5 7" xfId="54303"/>
    <cellStyle name="Normal 11 5 7 2" xfId="54304"/>
    <cellStyle name="Normal 11 5 7 3" xfId="54305"/>
    <cellStyle name="Normal 11 5 8" xfId="54306"/>
    <cellStyle name="Normal 11 5 8 2" xfId="54307"/>
    <cellStyle name="Normal 11 5 9" xfId="54308"/>
    <cellStyle name="Normal 11 6" xfId="54309"/>
    <cellStyle name="Normal 11 6 2" xfId="54310"/>
    <cellStyle name="Normal 11 6 2 2" xfId="54311"/>
    <cellStyle name="Normal 11 6 2 2 2" xfId="54312"/>
    <cellStyle name="Normal 11 6 2 2 3" xfId="54313"/>
    <cellStyle name="Normal 11 6 2 3" xfId="54314"/>
    <cellStyle name="Normal 11 6 2 3 2" xfId="54315"/>
    <cellStyle name="Normal 11 6 2 3 3" xfId="54316"/>
    <cellStyle name="Normal 11 6 2 4" xfId="54317"/>
    <cellStyle name="Normal 11 6 2 4 2" xfId="54318"/>
    <cellStyle name="Normal 11 6 2 5" xfId="54319"/>
    <cellStyle name="Normal 11 6 2 6" xfId="54320"/>
    <cellStyle name="Normal 11 6 3" xfId="54321"/>
    <cellStyle name="Normal 11 6 3 2" xfId="54322"/>
    <cellStyle name="Normal 11 6 3 2 2" xfId="54323"/>
    <cellStyle name="Normal 11 6 3 2 3" xfId="54324"/>
    <cellStyle name="Normal 11 6 3 3" xfId="54325"/>
    <cellStyle name="Normal 11 6 3 3 2" xfId="54326"/>
    <cellStyle name="Normal 11 6 3 3 3" xfId="54327"/>
    <cellStyle name="Normal 11 6 3 4" xfId="54328"/>
    <cellStyle name="Normal 11 6 3 4 2" xfId="54329"/>
    <cellStyle name="Normal 11 6 3 5" xfId="54330"/>
    <cellStyle name="Normal 11 6 3 6" xfId="54331"/>
    <cellStyle name="Normal 11 6 4" xfId="54332"/>
    <cellStyle name="Normal 11 6 4 2" xfId="54333"/>
    <cellStyle name="Normal 11 6 4 2 2" xfId="54334"/>
    <cellStyle name="Normal 11 6 4 2 3" xfId="54335"/>
    <cellStyle name="Normal 11 6 4 3" xfId="54336"/>
    <cellStyle name="Normal 11 6 4 3 2" xfId="54337"/>
    <cellStyle name="Normal 11 6 4 4" xfId="54338"/>
    <cellStyle name="Normal 11 6 4 5" xfId="54339"/>
    <cellStyle name="Normal 11 6 5" xfId="54340"/>
    <cellStyle name="Normal 11 6 5 2" xfId="54341"/>
    <cellStyle name="Normal 11 6 5 3" xfId="54342"/>
    <cellStyle name="Normal 11 6 6" xfId="54343"/>
    <cellStyle name="Normal 11 6 6 2" xfId="54344"/>
    <cellStyle name="Normal 11 6 6 3" xfId="54345"/>
    <cellStyle name="Normal 11 6 7" xfId="54346"/>
    <cellStyle name="Normal 11 6 7 2" xfId="54347"/>
    <cellStyle name="Normal 11 6 8" xfId="54348"/>
    <cellStyle name="Normal 11 6 9" xfId="54349"/>
    <cellStyle name="Normal 11 7" xfId="54350"/>
    <cellStyle name="Normal 11 7 2" xfId="54351"/>
    <cellStyle name="Normal 11 7 2 2" xfId="54352"/>
    <cellStyle name="Normal 11 7 2 2 2" xfId="54353"/>
    <cellStyle name="Normal 11 7 2 2 3" xfId="54354"/>
    <cellStyle name="Normal 11 7 2 3" xfId="54355"/>
    <cellStyle name="Normal 11 7 2 3 2" xfId="54356"/>
    <cellStyle name="Normal 11 7 2 3 3" xfId="54357"/>
    <cellStyle name="Normal 11 7 2 4" xfId="54358"/>
    <cellStyle name="Normal 11 7 2 4 2" xfId="54359"/>
    <cellStyle name="Normal 11 7 2 5" xfId="54360"/>
    <cellStyle name="Normal 11 7 2 6" xfId="54361"/>
    <cellStyle name="Normal 11 7 3" xfId="54362"/>
    <cellStyle name="Normal 11 7 3 2" xfId="54363"/>
    <cellStyle name="Normal 11 7 3 2 2" xfId="54364"/>
    <cellStyle name="Normal 11 7 3 2 3" xfId="54365"/>
    <cellStyle name="Normal 11 7 3 3" xfId="54366"/>
    <cellStyle name="Normal 11 7 3 3 2" xfId="54367"/>
    <cellStyle name="Normal 11 7 3 3 3" xfId="54368"/>
    <cellStyle name="Normal 11 7 3 4" xfId="54369"/>
    <cellStyle name="Normal 11 7 3 4 2" xfId="54370"/>
    <cellStyle name="Normal 11 7 3 5" xfId="54371"/>
    <cellStyle name="Normal 11 7 3 6" xfId="54372"/>
    <cellStyle name="Normal 11 7 4" xfId="54373"/>
    <cellStyle name="Normal 11 7 4 2" xfId="54374"/>
    <cellStyle name="Normal 11 7 4 2 2" xfId="54375"/>
    <cellStyle name="Normal 11 7 4 2 3" xfId="54376"/>
    <cellStyle name="Normal 11 7 4 3" xfId="54377"/>
    <cellStyle name="Normal 11 7 4 3 2" xfId="54378"/>
    <cellStyle name="Normal 11 7 4 4" xfId="54379"/>
    <cellStyle name="Normal 11 7 4 5" xfId="54380"/>
    <cellStyle name="Normal 11 7 5" xfId="54381"/>
    <cellStyle name="Normal 11 7 5 2" xfId="54382"/>
    <cellStyle name="Normal 11 7 5 3" xfId="54383"/>
    <cellStyle name="Normal 11 7 6" xfId="54384"/>
    <cellStyle name="Normal 11 7 6 2" xfId="54385"/>
    <cellStyle name="Normal 11 7 6 3" xfId="54386"/>
    <cellStyle name="Normal 11 7 7" xfId="54387"/>
    <cellStyle name="Normal 11 7 7 2" xfId="54388"/>
    <cellStyle name="Normal 11 7 8" xfId="54389"/>
    <cellStyle name="Normal 11 7 9" xfId="54390"/>
    <cellStyle name="Normal 11 8" xfId="54391"/>
    <cellStyle name="Normal 11 8 2" xfId="54392"/>
    <cellStyle name="Normal 11 8 2 2" xfId="54393"/>
    <cellStyle name="Normal 11 8 2 3" xfId="54394"/>
    <cellStyle name="Normal 11 8 3" xfId="54395"/>
    <cellStyle name="Normal 11 8 3 2" xfId="54396"/>
    <cellStyle name="Normal 11 8 3 3" xfId="54397"/>
    <cellStyle name="Normal 11 8 4" xfId="54398"/>
    <cellStyle name="Normal 11 8 4 2" xfId="54399"/>
    <cellStyle name="Normal 11 8 5" xfId="54400"/>
    <cellStyle name="Normal 11 8 6" xfId="54401"/>
    <cellStyle name="Normal 11 9" xfId="54402"/>
    <cellStyle name="Normal 11 9 2" xfId="54403"/>
    <cellStyle name="Normal 11 9 2 2" xfId="54404"/>
    <cellStyle name="Normal 11 9 2 3" xfId="54405"/>
    <cellStyle name="Normal 11 9 3" xfId="54406"/>
    <cellStyle name="Normal 11 9 3 2" xfId="54407"/>
    <cellStyle name="Normal 11 9 3 3" xfId="54408"/>
    <cellStyle name="Normal 11 9 4" xfId="54409"/>
    <cellStyle name="Normal 11 9 4 2" xfId="54410"/>
    <cellStyle name="Normal 11 9 5" xfId="54411"/>
    <cellStyle name="Normal 11 9 6" xfId="54412"/>
    <cellStyle name="Normal 12" xfId="4401"/>
    <cellStyle name="Normal 12 2" xfId="4402"/>
    <cellStyle name="Normal 12 2 2" xfId="4403"/>
    <cellStyle name="Normal 12 2 2 2" xfId="4404"/>
    <cellStyle name="Normal 12 2 2 2 2" xfId="4405"/>
    <cellStyle name="Normal 12 2 2 2 2 2" xfId="4406"/>
    <cellStyle name="Normal 12 2 2 2 2 2 2" xfId="4407"/>
    <cellStyle name="Normal 12 2 2 2 2 3" xfId="4408"/>
    <cellStyle name="Normal 12 2 2 2 3" xfId="4409"/>
    <cellStyle name="Normal 12 2 2 2 3 2" xfId="4410"/>
    <cellStyle name="Normal 12 2 2 2 4" xfId="4411"/>
    <cellStyle name="Normal 12 2 2 2 5" xfId="59585"/>
    <cellStyle name="Normal 12 2 2 3" xfId="4412"/>
    <cellStyle name="Normal 12 2 2 3 2" xfId="4413"/>
    <cellStyle name="Normal 12 2 2 3 2 2" xfId="4414"/>
    <cellStyle name="Normal 12 2 2 3 3" xfId="4415"/>
    <cellStyle name="Normal 12 2 2 4" xfId="4416"/>
    <cellStyle name="Normal 12 2 2 4 2" xfId="4417"/>
    <cellStyle name="Normal 12 2 2 5" xfId="4418"/>
    <cellStyle name="Normal 12 2 2 6" xfId="57947"/>
    <cellStyle name="Normal 12 2 3" xfId="4419"/>
    <cellStyle name="Normal 12 2 3 2" xfId="4420"/>
    <cellStyle name="Normal 12 2 3 2 2" xfId="4421"/>
    <cellStyle name="Normal 12 2 3 2 2 2" xfId="4422"/>
    <cellStyle name="Normal 12 2 3 2 3" xfId="4423"/>
    <cellStyle name="Normal 12 2 3 3" xfId="4424"/>
    <cellStyle name="Normal 12 2 3 3 2" xfId="4425"/>
    <cellStyle name="Normal 12 2 3 4" xfId="4426"/>
    <cellStyle name="Normal 12 2 3 5" xfId="59586"/>
    <cellStyle name="Normal 12 2 4" xfId="4427"/>
    <cellStyle name="Normal 12 2 4 2" xfId="4428"/>
    <cellStyle name="Normal 12 2 4 2 2" xfId="4429"/>
    <cellStyle name="Normal 12 2 4 3" xfId="4430"/>
    <cellStyle name="Normal 12 2 5" xfId="4431"/>
    <cellStyle name="Normal 12 2 5 2" xfId="4432"/>
    <cellStyle name="Normal 12 2 6" xfId="4433"/>
    <cellStyle name="Normal 12 2 7" xfId="4434"/>
    <cellStyle name="Normal 12 2 8" xfId="57948"/>
    <cellStyle name="Normal 12 3" xfId="4435"/>
    <cellStyle name="Normal 12 3 2" xfId="4436"/>
    <cellStyle name="Normal 12 3 2 2" xfId="4437"/>
    <cellStyle name="Normal 12 3 2 2 2" xfId="4438"/>
    <cellStyle name="Normal 12 3 2 2 2 2" xfId="4439"/>
    <cellStyle name="Normal 12 3 2 2 3" xfId="4440"/>
    <cellStyle name="Normal 12 3 2 3" xfId="4441"/>
    <cellStyle name="Normal 12 3 2 3 2" xfId="4442"/>
    <cellStyle name="Normal 12 3 2 4" xfId="4443"/>
    <cellStyle name="Normal 12 3 3" xfId="4444"/>
    <cellStyle name="Normal 12 3 3 2" xfId="4445"/>
    <cellStyle name="Normal 12 3 3 2 2" xfId="4446"/>
    <cellStyle name="Normal 12 3 3 3" xfId="4447"/>
    <cellStyle name="Normal 12 3 4" xfId="4448"/>
    <cellStyle name="Normal 12 3 4 2" xfId="4449"/>
    <cellStyle name="Normal 12 3 5" xfId="4450"/>
    <cellStyle name="Normal 12 3 6" xfId="59587"/>
    <cellStyle name="Normal 12 4" xfId="4451"/>
    <cellStyle name="Normal 12 4 2" xfId="4452"/>
    <cellStyle name="Normal 12 4 2 2" xfId="4453"/>
    <cellStyle name="Normal 12 4 2 2 2" xfId="4454"/>
    <cellStyle name="Normal 12 4 2 3" xfId="4455"/>
    <cellStyle name="Normal 12 4 3" xfId="4456"/>
    <cellStyle name="Normal 12 4 3 2" xfId="4457"/>
    <cellStyle name="Normal 12 4 4" xfId="4458"/>
    <cellStyle name="Normal 12 5" xfId="4459"/>
    <cellStyle name="Normal 12 5 2" xfId="4460"/>
    <cellStyle name="Normal 12 5 2 2" xfId="4461"/>
    <cellStyle name="Normal 12 5 3" xfId="4462"/>
    <cellStyle name="Normal 12 6" xfId="4463"/>
    <cellStyle name="Normal 12 6 2" xfId="4464"/>
    <cellStyle name="Normal 12 7" xfId="4465"/>
    <cellStyle name="Normal 12 8" xfId="4466"/>
    <cellStyle name="Normal 13" xfId="4467"/>
    <cellStyle name="Normal 13 10" xfId="54413"/>
    <cellStyle name="Normal 13 10 2" xfId="54414"/>
    <cellStyle name="Normal 13 10 3" xfId="54415"/>
    <cellStyle name="Normal 13 11" xfId="54416"/>
    <cellStyle name="Normal 13 11 2" xfId="54417"/>
    <cellStyle name="Normal 13 11 3" xfId="54418"/>
    <cellStyle name="Normal 13 12" xfId="54419"/>
    <cellStyle name="Normal 13 12 2" xfId="54420"/>
    <cellStyle name="Normal 13 13" xfId="54421"/>
    <cellStyle name="Normal 13 14" xfId="54422"/>
    <cellStyle name="Normal 13 15" xfId="54423"/>
    <cellStyle name="Normal 13 2" xfId="4468"/>
    <cellStyle name="Normal 13 2 10" xfId="54424"/>
    <cellStyle name="Normal 13 2 10 2" xfId="54425"/>
    <cellStyle name="Normal 13 2 10 3" xfId="54426"/>
    <cellStyle name="Normal 13 2 11" xfId="54427"/>
    <cellStyle name="Normal 13 2 11 2" xfId="54428"/>
    <cellStyle name="Normal 13 2 12" xfId="54429"/>
    <cellStyle name="Normal 13 2 13" xfId="54430"/>
    <cellStyle name="Normal 13 2 14" xfId="54431"/>
    <cellStyle name="Normal 13 2 2" xfId="8797"/>
    <cellStyle name="Normal 13 2 2 10" xfId="54432"/>
    <cellStyle name="Normal 13 2 2 10 2" xfId="54433"/>
    <cellStyle name="Normal 13 2 2 11" xfId="54434"/>
    <cellStyle name="Normal 13 2 2 12" xfId="54435"/>
    <cellStyle name="Normal 13 2 2 13" xfId="54436"/>
    <cellStyle name="Normal 13 2 2 2" xfId="9243"/>
    <cellStyle name="Normal 13 2 2 2 10" xfId="54437"/>
    <cellStyle name="Normal 13 2 2 2 2" xfId="54438"/>
    <cellStyle name="Normal 13 2 2 2 2 2" xfId="54439"/>
    <cellStyle name="Normal 13 2 2 2 2 2 2" xfId="54440"/>
    <cellStyle name="Normal 13 2 2 2 2 2 2 2" xfId="54441"/>
    <cellStyle name="Normal 13 2 2 2 2 2 2 3" xfId="54442"/>
    <cellStyle name="Normal 13 2 2 2 2 2 3" xfId="54443"/>
    <cellStyle name="Normal 13 2 2 2 2 2 3 2" xfId="54444"/>
    <cellStyle name="Normal 13 2 2 2 2 2 3 3" xfId="54445"/>
    <cellStyle name="Normal 13 2 2 2 2 2 4" xfId="54446"/>
    <cellStyle name="Normal 13 2 2 2 2 2 4 2" xfId="54447"/>
    <cellStyle name="Normal 13 2 2 2 2 2 5" xfId="54448"/>
    <cellStyle name="Normal 13 2 2 2 2 2 6" xfId="54449"/>
    <cellStyle name="Normal 13 2 2 2 2 3" xfId="54450"/>
    <cellStyle name="Normal 13 2 2 2 2 3 2" xfId="54451"/>
    <cellStyle name="Normal 13 2 2 2 2 3 2 2" xfId="54452"/>
    <cellStyle name="Normal 13 2 2 2 2 3 2 3" xfId="54453"/>
    <cellStyle name="Normal 13 2 2 2 2 3 3" xfId="54454"/>
    <cellStyle name="Normal 13 2 2 2 2 3 3 2" xfId="54455"/>
    <cellStyle name="Normal 13 2 2 2 2 3 3 3" xfId="54456"/>
    <cellStyle name="Normal 13 2 2 2 2 3 4" xfId="54457"/>
    <cellStyle name="Normal 13 2 2 2 2 3 4 2" xfId="54458"/>
    <cellStyle name="Normal 13 2 2 2 2 3 5" xfId="54459"/>
    <cellStyle name="Normal 13 2 2 2 2 3 6" xfId="54460"/>
    <cellStyle name="Normal 13 2 2 2 2 4" xfId="54461"/>
    <cellStyle name="Normal 13 2 2 2 2 4 2" xfId="54462"/>
    <cellStyle name="Normal 13 2 2 2 2 4 2 2" xfId="54463"/>
    <cellStyle name="Normal 13 2 2 2 2 4 2 3" xfId="54464"/>
    <cellStyle name="Normal 13 2 2 2 2 4 3" xfId="54465"/>
    <cellStyle name="Normal 13 2 2 2 2 4 3 2" xfId="54466"/>
    <cellStyle name="Normal 13 2 2 2 2 4 4" xfId="54467"/>
    <cellStyle name="Normal 13 2 2 2 2 4 5" xfId="54468"/>
    <cellStyle name="Normal 13 2 2 2 2 5" xfId="54469"/>
    <cellStyle name="Normal 13 2 2 2 2 5 2" xfId="54470"/>
    <cellStyle name="Normal 13 2 2 2 2 5 3" xfId="54471"/>
    <cellStyle name="Normal 13 2 2 2 2 6" xfId="54472"/>
    <cellStyle name="Normal 13 2 2 2 2 6 2" xfId="54473"/>
    <cellStyle name="Normal 13 2 2 2 2 6 3" xfId="54474"/>
    <cellStyle name="Normal 13 2 2 2 2 7" xfId="54475"/>
    <cellStyle name="Normal 13 2 2 2 2 7 2" xfId="54476"/>
    <cellStyle name="Normal 13 2 2 2 2 8" xfId="54477"/>
    <cellStyle name="Normal 13 2 2 2 2 9" xfId="54478"/>
    <cellStyle name="Normal 13 2 2 2 3" xfId="54479"/>
    <cellStyle name="Normal 13 2 2 2 3 2" xfId="54480"/>
    <cellStyle name="Normal 13 2 2 2 3 2 2" xfId="54481"/>
    <cellStyle name="Normal 13 2 2 2 3 2 3" xfId="54482"/>
    <cellStyle name="Normal 13 2 2 2 3 3" xfId="54483"/>
    <cellStyle name="Normal 13 2 2 2 3 3 2" xfId="54484"/>
    <cellStyle name="Normal 13 2 2 2 3 3 3" xfId="54485"/>
    <cellStyle name="Normal 13 2 2 2 3 4" xfId="54486"/>
    <cellStyle name="Normal 13 2 2 2 3 4 2" xfId="54487"/>
    <cellStyle name="Normal 13 2 2 2 3 5" xfId="54488"/>
    <cellStyle name="Normal 13 2 2 2 3 6" xfId="54489"/>
    <cellStyle name="Normal 13 2 2 2 4" xfId="54490"/>
    <cellStyle name="Normal 13 2 2 2 4 2" xfId="54491"/>
    <cellStyle name="Normal 13 2 2 2 4 2 2" xfId="54492"/>
    <cellStyle name="Normal 13 2 2 2 4 2 3" xfId="54493"/>
    <cellStyle name="Normal 13 2 2 2 4 3" xfId="54494"/>
    <cellStyle name="Normal 13 2 2 2 4 3 2" xfId="54495"/>
    <cellStyle name="Normal 13 2 2 2 4 3 3" xfId="54496"/>
    <cellStyle name="Normal 13 2 2 2 4 4" xfId="54497"/>
    <cellStyle name="Normal 13 2 2 2 4 4 2" xfId="54498"/>
    <cellStyle name="Normal 13 2 2 2 4 5" xfId="54499"/>
    <cellStyle name="Normal 13 2 2 2 4 6" xfId="54500"/>
    <cellStyle name="Normal 13 2 2 2 5" xfId="54501"/>
    <cellStyle name="Normal 13 2 2 2 5 2" xfId="54502"/>
    <cellStyle name="Normal 13 2 2 2 5 2 2" xfId="54503"/>
    <cellStyle name="Normal 13 2 2 2 5 2 3" xfId="54504"/>
    <cellStyle name="Normal 13 2 2 2 5 3" xfId="54505"/>
    <cellStyle name="Normal 13 2 2 2 5 3 2" xfId="54506"/>
    <cellStyle name="Normal 13 2 2 2 5 4" xfId="54507"/>
    <cellStyle name="Normal 13 2 2 2 5 5" xfId="54508"/>
    <cellStyle name="Normal 13 2 2 2 6" xfId="54509"/>
    <cellStyle name="Normal 13 2 2 2 6 2" xfId="54510"/>
    <cellStyle name="Normal 13 2 2 2 6 3" xfId="54511"/>
    <cellStyle name="Normal 13 2 2 2 7" xfId="54512"/>
    <cellStyle name="Normal 13 2 2 2 7 2" xfId="54513"/>
    <cellStyle name="Normal 13 2 2 2 7 3" xfId="54514"/>
    <cellStyle name="Normal 13 2 2 2 8" xfId="54515"/>
    <cellStyle name="Normal 13 2 2 2 8 2" xfId="54516"/>
    <cellStyle name="Normal 13 2 2 2 9" xfId="54517"/>
    <cellStyle name="Normal 13 2 2 3" xfId="54518"/>
    <cellStyle name="Normal 13 2 2 3 2" xfId="54519"/>
    <cellStyle name="Normal 13 2 2 3 2 2" xfId="54520"/>
    <cellStyle name="Normal 13 2 2 3 2 2 2" xfId="54521"/>
    <cellStyle name="Normal 13 2 2 3 2 2 3" xfId="54522"/>
    <cellStyle name="Normal 13 2 2 3 2 3" xfId="54523"/>
    <cellStyle name="Normal 13 2 2 3 2 3 2" xfId="54524"/>
    <cellStyle name="Normal 13 2 2 3 2 3 3" xfId="54525"/>
    <cellStyle name="Normal 13 2 2 3 2 4" xfId="54526"/>
    <cellStyle name="Normal 13 2 2 3 2 4 2" xfId="54527"/>
    <cellStyle name="Normal 13 2 2 3 2 5" xfId="54528"/>
    <cellStyle name="Normal 13 2 2 3 2 6" xfId="54529"/>
    <cellStyle name="Normal 13 2 2 3 3" xfId="54530"/>
    <cellStyle name="Normal 13 2 2 3 3 2" xfId="54531"/>
    <cellStyle name="Normal 13 2 2 3 3 2 2" xfId="54532"/>
    <cellStyle name="Normal 13 2 2 3 3 2 3" xfId="54533"/>
    <cellStyle name="Normal 13 2 2 3 3 3" xfId="54534"/>
    <cellStyle name="Normal 13 2 2 3 3 3 2" xfId="54535"/>
    <cellStyle name="Normal 13 2 2 3 3 3 3" xfId="54536"/>
    <cellStyle name="Normal 13 2 2 3 3 4" xfId="54537"/>
    <cellStyle name="Normal 13 2 2 3 3 4 2" xfId="54538"/>
    <cellStyle name="Normal 13 2 2 3 3 5" xfId="54539"/>
    <cellStyle name="Normal 13 2 2 3 3 6" xfId="54540"/>
    <cellStyle name="Normal 13 2 2 3 4" xfId="54541"/>
    <cellStyle name="Normal 13 2 2 3 4 2" xfId="54542"/>
    <cellStyle name="Normal 13 2 2 3 4 2 2" xfId="54543"/>
    <cellStyle name="Normal 13 2 2 3 4 2 3" xfId="54544"/>
    <cellStyle name="Normal 13 2 2 3 4 3" xfId="54545"/>
    <cellStyle name="Normal 13 2 2 3 4 3 2" xfId="54546"/>
    <cellStyle name="Normal 13 2 2 3 4 4" xfId="54547"/>
    <cellStyle name="Normal 13 2 2 3 4 5" xfId="54548"/>
    <cellStyle name="Normal 13 2 2 3 5" xfId="54549"/>
    <cellStyle name="Normal 13 2 2 3 5 2" xfId="54550"/>
    <cellStyle name="Normal 13 2 2 3 5 3" xfId="54551"/>
    <cellStyle name="Normal 13 2 2 3 6" xfId="54552"/>
    <cellStyle name="Normal 13 2 2 3 6 2" xfId="54553"/>
    <cellStyle name="Normal 13 2 2 3 6 3" xfId="54554"/>
    <cellStyle name="Normal 13 2 2 3 7" xfId="54555"/>
    <cellStyle name="Normal 13 2 2 3 7 2" xfId="54556"/>
    <cellStyle name="Normal 13 2 2 3 8" xfId="54557"/>
    <cellStyle name="Normal 13 2 2 3 9" xfId="54558"/>
    <cellStyle name="Normal 13 2 2 4" xfId="54559"/>
    <cellStyle name="Normal 13 2 2 4 2" xfId="54560"/>
    <cellStyle name="Normal 13 2 2 4 2 2" xfId="54561"/>
    <cellStyle name="Normal 13 2 2 4 2 2 2" xfId="54562"/>
    <cellStyle name="Normal 13 2 2 4 2 2 3" xfId="54563"/>
    <cellStyle name="Normal 13 2 2 4 2 3" xfId="54564"/>
    <cellStyle name="Normal 13 2 2 4 2 3 2" xfId="54565"/>
    <cellStyle name="Normal 13 2 2 4 2 3 3" xfId="54566"/>
    <cellStyle name="Normal 13 2 2 4 2 4" xfId="54567"/>
    <cellStyle name="Normal 13 2 2 4 2 4 2" xfId="54568"/>
    <cellStyle name="Normal 13 2 2 4 2 5" xfId="54569"/>
    <cellStyle name="Normal 13 2 2 4 2 6" xfId="54570"/>
    <cellStyle name="Normal 13 2 2 4 3" xfId="54571"/>
    <cellStyle name="Normal 13 2 2 4 3 2" xfId="54572"/>
    <cellStyle name="Normal 13 2 2 4 3 2 2" xfId="54573"/>
    <cellStyle name="Normal 13 2 2 4 3 2 3" xfId="54574"/>
    <cellStyle name="Normal 13 2 2 4 3 3" xfId="54575"/>
    <cellStyle name="Normal 13 2 2 4 3 3 2" xfId="54576"/>
    <cellStyle name="Normal 13 2 2 4 3 3 3" xfId="54577"/>
    <cellStyle name="Normal 13 2 2 4 3 4" xfId="54578"/>
    <cellStyle name="Normal 13 2 2 4 3 4 2" xfId="54579"/>
    <cellStyle name="Normal 13 2 2 4 3 5" xfId="54580"/>
    <cellStyle name="Normal 13 2 2 4 3 6" xfId="54581"/>
    <cellStyle name="Normal 13 2 2 4 4" xfId="54582"/>
    <cellStyle name="Normal 13 2 2 4 4 2" xfId="54583"/>
    <cellStyle name="Normal 13 2 2 4 4 2 2" xfId="54584"/>
    <cellStyle name="Normal 13 2 2 4 4 2 3" xfId="54585"/>
    <cellStyle name="Normal 13 2 2 4 4 3" xfId="54586"/>
    <cellStyle name="Normal 13 2 2 4 4 3 2" xfId="54587"/>
    <cellStyle name="Normal 13 2 2 4 4 4" xfId="54588"/>
    <cellStyle name="Normal 13 2 2 4 4 5" xfId="54589"/>
    <cellStyle name="Normal 13 2 2 4 5" xfId="54590"/>
    <cellStyle name="Normal 13 2 2 4 5 2" xfId="54591"/>
    <cellStyle name="Normal 13 2 2 4 5 3" xfId="54592"/>
    <cellStyle name="Normal 13 2 2 4 6" xfId="54593"/>
    <cellStyle name="Normal 13 2 2 4 6 2" xfId="54594"/>
    <cellStyle name="Normal 13 2 2 4 6 3" xfId="54595"/>
    <cellStyle name="Normal 13 2 2 4 7" xfId="54596"/>
    <cellStyle name="Normal 13 2 2 4 7 2" xfId="54597"/>
    <cellStyle name="Normal 13 2 2 4 8" xfId="54598"/>
    <cellStyle name="Normal 13 2 2 4 9" xfId="54599"/>
    <cellStyle name="Normal 13 2 2 5" xfId="54600"/>
    <cellStyle name="Normal 13 2 2 5 2" xfId="54601"/>
    <cellStyle name="Normal 13 2 2 5 2 2" xfId="54602"/>
    <cellStyle name="Normal 13 2 2 5 2 3" xfId="54603"/>
    <cellStyle name="Normal 13 2 2 5 3" xfId="54604"/>
    <cellStyle name="Normal 13 2 2 5 3 2" xfId="54605"/>
    <cellStyle name="Normal 13 2 2 5 3 3" xfId="54606"/>
    <cellStyle name="Normal 13 2 2 5 4" xfId="54607"/>
    <cellStyle name="Normal 13 2 2 5 4 2" xfId="54608"/>
    <cellStyle name="Normal 13 2 2 5 5" xfId="54609"/>
    <cellStyle name="Normal 13 2 2 5 6" xfId="54610"/>
    <cellStyle name="Normal 13 2 2 6" xfId="54611"/>
    <cellStyle name="Normal 13 2 2 6 2" xfId="54612"/>
    <cellStyle name="Normal 13 2 2 6 2 2" xfId="54613"/>
    <cellStyle name="Normal 13 2 2 6 2 3" xfId="54614"/>
    <cellStyle name="Normal 13 2 2 6 3" xfId="54615"/>
    <cellStyle name="Normal 13 2 2 6 3 2" xfId="54616"/>
    <cellStyle name="Normal 13 2 2 6 3 3" xfId="54617"/>
    <cellStyle name="Normal 13 2 2 6 4" xfId="54618"/>
    <cellStyle name="Normal 13 2 2 6 4 2" xfId="54619"/>
    <cellStyle name="Normal 13 2 2 6 5" xfId="54620"/>
    <cellStyle name="Normal 13 2 2 6 6" xfId="54621"/>
    <cellStyle name="Normal 13 2 2 7" xfId="54622"/>
    <cellStyle name="Normal 13 2 2 7 2" xfId="54623"/>
    <cellStyle name="Normal 13 2 2 7 2 2" xfId="54624"/>
    <cellStyle name="Normal 13 2 2 7 2 3" xfId="54625"/>
    <cellStyle name="Normal 13 2 2 7 3" xfId="54626"/>
    <cellStyle name="Normal 13 2 2 7 3 2" xfId="54627"/>
    <cellStyle name="Normal 13 2 2 7 4" xfId="54628"/>
    <cellStyle name="Normal 13 2 2 7 5" xfId="54629"/>
    <cellStyle name="Normal 13 2 2 8" xfId="54630"/>
    <cellStyle name="Normal 13 2 2 8 2" xfId="54631"/>
    <cellStyle name="Normal 13 2 2 8 3" xfId="54632"/>
    <cellStyle name="Normal 13 2 2 9" xfId="54633"/>
    <cellStyle name="Normal 13 2 2 9 2" xfId="54634"/>
    <cellStyle name="Normal 13 2 2 9 3" xfId="54635"/>
    <cellStyle name="Normal 13 2 3" xfId="9244"/>
    <cellStyle name="Normal 13 2 3 10" xfId="54636"/>
    <cellStyle name="Normal 13 2 3 2" xfId="54637"/>
    <cellStyle name="Normal 13 2 3 2 2" xfId="54638"/>
    <cellStyle name="Normal 13 2 3 2 2 2" xfId="54639"/>
    <cellStyle name="Normal 13 2 3 2 2 2 2" xfId="54640"/>
    <cellStyle name="Normal 13 2 3 2 2 2 3" xfId="54641"/>
    <cellStyle name="Normal 13 2 3 2 2 3" xfId="54642"/>
    <cellStyle name="Normal 13 2 3 2 2 3 2" xfId="54643"/>
    <cellStyle name="Normal 13 2 3 2 2 3 3" xfId="54644"/>
    <cellStyle name="Normal 13 2 3 2 2 4" xfId="54645"/>
    <cellStyle name="Normal 13 2 3 2 2 4 2" xfId="54646"/>
    <cellStyle name="Normal 13 2 3 2 2 5" xfId="54647"/>
    <cellStyle name="Normal 13 2 3 2 2 6" xfId="54648"/>
    <cellStyle name="Normal 13 2 3 2 3" xfId="54649"/>
    <cellStyle name="Normal 13 2 3 2 3 2" xfId="54650"/>
    <cellStyle name="Normal 13 2 3 2 3 2 2" xfId="54651"/>
    <cellStyle name="Normal 13 2 3 2 3 2 3" xfId="54652"/>
    <cellStyle name="Normal 13 2 3 2 3 3" xfId="54653"/>
    <cellStyle name="Normal 13 2 3 2 3 3 2" xfId="54654"/>
    <cellStyle name="Normal 13 2 3 2 3 3 3" xfId="54655"/>
    <cellStyle name="Normal 13 2 3 2 3 4" xfId="54656"/>
    <cellStyle name="Normal 13 2 3 2 3 4 2" xfId="54657"/>
    <cellStyle name="Normal 13 2 3 2 3 5" xfId="54658"/>
    <cellStyle name="Normal 13 2 3 2 3 6" xfId="54659"/>
    <cellStyle name="Normal 13 2 3 2 4" xfId="54660"/>
    <cellStyle name="Normal 13 2 3 2 4 2" xfId="54661"/>
    <cellStyle name="Normal 13 2 3 2 4 2 2" xfId="54662"/>
    <cellStyle name="Normal 13 2 3 2 4 2 3" xfId="54663"/>
    <cellStyle name="Normal 13 2 3 2 4 3" xfId="54664"/>
    <cellStyle name="Normal 13 2 3 2 4 3 2" xfId="54665"/>
    <cellStyle name="Normal 13 2 3 2 4 4" xfId="54666"/>
    <cellStyle name="Normal 13 2 3 2 4 5" xfId="54667"/>
    <cellStyle name="Normal 13 2 3 2 5" xfId="54668"/>
    <cellStyle name="Normal 13 2 3 2 5 2" xfId="54669"/>
    <cellStyle name="Normal 13 2 3 2 5 3" xfId="54670"/>
    <cellStyle name="Normal 13 2 3 2 6" xfId="54671"/>
    <cellStyle name="Normal 13 2 3 2 6 2" xfId="54672"/>
    <cellStyle name="Normal 13 2 3 2 6 3" xfId="54673"/>
    <cellStyle name="Normal 13 2 3 2 7" xfId="54674"/>
    <cellStyle name="Normal 13 2 3 2 7 2" xfId="54675"/>
    <cellStyle name="Normal 13 2 3 2 8" xfId="54676"/>
    <cellStyle name="Normal 13 2 3 2 9" xfId="54677"/>
    <cellStyle name="Normal 13 2 3 3" xfId="54678"/>
    <cellStyle name="Normal 13 2 3 3 2" xfId="54679"/>
    <cellStyle name="Normal 13 2 3 3 2 2" xfId="54680"/>
    <cellStyle name="Normal 13 2 3 3 2 3" xfId="54681"/>
    <cellStyle name="Normal 13 2 3 3 3" xfId="54682"/>
    <cellStyle name="Normal 13 2 3 3 3 2" xfId="54683"/>
    <cellStyle name="Normal 13 2 3 3 3 3" xfId="54684"/>
    <cellStyle name="Normal 13 2 3 3 4" xfId="54685"/>
    <cellStyle name="Normal 13 2 3 3 4 2" xfId="54686"/>
    <cellStyle name="Normal 13 2 3 3 5" xfId="54687"/>
    <cellStyle name="Normal 13 2 3 3 6" xfId="54688"/>
    <cellStyle name="Normal 13 2 3 4" xfId="54689"/>
    <cellStyle name="Normal 13 2 3 4 2" xfId="54690"/>
    <cellStyle name="Normal 13 2 3 4 2 2" xfId="54691"/>
    <cellStyle name="Normal 13 2 3 4 2 3" xfId="54692"/>
    <cellStyle name="Normal 13 2 3 4 3" xfId="54693"/>
    <cellStyle name="Normal 13 2 3 4 3 2" xfId="54694"/>
    <cellStyle name="Normal 13 2 3 4 3 3" xfId="54695"/>
    <cellStyle name="Normal 13 2 3 4 4" xfId="54696"/>
    <cellStyle name="Normal 13 2 3 4 4 2" xfId="54697"/>
    <cellStyle name="Normal 13 2 3 4 5" xfId="54698"/>
    <cellStyle name="Normal 13 2 3 4 6" xfId="54699"/>
    <cellStyle name="Normal 13 2 3 5" xfId="54700"/>
    <cellStyle name="Normal 13 2 3 5 2" xfId="54701"/>
    <cellStyle name="Normal 13 2 3 5 2 2" xfId="54702"/>
    <cellStyle name="Normal 13 2 3 5 2 3" xfId="54703"/>
    <cellStyle name="Normal 13 2 3 5 3" xfId="54704"/>
    <cellStyle name="Normal 13 2 3 5 3 2" xfId="54705"/>
    <cellStyle name="Normal 13 2 3 5 4" xfId="54706"/>
    <cellStyle name="Normal 13 2 3 5 5" xfId="54707"/>
    <cellStyle name="Normal 13 2 3 6" xfId="54708"/>
    <cellStyle name="Normal 13 2 3 6 2" xfId="54709"/>
    <cellStyle name="Normal 13 2 3 6 3" xfId="54710"/>
    <cellStyle name="Normal 13 2 3 7" xfId="54711"/>
    <cellStyle name="Normal 13 2 3 7 2" xfId="54712"/>
    <cellStyle name="Normal 13 2 3 7 3" xfId="54713"/>
    <cellStyle name="Normal 13 2 3 8" xfId="54714"/>
    <cellStyle name="Normal 13 2 3 8 2" xfId="54715"/>
    <cellStyle name="Normal 13 2 3 9" xfId="54716"/>
    <cellStyle name="Normal 13 2 4" xfId="9245"/>
    <cellStyle name="Normal 13 2 4 2" xfId="54717"/>
    <cellStyle name="Normal 13 2 4 2 2" xfId="54718"/>
    <cellStyle name="Normal 13 2 4 2 2 2" xfId="54719"/>
    <cellStyle name="Normal 13 2 4 2 2 3" xfId="54720"/>
    <cellStyle name="Normal 13 2 4 2 3" xfId="54721"/>
    <cellStyle name="Normal 13 2 4 2 3 2" xfId="54722"/>
    <cellStyle name="Normal 13 2 4 2 3 3" xfId="54723"/>
    <cellStyle name="Normal 13 2 4 2 4" xfId="54724"/>
    <cellStyle name="Normal 13 2 4 2 4 2" xfId="54725"/>
    <cellStyle name="Normal 13 2 4 2 5" xfId="54726"/>
    <cellStyle name="Normal 13 2 4 2 6" xfId="54727"/>
    <cellStyle name="Normal 13 2 4 3" xfId="54728"/>
    <cellStyle name="Normal 13 2 4 3 2" xfId="54729"/>
    <cellStyle name="Normal 13 2 4 3 2 2" xfId="54730"/>
    <cellStyle name="Normal 13 2 4 3 2 3" xfId="54731"/>
    <cellStyle name="Normal 13 2 4 3 3" xfId="54732"/>
    <cellStyle name="Normal 13 2 4 3 3 2" xfId="54733"/>
    <cellStyle name="Normal 13 2 4 3 3 3" xfId="54734"/>
    <cellStyle name="Normal 13 2 4 3 4" xfId="54735"/>
    <cellStyle name="Normal 13 2 4 3 4 2" xfId="54736"/>
    <cellStyle name="Normal 13 2 4 3 5" xfId="54737"/>
    <cellStyle name="Normal 13 2 4 3 6" xfId="54738"/>
    <cellStyle name="Normal 13 2 4 4" xfId="54739"/>
    <cellStyle name="Normal 13 2 4 4 2" xfId="54740"/>
    <cellStyle name="Normal 13 2 4 4 2 2" xfId="54741"/>
    <cellStyle name="Normal 13 2 4 4 2 3" xfId="54742"/>
    <cellStyle name="Normal 13 2 4 4 3" xfId="54743"/>
    <cellStyle name="Normal 13 2 4 4 3 2" xfId="54744"/>
    <cellStyle name="Normal 13 2 4 4 4" xfId="54745"/>
    <cellStyle name="Normal 13 2 4 4 5" xfId="54746"/>
    <cellStyle name="Normal 13 2 4 5" xfId="54747"/>
    <cellStyle name="Normal 13 2 4 5 2" xfId="54748"/>
    <cellStyle name="Normal 13 2 4 5 3" xfId="54749"/>
    <cellStyle name="Normal 13 2 4 6" xfId="54750"/>
    <cellStyle name="Normal 13 2 4 6 2" xfId="54751"/>
    <cellStyle name="Normal 13 2 4 6 3" xfId="54752"/>
    <cellStyle name="Normal 13 2 4 7" xfId="54753"/>
    <cellStyle name="Normal 13 2 4 7 2" xfId="54754"/>
    <cellStyle name="Normal 13 2 4 8" xfId="54755"/>
    <cellStyle name="Normal 13 2 4 9" xfId="54756"/>
    <cellStyle name="Normal 13 2 5" xfId="54757"/>
    <cellStyle name="Normal 13 2 5 2" xfId="54758"/>
    <cellStyle name="Normal 13 2 5 2 2" xfId="54759"/>
    <cellStyle name="Normal 13 2 5 2 2 2" xfId="54760"/>
    <cellStyle name="Normal 13 2 5 2 2 3" xfId="54761"/>
    <cellStyle name="Normal 13 2 5 2 3" xfId="54762"/>
    <cellStyle name="Normal 13 2 5 2 3 2" xfId="54763"/>
    <cellStyle name="Normal 13 2 5 2 3 3" xfId="54764"/>
    <cellStyle name="Normal 13 2 5 2 4" xfId="54765"/>
    <cellStyle name="Normal 13 2 5 2 4 2" xfId="54766"/>
    <cellStyle name="Normal 13 2 5 2 5" xfId="54767"/>
    <cellStyle name="Normal 13 2 5 2 6" xfId="54768"/>
    <cellStyle name="Normal 13 2 5 3" xfId="54769"/>
    <cellStyle name="Normal 13 2 5 3 2" xfId="54770"/>
    <cellStyle name="Normal 13 2 5 3 2 2" xfId="54771"/>
    <cellStyle name="Normal 13 2 5 3 2 3" xfId="54772"/>
    <cellStyle name="Normal 13 2 5 3 3" xfId="54773"/>
    <cellStyle name="Normal 13 2 5 3 3 2" xfId="54774"/>
    <cellStyle name="Normal 13 2 5 3 3 3" xfId="54775"/>
    <cellStyle name="Normal 13 2 5 3 4" xfId="54776"/>
    <cellStyle name="Normal 13 2 5 3 4 2" xfId="54777"/>
    <cellStyle name="Normal 13 2 5 3 5" xfId="54778"/>
    <cellStyle name="Normal 13 2 5 3 6" xfId="54779"/>
    <cellStyle name="Normal 13 2 5 4" xfId="54780"/>
    <cellStyle name="Normal 13 2 5 4 2" xfId="54781"/>
    <cellStyle name="Normal 13 2 5 4 2 2" xfId="54782"/>
    <cellStyle name="Normal 13 2 5 4 2 3" xfId="54783"/>
    <cellStyle name="Normal 13 2 5 4 3" xfId="54784"/>
    <cellStyle name="Normal 13 2 5 4 3 2" xfId="54785"/>
    <cellStyle name="Normal 13 2 5 4 4" xfId="54786"/>
    <cellStyle name="Normal 13 2 5 4 5" xfId="54787"/>
    <cellStyle name="Normal 13 2 5 5" xfId="54788"/>
    <cellStyle name="Normal 13 2 5 5 2" xfId="54789"/>
    <cellStyle name="Normal 13 2 5 5 3" xfId="54790"/>
    <cellStyle name="Normal 13 2 5 6" xfId="54791"/>
    <cellStyle name="Normal 13 2 5 6 2" xfId="54792"/>
    <cellStyle name="Normal 13 2 5 6 3" xfId="54793"/>
    <cellStyle name="Normal 13 2 5 7" xfId="54794"/>
    <cellStyle name="Normal 13 2 5 7 2" xfId="54795"/>
    <cellStyle name="Normal 13 2 5 8" xfId="54796"/>
    <cellStyle name="Normal 13 2 5 9" xfId="54797"/>
    <cellStyle name="Normal 13 2 6" xfId="54798"/>
    <cellStyle name="Normal 13 2 6 2" xfId="54799"/>
    <cellStyle name="Normal 13 2 6 2 2" xfId="54800"/>
    <cellStyle name="Normal 13 2 6 2 3" xfId="54801"/>
    <cellStyle name="Normal 13 2 6 3" xfId="54802"/>
    <cellStyle name="Normal 13 2 6 3 2" xfId="54803"/>
    <cellStyle name="Normal 13 2 6 3 3" xfId="54804"/>
    <cellStyle name="Normal 13 2 6 4" xfId="54805"/>
    <cellStyle name="Normal 13 2 6 4 2" xfId="54806"/>
    <cellStyle name="Normal 13 2 6 5" xfId="54807"/>
    <cellStyle name="Normal 13 2 6 6" xfId="54808"/>
    <cellStyle name="Normal 13 2 7" xfId="54809"/>
    <cellStyle name="Normal 13 2 7 2" xfId="54810"/>
    <cellStyle name="Normal 13 2 7 2 2" xfId="54811"/>
    <cellStyle name="Normal 13 2 7 2 3" xfId="54812"/>
    <cellStyle name="Normal 13 2 7 3" xfId="54813"/>
    <cellStyle name="Normal 13 2 7 3 2" xfId="54814"/>
    <cellStyle name="Normal 13 2 7 3 3" xfId="54815"/>
    <cellStyle name="Normal 13 2 7 4" xfId="54816"/>
    <cellStyle name="Normal 13 2 7 4 2" xfId="54817"/>
    <cellStyle name="Normal 13 2 7 5" xfId="54818"/>
    <cellStyle name="Normal 13 2 7 6" xfId="54819"/>
    <cellStyle name="Normal 13 2 8" xfId="54820"/>
    <cellStyle name="Normal 13 2 8 2" xfId="54821"/>
    <cellStyle name="Normal 13 2 8 2 2" xfId="54822"/>
    <cellStyle name="Normal 13 2 8 2 3" xfId="54823"/>
    <cellStyle name="Normal 13 2 8 3" xfId="54824"/>
    <cellStyle name="Normal 13 2 8 3 2" xfId="54825"/>
    <cellStyle name="Normal 13 2 8 4" xfId="54826"/>
    <cellStyle name="Normal 13 2 8 5" xfId="54827"/>
    <cellStyle name="Normal 13 2 9" xfId="54828"/>
    <cellStyle name="Normal 13 2 9 2" xfId="54829"/>
    <cellStyle name="Normal 13 2 9 3" xfId="54830"/>
    <cellStyle name="Normal 13 3" xfId="8798"/>
    <cellStyle name="Normal 13 3 10" xfId="54831"/>
    <cellStyle name="Normal 13 3 10 2" xfId="54832"/>
    <cellStyle name="Normal 13 3 11" xfId="54833"/>
    <cellStyle name="Normal 13 3 12" xfId="54834"/>
    <cellStyle name="Normal 13 3 13" xfId="54835"/>
    <cellStyle name="Normal 13 3 2" xfId="9246"/>
    <cellStyle name="Normal 13 3 2 10" xfId="54836"/>
    <cellStyle name="Normal 13 3 2 2" xfId="54837"/>
    <cellStyle name="Normal 13 3 2 2 2" xfId="54838"/>
    <cellStyle name="Normal 13 3 2 2 2 2" xfId="54839"/>
    <cellStyle name="Normal 13 3 2 2 2 2 2" xfId="54840"/>
    <cellStyle name="Normal 13 3 2 2 2 2 3" xfId="54841"/>
    <cellStyle name="Normal 13 3 2 2 2 3" xfId="54842"/>
    <cellStyle name="Normal 13 3 2 2 2 3 2" xfId="54843"/>
    <cellStyle name="Normal 13 3 2 2 2 3 3" xfId="54844"/>
    <cellStyle name="Normal 13 3 2 2 2 4" xfId="54845"/>
    <cellStyle name="Normal 13 3 2 2 2 4 2" xfId="54846"/>
    <cellStyle name="Normal 13 3 2 2 2 5" xfId="54847"/>
    <cellStyle name="Normal 13 3 2 2 2 6" xfId="54848"/>
    <cellStyle name="Normal 13 3 2 2 3" xfId="54849"/>
    <cellStyle name="Normal 13 3 2 2 3 2" xfId="54850"/>
    <cellStyle name="Normal 13 3 2 2 3 2 2" xfId="54851"/>
    <cellStyle name="Normal 13 3 2 2 3 2 3" xfId="54852"/>
    <cellStyle name="Normal 13 3 2 2 3 3" xfId="54853"/>
    <cellStyle name="Normal 13 3 2 2 3 3 2" xfId="54854"/>
    <cellStyle name="Normal 13 3 2 2 3 3 3" xfId="54855"/>
    <cellStyle name="Normal 13 3 2 2 3 4" xfId="54856"/>
    <cellStyle name="Normal 13 3 2 2 3 4 2" xfId="54857"/>
    <cellStyle name="Normal 13 3 2 2 3 5" xfId="54858"/>
    <cellStyle name="Normal 13 3 2 2 3 6" xfId="54859"/>
    <cellStyle name="Normal 13 3 2 2 4" xfId="54860"/>
    <cellStyle name="Normal 13 3 2 2 4 2" xfId="54861"/>
    <cellStyle name="Normal 13 3 2 2 4 2 2" xfId="54862"/>
    <cellStyle name="Normal 13 3 2 2 4 2 3" xfId="54863"/>
    <cellStyle name="Normal 13 3 2 2 4 3" xfId="54864"/>
    <cellStyle name="Normal 13 3 2 2 4 3 2" xfId="54865"/>
    <cellStyle name="Normal 13 3 2 2 4 4" xfId="54866"/>
    <cellStyle name="Normal 13 3 2 2 4 5" xfId="54867"/>
    <cellStyle name="Normal 13 3 2 2 5" xfId="54868"/>
    <cellStyle name="Normal 13 3 2 2 5 2" xfId="54869"/>
    <cellStyle name="Normal 13 3 2 2 5 3" xfId="54870"/>
    <cellStyle name="Normal 13 3 2 2 6" xfId="54871"/>
    <cellStyle name="Normal 13 3 2 2 6 2" xfId="54872"/>
    <cellStyle name="Normal 13 3 2 2 6 3" xfId="54873"/>
    <cellStyle name="Normal 13 3 2 2 7" xfId="54874"/>
    <cellStyle name="Normal 13 3 2 2 7 2" xfId="54875"/>
    <cellStyle name="Normal 13 3 2 2 8" xfId="54876"/>
    <cellStyle name="Normal 13 3 2 2 9" xfId="54877"/>
    <cellStyle name="Normal 13 3 2 3" xfId="54878"/>
    <cellStyle name="Normal 13 3 2 3 2" xfId="54879"/>
    <cellStyle name="Normal 13 3 2 3 2 2" xfId="54880"/>
    <cellStyle name="Normal 13 3 2 3 2 3" xfId="54881"/>
    <cellStyle name="Normal 13 3 2 3 3" xfId="54882"/>
    <cellStyle name="Normal 13 3 2 3 3 2" xfId="54883"/>
    <cellStyle name="Normal 13 3 2 3 3 3" xfId="54884"/>
    <cellStyle name="Normal 13 3 2 3 4" xfId="54885"/>
    <cellStyle name="Normal 13 3 2 3 4 2" xfId="54886"/>
    <cellStyle name="Normal 13 3 2 3 5" xfId="54887"/>
    <cellStyle name="Normal 13 3 2 3 6" xfId="54888"/>
    <cellStyle name="Normal 13 3 2 4" xfId="54889"/>
    <cellStyle name="Normal 13 3 2 4 2" xfId="54890"/>
    <cellStyle name="Normal 13 3 2 4 2 2" xfId="54891"/>
    <cellStyle name="Normal 13 3 2 4 2 3" xfId="54892"/>
    <cellStyle name="Normal 13 3 2 4 3" xfId="54893"/>
    <cellStyle name="Normal 13 3 2 4 3 2" xfId="54894"/>
    <cellStyle name="Normal 13 3 2 4 3 3" xfId="54895"/>
    <cellStyle name="Normal 13 3 2 4 4" xfId="54896"/>
    <cellStyle name="Normal 13 3 2 4 4 2" xfId="54897"/>
    <cellStyle name="Normal 13 3 2 4 5" xfId="54898"/>
    <cellStyle name="Normal 13 3 2 4 6" xfId="54899"/>
    <cellStyle name="Normal 13 3 2 5" xfId="54900"/>
    <cellStyle name="Normal 13 3 2 5 2" xfId="54901"/>
    <cellStyle name="Normal 13 3 2 5 2 2" xfId="54902"/>
    <cellStyle name="Normal 13 3 2 5 2 3" xfId="54903"/>
    <cellStyle name="Normal 13 3 2 5 3" xfId="54904"/>
    <cellStyle name="Normal 13 3 2 5 3 2" xfId="54905"/>
    <cellStyle name="Normal 13 3 2 5 4" xfId="54906"/>
    <cellStyle name="Normal 13 3 2 5 5" xfId="54907"/>
    <cellStyle name="Normal 13 3 2 6" xfId="54908"/>
    <cellStyle name="Normal 13 3 2 6 2" xfId="54909"/>
    <cellStyle name="Normal 13 3 2 6 3" xfId="54910"/>
    <cellStyle name="Normal 13 3 2 7" xfId="54911"/>
    <cellStyle name="Normal 13 3 2 7 2" xfId="54912"/>
    <cellStyle name="Normal 13 3 2 7 3" xfId="54913"/>
    <cellStyle name="Normal 13 3 2 8" xfId="54914"/>
    <cellStyle name="Normal 13 3 2 8 2" xfId="54915"/>
    <cellStyle name="Normal 13 3 2 9" xfId="54916"/>
    <cellStyle name="Normal 13 3 3" xfId="54917"/>
    <cellStyle name="Normal 13 3 3 2" xfId="54918"/>
    <cellStyle name="Normal 13 3 3 2 2" xfId="54919"/>
    <cellStyle name="Normal 13 3 3 2 2 2" xfId="54920"/>
    <cellStyle name="Normal 13 3 3 2 2 3" xfId="54921"/>
    <cellStyle name="Normal 13 3 3 2 3" xfId="54922"/>
    <cellStyle name="Normal 13 3 3 2 3 2" xfId="54923"/>
    <cellStyle name="Normal 13 3 3 2 3 3" xfId="54924"/>
    <cellStyle name="Normal 13 3 3 2 4" xfId="54925"/>
    <cellStyle name="Normal 13 3 3 2 4 2" xfId="54926"/>
    <cellStyle name="Normal 13 3 3 2 5" xfId="54927"/>
    <cellStyle name="Normal 13 3 3 2 6" xfId="54928"/>
    <cellStyle name="Normal 13 3 3 3" xfId="54929"/>
    <cellStyle name="Normal 13 3 3 3 2" xfId="54930"/>
    <cellStyle name="Normal 13 3 3 3 2 2" xfId="54931"/>
    <cellStyle name="Normal 13 3 3 3 2 3" xfId="54932"/>
    <cellStyle name="Normal 13 3 3 3 3" xfId="54933"/>
    <cellStyle name="Normal 13 3 3 3 3 2" xfId="54934"/>
    <cellStyle name="Normal 13 3 3 3 3 3" xfId="54935"/>
    <cellStyle name="Normal 13 3 3 3 4" xfId="54936"/>
    <cellStyle name="Normal 13 3 3 3 4 2" xfId="54937"/>
    <cellStyle name="Normal 13 3 3 3 5" xfId="54938"/>
    <cellStyle name="Normal 13 3 3 3 6" xfId="54939"/>
    <cellStyle name="Normal 13 3 3 4" xfId="54940"/>
    <cellStyle name="Normal 13 3 3 4 2" xfId="54941"/>
    <cellStyle name="Normal 13 3 3 4 2 2" xfId="54942"/>
    <cellStyle name="Normal 13 3 3 4 2 3" xfId="54943"/>
    <cellStyle name="Normal 13 3 3 4 3" xfId="54944"/>
    <cellStyle name="Normal 13 3 3 4 3 2" xfId="54945"/>
    <cellStyle name="Normal 13 3 3 4 4" xfId="54946"/>
    <cellStyle name="Normal 13 3 3 4 5" xfId="54947"/>
    <cellStyle name="Normal 13 3 3 5" xfId="54948"/>
    <cellStyle name="Normal 13 3 3 5 2" xfId="54949"/>
    <cellStyle name="Normal 13 3 3 5 3" xfId="54950"/>
    <cellStyle name="Normal 13 3 3 6" xfId="54951"/>
    <cellStyle name="Normal 13 3 3 6 2" xfId="54952"/>
    <cellStyle name="Normal 13 3 3 6 3" xfId="54953"/>
    <cellStyle name="Normal 13 3 3 7" xfId="54954"/>
    <cellStyle name="Normal 13 3 3 7 2" xfId="54955"/>
    <cellStyle name="Normal 13 3 3 8" xfId="54956"/>
    <cellStyle name="Normal 13 3 3 9" xfId="54957"/>
    <cellStyle name="Normal 13 3 4" xfId="54958"/>
    <cellStyle name="Normal 13 3 4 2" xfId="54959"/>
    <cellStyle name="Normal 13 3 4 2 2" xfId="54960"/>
    <cellStyle name="Normal 13 3 4 2 2 2" xfId="54961"/>
    <cellStyle name="Normal 13 3 4 2 2 3" xfId="54962"/>
    <cellStyle name="Normal 13 3 4 2 3" xfId="54963"/>
    <cellStyle name="Normal 13 3 4 2 3 2" xfId="54964"/>
    <cellStyle name="Normal 13 3 4 2 3 3" xfId="54965"/>
    <cellStyle name="Normal 13 3 4 2 4" xfId="54966"/>
    <cellStyle name="Normal 13 3 4 2 4 2" xfId="54967"/>
    <cellStyle name="Normal 13 3 4 2 5" xfId="54968"/>
    <cellStyle name="Normal 13 3 4 2 6" xfId="54969"/>
    <cellStyle name="Normal 13 3 4 3" xfId="54970"/>
    <cellStyle name="Normal 13 3 4 3 2" xfId="54971"/>
    <cellStyle name="Normal 13 3 4 3 2 2" xfId="54972"/>
    <cellStyle name="Normal 13 3 4 3 2 3" xfId="54973"/>
    <cellStyle name="Normal 13 3 4 3 3" xfId="54974"/>
    <cellStyle name="Normal 13 3 4 3 3 2" xfId="54975"/>
    <cellStyle name="Normal 13 3 4 3 3 3" xfId="54976"/>
    <cellStyle name="Normal 13 3 4 3 4" xfId="54977"/>
    <cellStyle name="Normal 13 3 4 3 4 2" xfId="54978"/>
    <cellStyle name="Normal 13 3 4 3 5" xfId="54979"/>
    <cellStyle name="Normal 13 3 4 3 6" xfId="54980"/>
    <cellStyle name="Normal 13 3 4 4" xfId="54981"/>
    <cellStyle name="Normal 13 3 4 4 2" xfId="54982"/>
    <cellStyle name="Normal 13 3 4 4 2 2" xfId="54983"/>
    <cellStyle name="Normal 13 3 4 4 2 3" xfId="54984"/>
    <cellStyle name="Normal 13 3 4 4 3" xfId="54985"/>
    <cellStyle name="Normal 13 3 4 4 3 2" xfId="54986"/>
    <cellStyle name="Normal 13 3 4 4 4" xfId="54987"/>
    <cellStyle name="Normal 13 3 4 4 5" xfId="54988"/>
    <cellStyle name="Normal 13 3 4 5" xfId="54989"/>
    <cellStyle name="Normal 13 3 4 5 2" xfId="54990"/>
    <cellStyle name="Normal 13 3 4 5 3" xfId="54991"/>
    <cellStyle name="Normal 13 3 4 6" xfId="54992"/>
    <cellStyle name="Normal 13 3 4 6 2" xfId="54993"/>
    <cellStyle name="Normal 13 3 4 6 3" xfId="54994"/>
    <cellStyle name="Normal 13 3 4 7" xfId="54995"/>
    <cellStyle name="Normal 13 3 4 7 2" xfId="54996"/>
    <cellStyle name="Normal 13 3 4 8" xfId="54997"/>
    <cellStyle name="Normal 13 3 4 9" xfId="54998"/>
    <cellStyle name="Normal 13 3 5" xfId="54999"/>
    <cellStyle name="Normal 13 3 5 2" xfId="55000"/>
    <cellStyle name="Normal 13 3 5 2 2" xfId="55001"/>
    <cellStyle name="Normal 13 3 5 2 3" xfId="55002"/>
    <cellStyle name="Normal 13 3 5 3" xfId="55003"/>
    <cellStyle name="Normal 13 3 5 3 2" xfId="55004"/>
    <cellStyle name="Normal 13 3 5 3 3" xfId="55005"/>
    <cellStyle name="Normal 13 3 5 4" xfId="55006"/>
    <cellStyle name="Normal 13 3 5 4 2" xfId="55007"/>
    <cellStyle name="Normal 13 3 5 5" xfId="55008"/>
    <cellStyle name="Normal 13 3 5 6" xfId="55009"/>
    <cellStyle name="Normal 13 3 6" xfId="55010"/>
    <cellStyle name="Normal 13 3 6 2" xfId="55011"/>
    <cellStyle name="Normal 13 3 6 2 2" xfId="55012"/>
    <cellStyle name="Normal 13 3 6 2 3" xfId="55013"/>
    <cellStyle name="Normal 13 3 6 3" xfId="55014"/>
    <cellStyle name="Normal 13 3 6 3 2" xfId="55015"/>
    <cellStyle name="Normal 13 3 6 3 3" xfId="55016"/>
    <cellStyle name="Normal 13 3 6 4" xfId="55017"/>
    <cellStyle name="Normal 13 3 6 4 2" xfId="55018"/>
    <cellStyle name="Normal 13 3 6 5" xfId="55019"/>
    <cellStyle name="Normal 13 3 6 6" xfId="55020"/>
    <cellStyle name="Normal 13 3 7" xfId="55021"/>
    <cellStyle name="Normal 13 3 7 2" xfId="55022"/>
    <cellStyle name="Normal 13 3 7 2 2" xfId="55023"/>
    <cellStyle name="Normal 13 3 7 2 3" xfId="55024"/>
    <cellStyle name="Normal 13 3 7 3" xfId="55025"/>
    <cellStyle name="Normal 13 3 7 3 2" xfId="55026"/>
    <cellStyle name="Normal 13 3 7 4" xfId="55027"/>
    <cellStyle name="Normal 13 3 7 5" xfId="55028"/>
    <cellStyle name="Normal 13 3 8" xfId="55029"/>
    <cellStyle name="Normal 13 3 8 2" xfId="55030"/>
    <cellStyle name="Normal 13 3 8 3" xfId="55031"/>
    <cellStyle name="Normal 13 3 9" xfId="55032"/>
    <cellStyle name="Normal 13 3 9 2" xfId="55033"/>
    <cellStyle name="Normal 13 3 9 3" xfId="55034"/>
    <cellStyle name="Normal 13 4" xfId="9247"/>
    <cellStyle name="Normal 13 4 10" xfId="55035"/>
    <cellStyle name="Normal 13 4 2" xfId="55036"/>
    <cellStyle name="Normal 13 4 2 2" xfId="55037"/>
    <cellStyle name="Normal 13 4 2 2 2" xfId="55038"/>
    <cellStyle name="Normal 13 4 2 2 2 2" xfId="55039"/>
    <cellStyle name="Normal 13 4 2 2 2 3" xfId="55040"/>
    <cellStyle name="Normal 13 4 2 2 3" xfId="55041"/>
    <cellStyle name="Normal 13 4 2 2 3 2" xfId="55042"/>
    <cellStyle name="Normal 13 4 2 2 3 3" xfId="55043"/>
    <cellStyle name="Normal 13 4 2 2 4" xfId="55044"/>
    <cellStyle name="Normal 13 4 2 2 4 2" xfId="55045"/>
    <cellStyle name="Normal 13 4 2 2 5" xfId="55046"/>
    <cellStyle name="Normal 13 4 2 2 6" xfId="55047"/>
    <cellStyle name="Normal 13 4 2 3" xfId="55048"/>
    <cellStyle name="Normal 13 4 2 3 2" xfId="55049"/>
    <cellStyle name="Normal 13 4 2 3 2 2" xfId="55050"/>
    <cellStyle name="Normal 13 4 2 3 2 3" xfId="55051"/>
    <cellStyle name="Normal 13 4 2 3 3" xfId="55052"/>
    <cellStyle name="Normal 13 4 2 3 3 2" xfId="55053"/>
    <cellStyle name="Normal 13 4 2 3 3 3" xfId="55054"/>
    <cellStyle name="Normal 13 4 2 3 4" xfId="55055"/>
    <cellStyle name="Normal 13 4 2 3 4 2" xfId="55056"/>
    <cellStyle name="Normal 13 4 2 3 5" xfId="55057"/>
    <cellStyle name="Normal 13 4 2 3 6" xfId="55058"/>
    <cellStyle name="Normal 13 4 2 4" xfId="55059"/>
    <cellStyle name="Normal 13 4 2 4 2" xfId="55060"/>
    <cellStyle name="Normal 13 4 2 4 2 2" xfId="55061"/>
    <cellStyle name="Normal 13 4 2 4 2 3" xfId="55062"/>
    <cellStyle name="Normal 13 4 2 4 3" xfId="55063"/>
    <cellStyle name="Normal 13 4 2 4 3 2" xfId="55064"/>
    <cellStyle name="Normal 13 4 2 4 4" xfId="55065"/>
    <cellStyle name="Normal 13 4 2 4 5" xfId="55066"/>
    <cellStyle name="Normal 13 4 2 5" xfId="55067"/>
    <cellStyle name="Normal 13 4 2 5 2" xfId="55068"/>
    <cellStyle name="Normal 13 4 2 5 3" xfId="55069"/>
    <cellStyle name="Normal 13 4 2 6" xfId="55070"/>
    <cellStyle name="Normal 13 4 2 6 2" xfId="55071"/>
    <cellStyle name="Normal 13 4 2 6 3" xfId="55072"/>
    <cellStyle name="Normal 13 4 2 7" xfId="55073"/>
    <cellStyle name="Normal 13 4 2 7 2" xfId="55074"/>
    <cellStyle name="Normal 13 4 2 8" xfId="55075"/>
    <cellStyle name="Normal 13 4 2 9" xfId="55076"/>
    <cellStyle name="Normal 13 4 3" xfId="55077"/>
    <cellStyle name="Normal 13 4 3 2" xfId="55078"/>
    <cellStyle name="Normal 13 4 3 2 2" xfId="55079"/>
    <cellStyle name="Normal 13 4 3 2 3" xfId="55080"/>
    <cellStyle name="Normal 13 4 3 3" xfId="55081"/>
    <cellStyle name="Normal 13 4 3 3 2" xfId="55082"/>
    <cellStyle name="Normal 13 4 3 3 3" xfId="55083"/>
    <cellStyle name="Normal 13 4 3 4" xfId="55084"/>
    <cellStyle name="Normal 13 4 3 4 2" xfId="55085"/>
    <cellStyle name="Normal 13 4 3 5" xfId="55086"/>
    <cellStyle name="Normal 13 4 3 6" xfId="55087"/>
    <cellStyle name="Normal 13 4 4" xfId="55088"/>
    <cellStyle name="Normal 13 4 4 2" xfId="55089"/>
    <cellStyle name="Normal 13 4 4 2 2" xfId="55090"/>
    <cellStyle name="Normal 13 4 4 2 3" xfId="55091"/>
    <cellStyle name="Normal 13 4 4 3" xfId="55092"/>
    <cellStyle name="Normal 13 4 4 3 2" xfId="55093"/>
    <cellStyle name="Normal 13 4 4 3 3" xfId="55094"/>
    <cellStyle name="Normal 13 4 4 4" xfId="55095"/>
    <cellStyle name="Normal 13 4 4 4 2" xfId="55096"/>
    <cellStyle name="Normal 13 4 4 5" xfId="55097"/>
    <cellStyle name="Normal 13 4 4 6" xfId="55098"/>
    <cellStyle name="Normal 13 4 5" xfId="55099"/>
    <cellStyle name="Normal 13 4 5 2" xfId="55100"/>
    <cellStyle name="Normal 13 4 5 2 2" xfId="55101"/>
    <cellStyle name="Normal 13 4 5 2 3" xfId="55102"/>
    <cellStyle name="Normal 13 4 5 3" xfId="55103"/>
    <cellStyle name="Normal 13 4 5 3 2" xfId="55104"/>
    <cellStyle name="Normal 13 4 5 4" xfId="55105"/>
    <cellStyle name="Normal 13 4 5 5" xfId="55106"/>
    <cellStyle name="Normal 13 4 6" xfId="55107"/>
    <cellStyle name="Normal 13 4 6 2" xfId="55108"/>
    <cellStyle name="Normal 13 4 6 3" xfId="55109"/>
    <cellStyle name="Normal 13 4 7" xfId="55110"/>
    <cellStyle name="Normal 13 4 7 2" xfId="55111"/>
    <cellStyle name="Normal 13 4 7 3" xfId="55112"/>
    <cellStyle name="Normal 13 4 8" xfId="55113"/>
    <cellStyle name="Normal 13 4 8 2" xfId="55114"/>
    <cellStyle name="Normal 13 4 9" xfId="55115"/>
    <cellStyle name="Normal 13 5" xfId="9248"/>
    <cellStyle name="Normal 13 5 2" xfId="55116"/>
    <cellStyle name="Normal 13 5 2 2" xfId="55117"/>
    <cellStyle name="Normal 13 5 2 2 2" xfId="55118"/>
    <cellStyle name="Normal 13 5 2 2 3" xfId="55119"/>
    <cellStyle name="Normal 13 5 2 3" xfId="55120"/>
    <cellStyle name="Normal 13 5 2 3 2" xfId="55121"/>
    <cellStyle name="Normal 13 5 2 3 3" xfId="55122"/>
    <cellStyle name="Normal 13 5 2 4" xfId="55123"/>
    <cellStyle name="Normal 13 5 2 4 2" xfId="55124"/>
    <cellStyle name="Normal 13 5 2 5" xfId="55125"/>
    <cellStyle name="Normal 13 5 2 6" xfId="55126"/>
    <cellStyle name="Normal 13 5 3" xfId="55127"/>
    <cellStyle name="Normal 13 5 3 2" xfId="55128"/>
    <cellStyle name="Normal 13 5 3 2 2" xfId="55129"/>
    <cellStyle name="Normal 13 5 3 2 3" xfId="55130"/>
    <cellStyle name="Normal 13 5 3 3" xfId="55131"/>
    <cellStyle name="Normal 13 5 3 3 2" xfId="55132"/>
    <cellStyle name="Normal 13 5 3 3 3" xfId="55133"/>
    <cellStyle name="Normal 13 5 3 4" xfId="55134"/>
    <cellStyle name="Normal 13 5 3 4 2" xfId="55135"/>
    <cellStyle name="Normal 13 5 3 5" xfId="55136"/>
    <cellStyle name="Normal 13 5 3 6" xfId="55137"/>
    <cellStyle name="Normal 13 5 4" xfId="55138"/>
    <cellStyle name="Normal 13 5 4 2" xfId="55139"/>
    <cellStyle name="Normal 13 5 4 2 2" xfId="55140"/>
    <cellStyle name="Normal 13 5 4 2 3" xfId="55141"/>
    <cellStyle name="Normal 13 5 4 3" xfId="55142"/>
    <cellStyle name="Normal 13 5 4 3 2" xfId="55143"/>
    <cellStyle name="Normal 13 5 4 4" xfId="55144"/>
    <cellStyle name="Normal 13 5 4 5" xfId="55145"/>
    <cellStyle name="Normal 13 5 5" xfId="55146"/>
    <cellStyle name="Normal 13 5 5 2" xfId="55147"/>
    <cellStyle name="Normal 13 5 5 3" xfId="55148"/>
    <cellStyle name="Normal 13 5 6" xfId="55149"/>
    <cellStyle name="Normal 13 5 6 2" xfId="55150"/>
    <cellStyle name="Normal 13 5 6 3" xfId="55151"/>
    <cellStyle name="Normal 13 5 7" xfId="55152"/>
    <cellStyle name="Normal 13 5 7 2" xfId="55153"/>
    <cellStyle name="Normal 13 5 8" xfId="55154"/>
    <cellStyle name="Normal 13 5 9" xfId="55155"/>
    <cellStyle name="Normal 13 6" xfId="55156"/>
    <cellStyle name="Normal 13 6 2" xfId="55157"/>
    <cellStyle name="Normal 13 6 2 2" xfId="55158"/>
    <cellStyle name="Normal 13 6 2 2 2" xfId="55159"/>
    <cellStyle name="Normal 13 6 2 2 3" xfId="55160"/>
    <cellStyle name="Normal 13 6 2 3" xfId="55161"/>
    <cellStyle name="Normal 13 6 2 3 2" xfId="55162"/>
    <cellStyle name="Normal 13 6 2 3 3" xfId="55163"/>
    <cellStyle name="Normal 13 6 2 4" xfId="55164"/>
    <cellStyle name="Normal 13 6 2 4 2" xfId="55165"/>
    <cellStyle name="Normal 13 6 2 5" xfId="55166"/>
    <cellStyle name="Normal 13 6 2 6" xfId="55167"/>
    <cellStyle name="Normal 13 6 3" xfId="55168"/>
    <cellStyle name="Normal 13 6 3 2" xfId="55169"/>
    <cellStyle name="Normal 13 6 3 2 2" xfId="55170"/>
    <cellStyle name="Normal 13 6 3 2 3" xfId="55171"/>
    <cellStyle name="Normal 13 6 3 3" xfId="55172"/>
    <cellStyle name="Normal 13 6 3 3 2" xfId="55173"/>
    <cellStyle name="Normal 13 6 3 3 3" xfId="55174"/>
    <cellStyle name="Normal 13 6 3 4" xfId="55175"/>
    <cellStyle name="Normal 13 6 3 4 2" xfId="55176"/>
    <cellStyle name="Normal 13 6 3 5" xfId="55177"/>
    <cellStyle name="Normal 13 6 3 6" xfId="55178"/>
    <cellStyle name="Normal 13 6 4" xfId="55179"/>
    <cellStyle name="Normal 13 6 4 2" xfId="55180"/>
    <cellStyle name="Normal 13 6 4 2 2" xfId="55181"/>
    <cellStyle name="Normal 13 6 4 2 3" xfId="55182"/>
    <cellStyle name="Normal 13 6 4 3" xfId="55183"/>
    <cellStyle name="Normal 13 6 4 3 2" xfId="55184"/>
    <cellStyle name="Normal 13 6 4 4" xfId="55185"/>
    <cellStyle name="Normal 13 6 4 5" xfId="55186"/>
    <cellStyle name="Normal 13 6 5" xfId="55187"/>
    <cellStyle name="Normal 13 6 5 2" xfId="55188"/>
    <cellStyle name="Normal 13 6 5 3" xfId="55189"/>
    <cellStyle name="Normal 13 6 6" xfId="55190"/>
    <cellStyle name="Normal 13 6 6 2" xfId="55191"/>
    <cellStyle name="Normal 13 6 6 3" xfId="55192"/>
    <cellStyle name="Normal 13 6 7" xfId="55193"/>
    <cellStyle name="Normal 13 6 7 2" xfId="55194"/>
    <cellStyle name="Normal 13 6 8" xfId="55195"/>
    <cellStyle name="Normal 13 6 9" xfId="55196"/>
    <cellStyle name="Normal 13 7" xfId="55197"/>
    <cellStyle name="Normal 13 7 2" xfId="55198"/>
    <cellStyle name="Normal 13 7 2 2" xfId="55199"/>
    <cellStyle name="Normal 13 7 2 3" xfId="55200"/>
    <cellStyle name="Normal 13 7 3" xfId="55201"/>
    <cellStyle name="Normal 13 7 3 2" xfId="55202"/>
    <cellStyle name="Normal 13 7 3 3" xfId="55203"/>
    <cellStyle name="Normal 13 7 4" xfId="55204"/>
    <cellStyle name="Normal 13 7 4 2" xfId="55205"/>
    <cellStyle name="Normal 13 7 5" xfId="55206"/>
    <cellStyle name="Normal 13 7 6" xfId="55207"/>
    <cellStyle name="Normal 13 8" xfId="55208"/>
    <cellStyle name="Normal 13 8 2" xfId="55209"/>
    <cellStyle name="Normal 13 8 2 2" xfId="55210"/>
    <cellStyle name="Normal 13 8 2 3" xfId="55211"/>
    <cellStyle name="Normal 13 8 3" xfId="55212"/>
    <cellStyle name="Normal 13 8 3 2" xfId="55213"/>
    <cellStyle name="Normal 13 8 3 3" xfId="55214"/>
    <cellStyle name="Normal 13 8 4" xfId="55215"/>
    <cellStyle name="Normal 13 8 4 2" xfId="55216"/>
    <cellStyle name="Normal 13 8 5" xfId="55217"/>
    <cellStyle name="Normal 13 8 6" xfId="55218"/>
    <cellStyle name="Normal 13 9" xfId="55219"/>
    <cellStyle name="Normal 13 9 2" xfId="55220"/>
    <cellStyle name="Normal 13 9 2 2" xfId="55221"/>
    <cellStyle name="Normal 13 9 2 3" xfId="55222"/>
    <cellStyle name="Normal 13 9 3" xfId="55223"/>
    <cellStyle name="Normal 13 9 3 2" xfId="55224"/>
    <cellStyle name="Normal 13 9 4" xfId="55225"/>
    <cellStyle name="Normal 13 9 5" xfId="55226"/>
    <cellStyle name="Normal 14" xfId="4469"/>
    <cellStyle name="Normal 14 2" xfId="4470"/>
    <cellStyle name="Normal 14 2 2" xfId="4471"/>
    <cellStyle name="Normal 14 2 2 2" xfId="9249"/>
    <cellStyle name="Normal 14 2 2 2 2" xfId="59588"/>
    <cellStyle name="Normal 14 2 2 3" xfId="9250"/>
    <cellStyle name="Normal 14 2 2 4" xfId="59589"/>
    <cellStyle name="Normal 14 2 3" xfId="4472"/>
    <cellStyle name="Normal 14 2 3 2" xfId="9251"/>
    <cellStyle name="Normal 14 2 4" xfId="9252"/>
    <cellStyle name="Normal 14 2 4 2" xfId="59590"/>
    <cellStyle name="Normal 14 2 5" xfId="59591"/>
    <cellStyle name="Normal 14 2 6" xfId="59592"/>
    <cellStyle name="Normal 14 2 7" xfId="59593"/>
    <cellStyle name="Normal 14 3" xfId="4473"/>
    <cellStyle name="Normal 14 3 2" xfId="9253"/>
    <cellStyle name="Normal 14 3 2 2" xfId="59594"/>
    <cellStyle name="Normal 14 3 3" xfId="9254"/>
    <cellStyle name="Normal 14 3 4" xfId="59595"/>
    <cellStyle name="Normal 14 4" xfId="4474"/>
    <cellStyle name="Normal 14 4 2" xfId="9255"/>
    <cellStyle name="Normal 14 4 3" xfId="59596"/>
    <cellStyle name="Normal 14 4 4" xfId="59597"/>
    <cellStyle name="Normal 14 5" xfId="9256"/>
    <cellStyle name="Normal 14 6" xfId="55227"/>
    <cellStyle name="Normal 14 7" xfId="57949"/>
    <cellStyle name="Normal 15" xfId="4475"/>
    <cellStyle name="Normal 15 10" xfId="55228"/>
    <cellStyle name="Normal 15 10 2" xfId="55229"/>
    <cellStyle name="Normal 15 10 3" xfId="55230"/>
    <cellStyle name="Normal 15 11" xfId="55231"/>
    <cellStyle name="Normal 15 11 2" xfId="55232"/>
    <cellStyle name="Normal 15 12" xfId="55233"/>
    <cellStyle name="Normal 15 13" xfId="55234"/>
    <cellStyle name="Normal 15 14" xfId="55235"/>
    <cellStyle name="Normal 15 2" xfId="4476"/>
    <cellStyle name="Normal 15 2 10" xfId="55236"/>
    <cellStyle name="Normal 15 2 10 2" xfId="55237"/>
    <cellStyle name="Normal 15 2 11" xfId="55238"/>
    <cellStyle name="Normal 15 2 12" xfId="55239"/>
    <cellStyle name="Normal 15 2 13" xfId="55240"/>
    <cellStyle name="Normal 15 2 2" xfId="4477"/>
    <cellStyle name="Normal 15 2 2 10" xfId="55241"/>
    <cellStyle name="Normal 15 2 2 11" xfId="55242"/>
    <cellStyle name="Normal 15 2 2 2" xfId="8416"/>
    <cellStyle name="Normal 15 2 2 2 10" xfId="55243"/>
    <cellStyle name="Normal 15 2 2 2 2" xfId="8417"/>
    <cellStyle name="Normal 15 2 2 2 2 2" xfId="8418"/>
    <cellStyle name="Normal 15 2 2 2 2 2 2" xfId="55244"/>
    <cellStyle name="Normal 15 2 2 2 2 2 3" xfId="55245"/>
    <cellStyle name="Normal 15 2 2 2 2 3" xfId="55246"/>
    <cellStyle name="Normal 15 2 2 2 2 3 2" xfId="55247"/>
    <cellStyle name="Normal 15 2 2 2 2 3 3" xfId="55248"/>
    <cellStyle name="Normal 15 2 2 2 2 4" xfId="55249"/>
    <cellStyle name="Normal 15 2 2 2 2 4 2" xfId="55250"/>
    <cellStyle name="Normal 15 2 2 2 2 5" xfId="55251"/>
    <cellStyle name="Normal 15 2 2 2 2 6" xfId="55252"/>
    <cellStyle name="Normal 15 2 2 2 2 7" xfId="55253"/>
    <cellStyle name="Normal 15 2 2 2 3" xfId="8419"/>
    <cellStyle name="Normal 15 2 2 2 3 2" xfId="55254"/>
    <cellStyle name="Normal 15 2 2 2 3 2 2" xfId="55255"/>
    <cellStyle name="Normal 15 2 2 2 3 2 3" xfId="55256"/>
    <cellStyle name="Normal 15 2 2 2 3 3" xfId="55257"/>
    <cellStyle name="Normal 15 2 2 2 3 3 2" xfId="55258"/>
    <cellStyle name="Normal 15 2 2 2 3 3 3" xfId="55259"/>
    <cellStyle name="Normal 15 2 2 2 3 4" xfId="55260"/>
    <cellStyle name="Normal 15 2 2 2 3 4 2" xfId="55261"/>
    <cellStyle name="Normal 15 2 2 2 3 5" xfId="55262"/>
    <cellStyle name="Normal 15 2 2 2 3 6" xfId="55263"/>
    <cellStyle name="Normal 15 2 2 2 3 7" xfId="55264"/>
    <cellStyle name="Normal 15 2 2 2 4" xfId="55265"/>
    <cellStyle name="Normal 15 2 2 2 4 2" xfId="55266"/>
    <cellStyle name="Normal 15 2 2 2 4 2 2" xfId="55267"/>
    <cellStyle name="Normal 15 2 2 2 4 2 3" xfId="55268"/>
    <cellStyle name="Normal 15 2 2 2 4 3" xfId="55269"/>
    <cellStyle name="Normal 15 2 2 2 4 3 2" xfId="55270"/>
    <cellStyle name="Normal 15 2 2 2 4 4" xfId="55271"/>
    <cellStyle name="Normal 15 2 2 2 4 5" xfId="55272"/>
    <cellStyle name="Normal 15 2 2 2 5" xfId="55273"/>
    <cellStyle name="Normal 15 2 2 2 5 2" xfId="55274"/>
    <cellStyle name="Normal 15 2 2 2 5 3" xfId="55275"/>
    <cellStyle name="Normal 15 2 2 2 6" xfId="55276"/>
    <cellStyle name="Normal 15 2 2 2 6 2" xfId="55277"/>
    <cellStyle name="Normal 15 2 2 2 6 3" xfId="55278"/>
    <cellStyle name="Normal 15 2 2 2 7" xfId="55279"/>
    <cellStyle name="Normal 15 2 2 2 7 2" xfId="55280"/>
    <cellStyle name="Normal 15 2 2 2 8" xfId="55281"/>
    <cellStyle name="Normal 15 2 2 2 9" xfId="55282"/>
    <cellStyle name="Normal 15 2 2 3" xfId="8420"/>
    <cellStyle name="Normal 15 2 2 3 2" xfId="8421"/>
    <cellStyle name="Normal 15 2 2 3 2 2" xfId="55283"/>
    <cellStyle name="Normal 15 2 2 3 2 3" xfId="55284"/>
    <cellStyle name="Normal 15 2 2 3 3" xfId="55285"/>
    <cellStyle name="Normal 15 2 2 3 3 2" xfId="55286"/>
    <cellStyle name="Normal 15 2 2 3 3 3" xfId="55287"/>
    <cellStyle name="Normal 15 2 2 3 4" xfId="55288"/>
    <cellStyle name="Normal 15 2 2 3 4 2" xfId="55289"/>
    <cellStyle name="Normal 15 2 2 3 5" xfId="55290"/>
    <cellStyle name="Normal 15 2 2 3 6" xfId="55291"/>
    <cellStyle name="Normal 15 2 2 3 7" xfId="55292"/>
    <cellStyle name="Normal 15 2 2 4" xfId="8422"/>
    <cellStyle name="Normal 15 2 2 4 2" xfId="55293"/>
    <cellStyle name="Normal 15 2 2 4 2 2" xfId="55294"/>
    <cellStyle name="Normal 15 2 2 4 2 3" xfId="55295"/>
    <cellStyle name="Normal 15 2 2 4 3" xfId="55296"/>
    <cellStyle name="Normal 15 2 2 4 3 2" xfId="55297"/>
    <cellStyle name="Normal 15 2 2 4 3 3" xfId="55298"/>
    <cellStyle name="Normal 15 2 2 4 4" xfId="55299"/>
    <cellStyle name="Normal 15 2 2 4 4 2" xfId="55300"/>
    <cellStyle name="Normal 15 2 2 4 5" xfId="55301"/>
    <cellStyle name="Normal 15 2 2 4 6" xfId="55302"/>
    <cellStyle name="Normal 15 2 2 4 7" xfId="55303"/>
    <cellStyle name="Normal 15 2 2 5" xfId="55304"/>
    <cellStyle name="Normal 15 2 2 5 2" xfId="55305"/>
    <cellStyle name="Normal 15 2 2 5 2 2" xfId="55306"/>
    <cellStyle name="Normal 15 2 2 5 2 3" xfId="55307"/>
    <cellStyle name="Normal 15 2 2 5 3" xfId="55308"/>
    <cellStyle name="Normal 15 2 2 5 3 2" xfId="55309"/>
    <cellStyle name="Normal 15 2 2 5 4" xfId="55310"/>
    <cellStyle name="Normal 15 2 2 5 5" xfId="55311"/>
    <cellStyle name="Normal 15 2 2 6" xfId="55312"/>
    <cellStyle name="Normal 15 2 2 6 2" xfId="55313"/>
    <cellStyle name="Normal 15 2 2 6 3" xfId="55314"/>
    <cellStyle name="Normal 15 2 2 7" xfId="55315"/>
    <cellStyle name="Normal 15 2 2 7 2" xfId="55316"/>
    <cellStyle name="Normal 15 2 2 7 3" xfId="55317"/>
    <cellStyle name="Normal 15 2 2 8" xfId="55318"/>
    <cellStyle name="Normal 15 2 2 8 2" xfId="55319"/>
    <cellStyle name="Normal 15 2 2 9" xfId="55320"/>
    <cellStyle name="Normal 15 2 3" xfId="4478"/>
    <cellStyle name="Normal 15 2 3 10" xfId="55321"/>
    <cellStyle name="Normal 15 2 3 2" xfId="8423"/>
    <cellStyle name="Normal 15 2 3 2 2" xfId="8424"/>
    <cellStyle name="Normal 15 2 3 2 2 2" xfId="55322"/>
    <cellStyle name="Normal 15 2 3 2 2 3" xfId="55323"/>
    <cellStyle name="Normal 15 2 3 2 2 4" xfId="55324"/>
    <cellStyle name="Normal 15 2 3 2 3" xfId="55325"/>
    <cellStyle name="Normal 15 2 3 2 3 2" xfId="55326"/>
    <cellStyle name="Normal 15 2 3 2 3 3" xfId="55327"/>
    <cellStyle name="Normal 15 2 3 2 4" xfId="55328"/>
    <cellStyle name="Normal 15 2 3 2 4 2" xfId="55329"/>
    <cellStyle name="Normal 15 2 3 2 5" xfId="55330"/>
    <cellStyle name="Normal 15 2 3 2 6" xfId="55331"/>
    <cellStyle name="Normal 15 2 3 2 7" xfId="55332"/>
    <cellStyle name="Normal 15 2 3 3" xfId="8425"/>
    <cellStyle name="Normal 15 2 3 3 2" xfId="55333"/>
    <cellStyle name="Normal 15 2 3 3 2 2" xfId="55334"/>
    <cellStyle name="Normal 15 2 3 3 2 3" xfId="55335"/>
    <cellStyle name="Normal 15 2 3 3 3" xfId="55336"/>
    <cellStyle name="Normal 15 2 3 3 3 2" xfId="55337"/>
    <cellStyle name="Normal 15 2 3 3 3 3" xfId="55338"/>
    <cellStyle name="Normal 15 2 3 3 4" xfId="55339"/>
    <cellStyle name="Normal 15 2 3 3 4 2" xfId="55340"/>
    <cellStyle name="Normal 15 2 3 3 5" xfId="55341"/>
    <cellStyle name="Normal 15 2 3 3 6" xfId="55342"/>
    <cellStyle name="Normal 15 2 3 3 7" xfId="55343"/>
    <cellStyle name="Normal 15 2 3 4" xfId="55344"/>
    <cellStyle name="Normal 15 2 3 4 2" xfId="55345"/>
    <cellStyle name="Normal 15 2 3 4 2 2" xfId="55346"/>
    <cellStyle name="Normal 15 2 3 4 2 3" xfId="55347"/>
    <cellStyle name="Normal 15 2 3 4 3" xfId="55348"/>
    <cellStyle name="Normal 15 2 3 4 3 2" xfId="55349"/>
    <cellStyle name="Normal 15 2 3 4 4" xfId="55350"/>
    <cellStyle name="Normal 15 2 3 4 5" xfId="55351"/>
    <cellStyle name="Normal 15 2 3 5" xfId="55352"/>
    <cellStyle name="Normal 15 2 3 5 2" xfId="55353"/>
    <cellStyle name="Normal 15 2 3 5 3" xfId="55354"/>
    <cellStyle name="Normal 15 2 3 6" xfId="55355"/>
    <cellStyle name="Normal 15 2 3 6 2" xfId="55356"/>
    <cellStyle name="Normal 15 2 3 6 3" xfId="55357"/>
    <cellStyle name="Normal 15 2 3 7" xfId="55358"/>
    <cellStyle name="Normal 15 2 3 7 2" xfId="55359"/>
    <cellStyle name="Normal 15 2 3 8" xfId="55360"/>
    <cellStyle name="Normal 15 2 3 9" xfId="55361"/>
    <cellStyle name="Normal 15 2 4" xfId="4479"/>
    <cellStyle name="Normal 15 2 4 10" xfId="55362"/>
    <cellStyle name="Normal 15 2 4 2" xfId="8426"/>
    <cellStyle name="Normal 15 2 4 2 2" xfId="55363"/>
    <cellStyle name="Normal 15 2 4 2 2 2" xfId="55364"/>
    <cellStyle name="Normal 15 2 4 2 2 3" xfId="55365"/>
    <cellStyle name="Normal 15 2 4 2 3" xfId="55366"/>
    <cellStyle name="Normal 15 2 4 2 3 2" xfId="55367"/>
    <cellStyle name="Normal 15 2 4 2 3 3" xfId="55368"/>
    <cellStyle name="Normal 15 2 4 2 4" xfId="55369"/>
    <cellStyle name="Normal 15 2 4 2 4 2" xfId="55370"/>
    <cellStyle name="Normal 15 2 4 2 5" xfId="55371"/>
    <cellStyle name="Normal 15 2 4 2 6" xfId="55372"/>
    <cellStyle name="Normal 15 2 4 2 7" xfId="55373"/>
    <cellStyle name="Normal 15 2 4 3" xfId="55374"/>
    <cellStyle name="Normal 15 2 4 3 2" xfId="55375"/>
    <cellStyle name="Normal 15 2 4 3 2 2" xfId="55376"/>
    <cellStyle name="Normal 15 2 4 3 2 3" xfId="55377"/>
    <cellStyle name="Normal 15 2 4 3 3" xfId="55378"/>
    <cellStyle name="Normal 15 2 4 3 3 2" xfId="55379"/>
    <cellStyle name="Normal 15 2 4 3 3 3" xfId="55380"/>
    <cellStyle name="Normal 15 2 4 3 4" xfId="55381"/>
    <cellStyle name="Normal 15 2 4 3 4 2" xfId="55382"/>
    <cellStyle name="Normal 15 2 4 3 5" xfId="55383"/>
    <cellStyle name="Normal 15 2 4 3 6" xfId="55384"/>
    <cellStyle name="Normal 15 2 4 4" xfId="55385"/>
    <cellStyle name="Normal 15 2 4 4 2" xfId="55386"/>
    <cellStyle name="Normal 15 2 4 4 2 2" xfId="55387"/>
    <cellStyle name="Normal 15 2 4 4 2 3" xfId="55388"/>
    <cellStyle name="Normal 15 2 4 4 3" xfId="55389"/>
    <cellStyle name="Normal 15 2 4 4 3 2" xfId="55390"/>
    <cellStyle name="Normal 15 2 4 4 4" xfId="55391"/>
    <cellStyle name="Normal 15 2 4 4 5" xfId="55392"/>
    <cellStyle name="Normal 15 2 4 5" xfId="55393"/>
    <cellStyle name="Normal 15 2 4 5 2" xfId="55394"/>
    <cellStyle name="Normal 15 2 4 5 3" xfId="55395"/>
    <cellStyle name="Normal 15 2 4 6" xfId="55396"/>
    <cellStyle name="Normal 15 2 4 6 2" xfId="55397"/>
    <cellStyle name="Normal 15 2 4 6 3" xfId="55398"/>
    <cellStyle name="Normal 15 2 4 7" xfId="55399"/>
    <cellStyle name="Normal 15 2 4 7 2" xfId="55400"/>
    <cellStyle name="Normal 15 2 4 8" xfId="55401"/>
    <cellStyle name="Normal 15 2 4 9" xfId="55402"/>
    <cellStyle name="Normal 15 2 5" xfId="8427"/>
    <cellStyle name="Normal 15 2 5 2" xfId="8428"/>
    <cellStyle name="Normal 15 2 5 2 2" xfId="55403"/>
    <cellStyle name="Normal 15 2 5 2 3" xfId="55404"/>
    <cellStyle name="Normal 15 2 5 2 4" xfId="55405"/>
    <cellStyle name="Normal 15 2 5 3" xfId="55406"/>
    <cellStyle name="Normal 15 2 5 3 2" xfId="55407"/>
    <cellStyle name="Normal 15 2 5 3 3" xfId="55408"/>
    <cellStyle name="Normal 15 2 5 4" xfId="55409"/>
    <cellStyle name="Normal 15 2 5 4 2" xfId="55410"/>
    <cellStyle name="Normal 15 2 5 5" xfId="55411"/>
    <cellStyle name="Normal 15 2 5 6" xfId="55412"/>
    <cellStyle name="Normal 15 2 5 7" xfId="55413"/>
    <cellStyle name="Normal 15 2 6" xfId="8429"/>
    <cellStyle name="Normal 15 2 6 2" xfId="55414"/>
    <cellStyle name="Normal 15 2 6 2 2" xfId="55415"/>
    <cellStyle name="Normal 15 2 6 2 3" xfId="55416"/>
    <cellStyle name="Normal 15 2 6 3" xfId="55417"/>
    <cellStyle name="Normal 15 2 6 3 2" xfId="55418"/>
    <cellStyle name="Normal 15 2 6 3 3" xfId="55419"/>
    <cellStyle name="Normal 15 2 6 4" xfId="55420"/>
    <cellStyle name="Normal 15 2 6 4 2" xfId="55421"/>
    <cellStyle name="Normal 15 2 6 5" xfId="55422"/>
    <cellStyle name="Normal 15 2 6 6" xfId="55423"/>
    <cellStyle name="Normal 15 2 6 7" xfId="55424"/>
    <cellStyle name="Normal 15 2 7" xfId="55425"/>
    <cellStyle name="Normal 15 2 7 2" xfId="55426"/>
    <cellStyle name="Normal 15 2 7 2 2" xfId="55427"/>
    <cellStyle name="Normal 15 2 7 2 3" xfId="55428"/>
    <cellStyle name="Normal 15 2 7 3" xfId="55429"/>
    <cellStyle name="Normal 15 2 7 3 2" xfId="55430"/>
    <cellStyle name="Normal 15 2 7 4" xfId="55431"/>
    <cellStyle name="Normal 15 2 7 5" xfId="55432"/>
    <cellStyle name="Normal 15 2 8" xfId="55433"/>
    <cellStyle name="Normal 15 2 8 2" xfId="55434"/>
    <cellStyle name="Normal 15 2 8 3" xfId="55435"/>
    <cellStyle name="Normal 15 2 9" xfId="55436"/>
    <cellStyle name="Normal 15 2 9 2" xfId="55437"/>
    <cellStyle name="Normal 15 2 9 3" xfId="55438"/>
    <cellStyle name="Normal 15 3" xfId="4480"/>
    <cellStyle name="Normal 15 3 10" xfId="55439"/>
    <cellStyle name="Normal 15 3 11" xfId="55440"/>
    <cellStyle name="Normal 15 3 2" xfId="8430"/>
    <cellStyle name="Normal 15 3 2 10" xfId="55441"/>
    <cellStyle name="Normal 15 3 2 2" xfId="8431"/>
    <cellStyle name="Normal 15 3 2 2 2" xfId="8432"/>
    <cellStyle name="Normal 15 3 2 2 2 2" xfId="55442"/>
    <cellStyle name="Normal 15 3 2 2 2 3" xfId="55443"/>
    <cellStyle name="Normal 15 3 2 2 3" xfId="55444"/>
    <cellStyle name="Normal 15 3 2 2 3 2" xfId="55445"/>
    <cellStyle name="Normal 15 3 2 2 3 3" xfId="55446"/>
    <cellStyle name="Normal 15 3 2 2 4" xfId="55447"/>
    <cellStyle name="Normal 15 3 2 2 4 2" xfId="55448"/>
    <cellStyle name="Normal 15 3 2 2 5" xfId="55449"/>
    <cellStyle name="Normal 15 3 2 2 6" xfId="55450"/>
    <cellStyle name="Normal 15 3 2 2 7" xfId="55451"/>
    <cellStyle name="Normal 15 3 2 3" xfId="8433"/>
    <cellStyle name="Normal 15 3 2 3 2" xfId="55452"/>
    <cellStyle name="Normal 15 3 2 3 2 2" xfId="55453"/>
    <cellStyle name="Normal 15 3 2 3 2 3" xfId="55454"/>
    <cellStyle name="Normal 15 3 2 3 3" xfId="55455"/>
    <cellStyle name="Normal 15 3 2 3 3 2" xfId="55456"/>
    <cellStyle name="Normal 15 3 2 3 3 3" xfId="55457"/>
    <cellStyle name="Normal 15 3 2 3 4" xfId="55458"/>
    <cellStyle name="Normal 15 3 2 3 4 2" xfId="55459"/>
    <cellStyle name="Normal 15 3 2 3 5" xfId="55460"/>
    <cellStyle name="Normal 15 3 2 3 6" xfId="55461"/>
    <cellStyle name="Normal 15 3 2 3 7" xfId="55462"/>
    <cellStyle name="Normal 15 3 2 4" xfId="55463"/>
    <cellStyle name="Normal 15 3 2 4 2" xfId="55464"/>
    <cellStyle name="Normal 15 3 2 4 2 2" xfId="55465"/>
    <cellStyle name="Normal 15 3 2 4 2 3" xfId="55466"/>
    <cellStyle name="Normal 15 3 2 4 3" xfId="55467"/>
    <cellStyle name="Normal 15 3 2 4 3 2" xfId="55468"/>
    <cellStyle name="Normal 15 3 2 4 4" xfId="55469"/>
    <cellStyle name="Normal 15 3 2 4 5" xfId="55470"/>
    <cellStyle name="Normal 15 3 2 5" xfId="55471"/>
    <cellStyle name="Normal 15 3 2 5 2" xfId="55472"/>
    <cellStyle name="Normal 15 3 2 5 3" xfId="55473"/>
    <cellStyle name="Normal 15 3 2 6" xfId="55474"/>
    <cellStyle name="Normal 15 3 2 6 2" xfId="55475"/>
    <cellStyle name="Normal 15 3 2 6 3" xfId="55476"/>
    <cellStyle name="Normal 15 3 2 7" xfId="55477"/>
    <cellStyle name="Normal 15 3 2 7 2" xfId="55478"/>
    <cellStyle name="Normal 15 3 2 8" xfId="55479"/>
    <cellStyle name="Normal 15 3 2 9" xfId="55480"/>
    <cellStyle name="Normal 15 3 3" xfId="8434"/>
    <cellStyle name="Normal 15 3 3 2" xfId="8435"/>
    <cellStyle name="Normal 15 3 3 2 2" xfId="55481"/>
    <cellStyle name="Normal 15 3 3 2 3" xfId="55482"/>
    <cellStyle name="Normal 15 3 3 3" xfId="55483"/>
    <cellStyle name="Normal 15 3 3 3 2" xfId="55484"/>
    <cellStyle name="Normal 15 3 3 3 3" xfId="55485"/>
    <cellStyle name="Normal 15 3 3 4" xfId="55486"/>
    <cellStyle name="Normal 15 3 3 4 2" xfId="55487"/>
    <cellStyle name="Normal 15 3 3 5" xfId="55488"/>
    <cellStyle name="Normal 15 3 3 6" xfId="55489"/>
    <cellStyle name="Normal 15 3 3 7" xfId="55490"/>
    <cellStyle name="Normal 15 3 4" xfId="8436"/>
    <cellStyle name="Normal 15 3 4 2" xfId="55491"/>
    <cellStyle name="Normal 15 3 4 2 2" xfId="55492"/>
    <cellStyle name="Normal 15 3 4 2 3" xfId="55493"/>
    <cellStyle name="Normal 15 3 4 3" xfId="55494"/>
    <cellStyle name="Normal 15 3 4 3 2" xfId="55495"/>
    <cellStyle name="Normal 15 3 4 3 3" xfId="55496"/>
    <cellStyle name="Normal 15 3 4 4" xfId="55497"/>
    <cellStyle name="Normal 15 3 4 4 2" xfId="55498"/>
    <cellStyle name="Normal 15 3 4 5" xfId="55499"/>
    <cellStyle name="Normal 15 3 4 6" xfId="55500"/>
    <cellStyle name="Normal 15 3 4 7" xfId="55501"/>
    <cellStyle name="Normal 15 3 5" xfId="55502"/>
    <cellStyle name="Normal 15 3 5 2" xfId="55503"/>
    <cellStyle name="Normal 15 3 5 2 2" xfId="55504"/>
    <cellStyle name="Normal 15 3 5 2 3" xfId="55505"/>
    <cellStyle name="Normal 15 3 5 3" xfId="55506"/>
    <cellStyle name="Normal 15 3 5 3 2" xfId="55507"/>
    <cellStyle name="Normal 15 3 5 4" xfId="55508"/>
    <cellStyle name="Normal 15 3 5 5" xfId="55509"/>
    <cellStyle name="Normal 15 3 6" xfId="55510"/>
    <cellStyle name="Normal 15 3 6 2" xfId="55511"/>
    <cellStyle name="Normal 15 3 6 3" xfId="55512"/>
    <cellStyle name="Normal 15 3 7" xfId="55513"/>
    <cellStyle name="Normal 15 3 7 2" xfId="55514"/>
    <cellStyle name="Normal 15 3 7 3" xfId="55515"/>
    <cellStyle name="Normal 15 3 8" xfId="55516"/>
    <cellStyle name="Normal 15 3 8 2" xfId="55517"/>
    <cellStyle name="Normal 15 3 9" xfId="55518"/>
    <cellStyle name="Normal 15 4" xfId="4481"/>
    <cellStyle name="Normal 15 4 10" xfId="55519"/>
    <cellStyle name="Normal 15 4 2" xfId="8437"/>
    <cellStyle name="Normal 15 4 2 2" xfId="8438"/>
    <cellStyle name="Normal 15 4 2 2 2" xfId="55520"/>
    <cellStyle name="Normal 15 4 2 2 3" xfId="55521"/>
    <cellStyle name="Normal 15 4 2 2 4" xfId="55522"/>
    <cellStyle name="Normal 15 4 2 3" xfId="55523"/>
    <cellStyle name="Normal 15 4 2 3 2" xfId="55524"/>
    <cellStyle name="Normal 15 4 2 3 3" xfId="55525"/>
    <cellStyle name="Normal 15 4 2 4" xfId="55526"/>
    <cellStyle name="Normal 15 4 2 4 2" xfId="55527"/>
    <cellStyle name="Normal 15 4 2 5" xfId="55528"/>
    <cellStyle name="Normal 15 4 2 6" xfId="55529"/>
    <cellStyle name="Normal 15 4 2 7" xfId="55530"/>
    <cellStyle name="Normal 15 4 3" xfId="8439"/>
    <cellStyle name="Normal 15 4 3 2" xfId="55531"/>
    <cellStyle name="Normal 15 4 3 2 2" xfId="55532"/>
    <cellStyle name="Normal 15 4 3 2 3" xfId="55533"/>
    <cellStyle name="Normal 15 4 3 3" xfId="55534"/>
    <cellStyle name="Normal 15 4 3 3 2" xfId="55535"/>
    <cellStyle name="Normal 15 4 3 3 3" xfId="55536"/>
    <cellStyle name="Normal 15 4 3 4" xfId="55537"/>
    <cellStyle name="Normal 15 4 3 4 2" xfId="55538"/>
    <cellStyle name="Normal 15 4 3 5" xfId="55539"/>
    <cellStyle name="Normal 15 4 3 6" xfId="55540"/>
    <cellStyle name="Normal 15 4 3 7" xfId="55541"/>
    <cellStyle name="Normal 15 4 4" xfId="55542"/>
    <cellStyle name="Normal 15 4 4 2" xfId="55543"/>
    <cellStyle name="Normal 15 4 4 2 2" xfId="55544"/>
    <cellStyle name="Normal 15 4 4 2 3" xfId="55545"/>
    <cellStyle name="Normal 15 4 4 3" xfId="55546"/>
    <cellStyle name="Normal 15 4 4 3 2" xfId="55547"/>
    <cellStyle name="Normal 15 4 4 4" xfId="55548"/>
    <cellStyle name="Normal 15 4 4 5" xfId="55549"/>
    <cellStyle name="Normal 15 4 5" xfId="55550"/>
    <cellStyle name="Normal 15 4 5 2" xfId="55551"/>
    <cellStyle name="Normal 15 4 5 3" xfId="55552"/>
    <cellStyle name="Normal 15 4 6" xfId="55553"/>
    <cellStyle name="Normal 15 4 6 2" xfId="55554"/>
    <cellStyle name="Normal 15 4 6 3" xfId="55555"/>
    <cellStyle name="Normal 15 4 7" xfId="55556"/>
    <cellStyle name="Normal 15 4 7 2" xfId="55557"/>
    <cellStyle name="Normal 15 4 8" xfId="55558"/>
    <cellStyle name="Normal 15 4 9" xfId="55559"/>
    <cellStyle name="Normal 15 5" xfId="4482"/>
    <cellStyle name="Normal 15 5 10" xfId="55560"/>
    <cellStyle name="Normal 15 5 2" xfId="8440"/>
    <cellStyle name="Normal 15 5 2 2" xfId="55561"/>
    <cellStyle name="Normal 15 5 2 2 2" xfId="55562"/>
    <cellStyle name="Normal 15 5 2 2 3" xfId="55563"/>
    <cellStyle name="Normal 15 5 2 3" xfId="55564"/>
    <cellStyle name="Normal 15 5 2 3 2" xfId="55565"/>
    <cellStyle name="Normal 15 5 2 3 3" xfId="55566"/>
    <cellStyle name="Normal 15 5 2 4" xfId="55567"/>
    <cellStyle name="Normal 15 5 2 4 2" xfId="55568"/>
    <cellStyle name="Normal 15 5 2 5" xfId="55569"/>
    <cellStyle name="Normal 15 5 2 6" xfId="55570"/>
    <cellStyle name="Normal 15 5 2 7" xfId="55571"/>
    <cellStyle name="Normal 15 5 3" xfId="55572"/>
    <cellStyle name="Normal 15 5 3 2" xfId="55573"/>
    <cellStyle name="Normal 15 5 3 2 2" xfId="55574"/>
    <cellStyle name="Normal 15 5 3 2 3" xfId="55575"/>
    <cellStyle name="Normal 15 5 3 3" xfId="55576"/>
    <cellStyle name="Normal 15 5 3 3 2" xfId="55577"/>
    <cellStyle name="Normal 15 5 3 3 3" xfId="55578"/>
    <cellStyle name="Normal 15 5 3 4" xfId="55579"/>
    <cellStyle name="Normal 15 5 3 4 2" xfId="55580"/>
    <cellStyle name="Normal 15 5 3 5" xfId="55581"/>
    <cellStyle name="Normal 15 5 3 6" xfId="55582"/>
    <cellStyle name="Normal 15 5 4" xfId="55583"/>
    <cellStyle name="Normal 15 5 4 2" xfId="55584"/>
    <cellStyle name="Normal 15 5 4 2 2" xfId="55585"/>
    <cellStyle name="Normal 15 5 4 2 3" xfId="55586"/>
    <cellStyle name="Normal 15 5 4 3" xfId="55587"/>
    <cellStyle name="Normal 15 5 4 3 2" xfId="55588"/>
    <cellStyle name="Normal 15 5 4 4" xfId="55589"/>
    <cellStyle name="Normal 15 5 4 5" xfId="55590"/>
    <cellStyle name="Normal 15 5 5" xfId="55591"/>
    <cellStyle name="Normal 15 5 5 2" xfId="55592"/>
    <cellStyle name="Normal 15 5 5 3" xfId="55593"/>
    <cellStyle name="Normal 15 5 6" xfId="55594"/>
    <cellStyle name="Normal 15 5 6 2" xfId="55595"/>
    <cellStyle name="Normal 15 5 6 3" xfId="55596"/>
    <cellStyle name="Normal 15 5 7" xfId="55597"/>
    <cellStyle name="Normal 15 5 7 2" xfId="55598"/>
    <cellStyle name="Normal 15 5 8" xfId="55599"/>
    <cellStyle name="Normal 15 5 9" xfId="55600"/>
    <cellStyle name="Normal 15 6" xfId="8441"/>
    <cellStyle name="Normal 15 6 2" xfId="8442"/>
    <cellStyle name="Normal 15 6 2 2" xfId="55601"/>
    <cellStyle name="Normal 15 6 2 3" xfId="55602"/>
    <cellStyle name="Normal 15 6 2 4" xfId="55603"/>
    <cellStyle name="Normal 15 6 3" xfId="55604"/>
    <cellStyle name="Normal 15 6 3 2" xfId="55605"/>
    <cellStyle name="Normal 15 6 3 3" xfId="55606"/>
    <cellStyle name="Normal 15 6 4" xfId="55607"/>
    <cellStyle name="Normal 15 6 4 2" xfId="55608"/>
    <cellStyle name="Normal 15 6 5" xfId="55609"/>
    <cellStyle name="Normal 15 6 6" xfId="55610"/>
    <cellStyle name="Normal 15 6 7" xfId="55611"/>
    <cellStyle name="Normal 15 7" xfId="8443"/>
    <cellStyle name="Normal 15 7 2" xfId="55612"/>
    <cellStyle name="Normal 15 7 2 2" xfId="55613"/>
    <cellStyle name="Normal 15 7 2 3" xfId="55614"/>
    <cellStyle name="Normal 15 7 3" xfId="55615"/>
    <cellStyle name="Normal 15 7 3 2" xfId="55616"/>
    <cellStyle name="Normal 15 7 3 3" xfId="55617"/>
    <cellStyle name="Normal 15 7 4" xfId="55618"/>
    <cellStyle name="Normal 15 7 4 2" xfId="55619"/>
    <cellStyle name="Normal 15 7 5" xfId="55620"/>
    <cellStyle name="Normal 15 7 6" xfId="55621"/>
    <cellStyle name="Normal 15 7 7" xfId="55622"/>
    <cellStyle name="Normal 15 8" xfId="8779"/>
    <cellStyle name="Normal 15 8 2" xfId="55623"/>
    <cellStyle name="Normal 15 8 2 2" xfId="55624"/>
    <cellStyle name="Normal 15 8 2 3" xfId="55625"/>
    <cellStyle name="Normal 15 8 3" xfId="55626"/>
    <cellStyle name="Normal 15 8 3 2" xfId="55627"/>
    <cellStyle name="Normal 15 8 4" xfId="55628"/>
    <cellStyle name="Normal 15 8 5" xfId="55629"/>
    <cellStyle name="Normal 15 9" xfId="55630"/>
    <cellStyle name="Normal 15 9 2" xfId="55631"/>
    <cellStyle name="Normal 15 9 3" xfId="55632"/>
    <cellStyle name="Normal 16" xfId="4483"/>
    <cellStyle name="Normal 16 2" xfId="4484"/>
    <cellStyle name="Normal 16 2 2" xfId="8799"/>
    <cellStyle name="Normal 16 2 2 2" xfId="9257"/>
    <cellStyle name="Normal 16 2 3" xfId="9258"/>
    <cellStyle name="Normal 16 2 4" xfId="9259"/>
    <cellStyle name="Normal 16 3" xfId="8800"/>
    <cellStyle name="Normal 16 3 2" xfId="9260"/>
    <cellStyle name="Normal 16 4" xfId="9261"/>
    <cellStyle name="Normal 16 4 2" xfId="55633"/>
    <cellStyle name="Normal 16 5" xfId="9262"/>
    <cellStyle name="Normal 16 6" xfId="55634"/>
    <cellStyle name="Normal 16 7" xfId="57950"/>
    <cellStyle name="Normal 17" xfId="4485"/>
    <cellStyle name="Normal 17 10" xfId="55635"/>
    <cellStyle name="Normal 17 10 2" xfId="55636"/>
    <cellStyle name="Normal 17 11" xfId="55637"/>
    <cellStyle name="Normal 17 12" xfId="55638"/>
    <cellStyle name="Normal 17 13" xfId="55639"/>
    <cellStyle name="Normal 17 2" xfId="4486"/>
    <cellStyle name="Normal 17 2 10" xfId="55640"/>
    <cellStyle name="Normal 17 2 11" xfId="55641"/>
    <cellStyle name="Normal 17 2 2" xfId="4487"/>
    <cellStyle name="Normal 17 2 2 10" xfId="55642"/>
    <cellStyle name="Normal 17 2 2 2" xfId="8444"/>
    <cellStyle name="Normal 17 2 2 2 2" xfId="8445"/>
    <cellStyle name="Normal 17 2 2 2 2 2" xfId="55643"/>
    <cellStyle name="Normal 17 2 2 2 2 3" xfId="55644"/>
    <cellStyle name="Normal 17 2 2 2 3" xfId="55645"/>
    <cellStyle name="Normal 17 2 2 2 3 2" xfId="55646"/>
    <cellStyle name="Normal 17 2 2 2 3 3" xfId="55647"/>
    <cellStyle name="Normal 17 2 2 2 4" xfId="55648"/>
    <cellStyle name="Normal 17 2 2 2 4 2" xfId="55649"/>
    <cellStyle name="Normal 17 2 2 2 5" xfId="55650"/>
    <cellStyle name="Normal 17 2 2 2 6" xfId="55651"/>
    <cellStyle name="Normal 17 2 2 2 7" xfId="55652"/>
    <cellStyle name="Normal 17 2 2 3" xfId="8446"/>
    <cellStyle name="Normal 17 2 2 3 2" xfId="55653"/>
    <cellStyle name="Normal 17 2 2 3 2 2" xfId="55654"/>
    <cellStyle name="Normal 17 2 2 3 2 3" xfId="55655"/>
    <cellStyle name="Normal 17 2 2 3 3" xfId="55656"/>
    <cellStyle name="Normal 17 2 2 3 3 2" xfId="55657"/>
    <cellStyle name="Normal 17 2 2 3 3 3" xfId="55658"/>
    <cellStyle name="Normal 17 2 2 3 4" xfId="55659"/>
    <cellStyle name="Normal 17 2 2 3 4 2" xfId="55660"/>
    <cellStyle name="Normal 17 2 2 3 5" xfId="55661"/>
    <cellStyle name="Normal 17 2 2 3 6" xfId="55662"/>
    <cellStyle name="Normal 17 2 2 3 7" xfId="55663"/>
    <cellStyle name="Normal 17 2 2 4" xfId="55664"/>
    <cellStyle name="Normal 17 2 2 4 2" xfId="55665"/>
    <cellStyle name="Normal 17 2 2 4 2 2" xfId="55666"/>
    <cellStyle name="Normal 17 2 2 4 2 3" xfId="55667"/>
    <cellStyle name="Normal 17 2 2 4 3" xfId="55668"/>
    <cellStyle name="Normal 17 2 2 4 3 2" xfId="55669"/>
    <cellStyle name="Normal 17 2 2 4 4" xfId="55670"/>
    <cellStyle name="Normal 17 2 2 4 5" xfId="55671"/>
    <cellStyle name="Normal 17 2 2 5" xfId="55672"/>
    <cellStyle name="Normal 17 2 2 5 2" xfId="55673"/>
    <cellStyle name="Normal 17 2 2 5 3" xfId="55674"/>
    <cellStyle name="Normal 17 2 2 6" xfId="55675"/>
    <cellStyle name="Normal 17 2 2 6 2" xfId="55676"/>
    <cellStyle name="Normal 17 2 2 6 3" xfId="55677"/>
    <cellStyle name="Normal 17 2 2 7" xfId="55678"/>
    <cellStyle name="Normal 17 2 2 7 2" xfId="55679"/>
    <cellStyle name="Normal 17 2 2 8" xfId="55680"/>
    <cellStyle name="Normal 17 2 2 9" xfId="55681"/>
    <cellStyle name="Normal 17 2 3" xfId="8447"/>
    <cellStyle name="Normal 17 2 3 2" xfId="8448"/>
    <cellStyle name="Normal 17 2 3 2 2" xfId="55682"/>
    <cellStyle name="Normal 17 2 3 2 3" xfId="55683"/>
    <cellStyle name="Normal 17 2 3 3" xfId="55684"/>
    <cellStyle name="Normal 17 2 3 3 2" xfId="55685"/>
    <cellStyle name="Normal 17 2 3 3 3" xfId="55686"/>
    <cellStyle name="Normal 17 2 3 4" xfId="55687"/>
    <cellStyle name="Normal 17 2 3 4 2" xfId="55688"/>
    <cellStyle name="Normal 17 2 3 5" xfId="55689"/>
    <cellStyle name="Normal 17 2 3 6" xfId="55690"/>
    <cellStyle name="Normal 17 2 3 7" xfId="55691"/>
    <cellStyle name="Normal 17 2 4" xfId="8449"/>
    <cellStyle name="Normal 17 2 4 2" xfId="55692"/>
    <cellStyle name="Normal 17 2 4 2 2" xfId="55693"/>
    <cellStyle name="Normal 17 2 4 2 3" xfId="55694"/>
    <cellStyle name="Normal 17 2 4 3" xfId="55695"/>
    <cellStyle name="Normal 17 2 4 3 2" xfId="55696"/>
    <cellStyle name="Normal 17 2 4 3 3" xfId="55697"/>
    <cellStyle name="Normal 17 2 4 4" xfId="55698"/>
    <cellStyle name="Normal 17 2 4 4 2" xfId="55699"/>
    <cellStyle name="Normal 17 2 4 5" xfId="55700"/>
    <cellStyle name="Normal 17 2 4 6" xfId="55701"/>
    <cellStyle name="Normal 17 2 4 7" xfId="55702"/>
    <cellStyle name="Normal 17 2 5" xfId="55703"/>
    <cellStyle name="Normal 17 2 5 2" xfId="55704"/>
    <cellStyle name="Normal 17 2 5 2 2" xfId="55705"/>
    <cellStyle name="Normal 17 2 5 2 3" xfId="55706"/>
    <cellStyle name="Normal 17 2 5 3" xfId="55707"/>
    <cellStyle name="Normal 17 2 5 3 2" xfId="55708"/>
    <cellStyle name="Normal 17 2 5 4" xfId="55709"/>
    <cellStyle name="Normal 17 2 5 5" xfId="55710"/>
    <cellStyle name="Normal 17 2 6" xfId="55711"/>
    <cellStyle name="Normal 17 2 6 2" xfId="55712"/>
    <cellStyle name="Normal 17 2 6 3" xfId="55713"/>
    <cellStyle name="Normal 17 2 7" xfId="55714"/>
    <cellStyle name="Normal 17 2 7 2" xfId="55715"/>
    <cellStyle name="Normal 17 2 7 3" xfId="55716"/>
    <cellStyle name="Normal 17 2 8" xfId="55717"/>
    <cellStyle name="Normal 17 2 8 2" xfId="55718"/>
    <cellStyle name="Normal 17 2 9" xfId="55719"/>
    <cellStyle name="Normal 17 3" xfId="4488"/>
    <cellStyle name="Normal 17 3 10" xfId="55720"/>
    <cellStyle name="Normal 17 3 2" xfId="8450"/>
    <cellStyle name="Normal 17 3 2 2" xfId="8451"/>
    <cellStyle name="Normal 17 3 2 2 2" xfId="55721"/>
    <cellStyle name="Normal 17 3 2 2 3" xfId="55722"/>
    <cellStyle name="Normal 17 3 2 2 4" xfId="55723"/>
    <cellStyle name="Normal 17 3 2 3" xfId="55724"/>
    <cellStyle name="Normal 17 3 2 3 2" xfId="55725"/>
    <cellStyle name="Normal 17 3 2 3 3" xfId="55726"/>
    <cellStyle name="Normal 17 3 2 4" xfId="55727"/>
    <cellStyle name="Normal 17 3 2 4 2" xfId="55728"/>
    <cellStyle name="Normal 17 3 2 5" xfId="55729"/>
    <cellStyle name="Normal 17 3 2 6" xfId="55730"/>
    <cellStyle name="Normal 17 3 2 7" xfId="55731"/>
    <cellStyle name="Normal 17 3 3" xfId="8452"/>
    <cellStyle name="Normal 17 3 3 2" xfId="55732"/>
    <cellStyle name="Normal 17 3 3 2 2" xfId="55733"/>
    <cellStyle name="Normal 17 3 3 2 3" xfId="55734"/>
    <cellStyle name="Normal 17 3 3 3" xfId="55735"/>
    <cellStyle name="Normal 17 3 3 3 2" xfId="55736"/>
    <cellStyle name="Normal 17 3 3 3 3" xfId="55737"/>
    <cellStyle name="Normal 17 3 3 4" xfId="55738"/>
    <cellStyle name="Normal 17 3 3 4 2" xfId="55739"/>
    <cellStyle name="Normal 17 3 3 5" xfId="55740"/>
    <cellStyle name="Normal 17 3 3 6" xfId="55741"/>
    <cellStyle name="Normal 17 3 3 7" xfId="55742"/>
    <cellStyle name="Normal 17 3 4" xfId="55743"/>
    <cellStyle name="Normal 17 3 4 2" xfId="55744"/>
    <cellStyle name="Normal 17 3 4 2 2" xfId="55745"/>
    <cellStyle name="Normal 17 3 4 2 3" xfId="55746"/>
    <cellStyle name="Normal 17 3 4 3" xfId="55747"/>
    <cellStyle name="Normal 17 3 4 3 2" xfId="55748"/>
    <cellStyle name="Normal 17 3 4 4" xfId="55749"/>
    <cellStyle name="Normal 17 3 4 5" xfId="55750"/>
    <cellStyle name="Normal 17 3 5" xfId="55751"/>
    <cellStyle name="Normal 17 3 5 2" xfId="55752"/>
    <cellStyle name="Normal 17 3 5 3" xfId="55753"/>
    <cellStyle name="Normal 17 3 6" xfId="55754"/>
    <cellStyle name="Normal 17 3 6 2" xfId="55755"/>
    <cellStyle name="Normal 17 3 6 3" xfId="55756"/>
    <cellStyle name="Normal 17 3 7" xfId="55757"/>
    <cellStyle name="Normal 17 3 7 2" xfId="55758"/>
    <cellStyle name="Normal 17 3 8" xfId="55759"/>
    <cellStyle name="Normal 17 3 9" xfId="55760"/>
    <cellStyle name="Normal 17 4" xfId="8453"/>
    <cellStyle name="Normal 17 4 10" xfId="55761"/>
    <cellStyle name="Normal 17 4 2" xfId="8454"/>
    <cellStyle name="Normal 17 4 2 2" xfId="55762"/>
    <cellStyle name="Normal 17 4 2 2 2" xfId="55763"/>
    <cellStyle name="Normal 17 4 2 2 3" xfId="55764"/>
    <cellStyle name="Normal 17 4 2 3" xfId="55765"/>
    <cellStyle name="Normal 17 4 2 3 2" xfId="55766"/>
    <cellStyle name="Normal 17 4 2 3 3" xfId="55767"/>
    <cellStyle name="Normal 17 4 2 4" xfId="55768"/>
    <cellStyle name="Normal 17 4 2 4 2" xfId="55769"/>
    <cellStyle name="Normal 17 4 2 5" xfId="55770"/>
    <cellStyle name="Normal 17 4 2 6" xfId="55771"/>
    <cellStyle name="Normal 17 4 2 7" xfId="55772"/>
    <cellStyle name="Normal 17 4 3" xfId="55773"/>
    <cellStyle name="Normal 17 4 3 2" xfId="55774"/>
    <cellStyle name="Normal 17 4 3 2 2" xfId="55775"/>
    <cellStyle name="Normal 17 4 3 2 3" xfId="55776"/>
    <cellStyle name="Normal 17 4 3 3" xfId="55777"/>
    <cellStyle name="Normal 17 4 3 3 2" xfId="55778"/>
    <cellStyle name="Normal 17 4 3 3 3" xfId="55779"/>
    <cellStyle name="Normal 17 4 3 4" xfId="55780"/>
    <cellStyle name="Normal 17 4 3 4 2" xfId="55781"/>
    <cellStyle name="Normal 17 4 3 5" xfId="55782"/>
    <cellStyle name="Normal 17 4 3 6" xfId="55783"/>
    <cellStyle name="Normal 17 4 4" xfId="55784"/>
    <cellStyle name="Normal 17 4 4 2" xfId="55785"/>
    <cellStyle name="Normal 17 4 4 2 2" xfId="55786"/>
    <cellStyle name="Normal 17 4 4 2 3" xfId="55787"/>
    <cellStyle name="Normal 17 4 4 3" xfId="55788"/>
    <cellStyle name="Normal 17 4 4 3 2" xfId="55789"/>
    <cellStyle name="Normal 17 4 4 4" xfId="55790"/>
    <cellStyle name="Normal 17 4 4 5" xfId="55791"/>
    <cellStyle name="Normal 17 4 5" xfId="55792"/>
    <cellStyle name="Normal 17 4 5 2" xfId="55793"/>
    <cellStyle name="Normal 17 4 5 3" xfId="55794"/>
    <cellStyle name="Normal 17 4 6" xfId="55795"/>
    <cellStyle name="Normal 17 4 6 2" xfId="55796"/>
    <cellStyle name="Normal 17 4 6 3" xfId="55797"/>
    <cellStyle name="Normal 17 4 7" xfId="55798"/>
    <cellStyle name="Normal 17 4 7 2" xfId="55799"/>
    <cellStyle name="Normal 17 4 8" xfId="55800"/>
    <cellStyle name="Normal 17 4 9" xfId="55801"/>
    <cellStyle name="Normal 17 5" xfId="8455"/>
    <cellStyle name="Normal 17 5 2" xfId="8456"/>
    <cellStyle name="Normal 17 5 2 2" xfId="55802"/>
    <cellStyle name="Normal 17 5 2 3" xfId="55803"/>
    <cellStyle name="Normal 17 5 2 4" xfId="55804"/>
    <cellStyle name="Normal 17 5 3" xfId="55805"/>
    <cellStyle name="Normal 17 5 3 2" xfId="55806"/>
    <cellStyle name="Normal 17 5 3 3" xfId="55807"/>
    <cellStyle name="Normal 17 5 4" xfId="55808"/>
    <cellStyle name="Normal 17 5 4 2" xfId="55809"/>
    <cellStyle name="Normal 17 5 5" xfId="55810"/>
    <cellStyle name="Normal 17 5 6" xfId="55811"/>
    <cellStyle name="Normal 17 5 7" xfId="55812"/>
    <cellStyle name="Normal 17 6" xfId="8457"/>
    <cellStyle name="Normal 17 6 2" xfId="55813"/>
    <cellStyle name="Normal 17 6 2 2" xfId="55814"/>
    <cellStyle name="Normal 17 6 2 3" xfId="55815"/>
    <cellStyle name="Normal 17 6 3" xfId="55816"/>
    <cellStyle name="Normal 17 6 3 2" xfId="55817"/>
    <cellStyle name="Normal 17 6 3 3" xfId="55818"/>
    <cellStyle name="Normal 17 6 4" xfId="55819"/>
    <cellStyle name="Normal 17 6 4 2" xfId="55820"/>
    <cellStyle name="Normal 17 6 5" xfId="55821"/>
    <cellStyle name="Normal 17 6 6" xfId="55822"/>
    <cellStyle name="Normal 17 6 7" xfId="55823"/>
    <cellStyle name="Normal 17 7" xfId="55824"/>
    <cellStyle name="Normal 17 7 2" xfId="55825"/>
    <cellStyle name="Normal 17 7 2 2" xfId="55826"/>
    <cellStyle name="Normal 17 7 2 3" xfId="55827"/>
    <cellStyle name="Normal 17 7 3" xfId="55828"/>
    <cellStyle name="Normal 17 7 3 2" xfId="55829"/>
    <cellStyle name="Normal 17 7 4" xfId="55830"/>
    <cellStyle name="Normal 17 7 5" xfId="55831"/>
    <cellStyle name="Normal 17 8" xfId="55832"/>
    <cellStyle name="Normal 17 8 2" xfId="55833"/>
    <cellStyle name="Normal 17 8 3" xfId="55834"/>
    <cellStyle name="Normal 17 9" xfId="55835"/>
    <cellStyle name="Normal 17 9 2" xfId="55836"/>
    <cellStyle name="Normal 17 9 3" xfId="55837"/>
    <cellStyle name="Normal 18" xfId="4489"/>
    <cellStyle name="Normal 18 2" xfId="4490"/>
    <cellStyle name="Normal 18 2 2" xfId="4491"/>
    <cellStyle name="Normal 18 2 2 2" xfId="55838"/>
    <cellStyle name="Normal 18 2 2 3" xfId="59598"/>
    <cellStyle name="Normal 18 2 3" xfId="55839"/>
    <cellStyle name="Normal 18 2 4" xfId="59599"/>
    <cellStyle name="Normal 18 2 5" xfId="59600"/>
    <cellStyle name="Normal 18 2 6" xfId="59601"/>
    <cellStyle name="Normal 18 2 7" xfId="59602"/>
    <cellStyle name="Normal 18 3" xfId="4492"/>
    <cellStyle name="Normal 18 3 2" xfId="55840"/>
    <cellStyle name="Normal 18 3 2 2" xfId="59603"/>
    <cellStyle name="Normal 18 3 3" xfId="59604"/>
    <cellStyle name="Normal 18 3 4" xfId="59605"/>
    <cellStyle name="Normal 18 3 5" xfId="59606"/>
    <cellStyle name="Normal 18 3 6" xfId="59607"/>
    <cellStyle name="Normal 18 4" xfId="9263"/>
    <cellStyle name="Normal 18 4 2" xfId="55841"/>
    <cellStyle name="Normal 18 5" xfId="55842"/>
    <cellStyle name="Normal 18 5 2" xfId="55843"/>
    <cellStyle name="Normal 18 6" xfId="55844"/>
    <cellStyle name="Normal 18 7" xfId="55845"/>
    <cellStyle name="Normal 18 8" xfId="55846"/>
    <cellStyle name="Normal 19" xfId="4493"/>
    <cellStyle name="Normal 19 2" xfId="4494"/>
    <cellStyle name="Normal 19 2 2" xfId="8801"/>
    <cellStyle name="Normal 19 2 2 2" xfId="9264"/>
    <cellStyle name="Normal 19 2 3" xfId="9265"/>
    <cellStyle name="Normal 19 2 4" xfId="9266"/>
    <cellStyle name="Normal 19 3" xfId="8802"/>
    <cellStyle name="Normal 19 3 2" xfId="9267"/>
    <cellStyle name="Normal 19 4" xfId="9268"/>
    <cellStyle name="Normal 19 4 2" xfId="55847"/>
    <cellStyle name="Normal 19 5" xfId="9269"/>
    <cellStyle name="Normal 19 6" xfId="55848"/>
    <cellStyle name="Normal 2" xfId="4495"/>
    <cellStyle name="Normal 2 10" xfId="8458"/>
    <cellStyle name="Normal 2 10 2" xfId="8459"/>
    <cellStyle name="Normal 2 10 2 2" xfId="59608"/>
    <cellStyle name="Normal 2 10 3" xfId="57810"/>
    <cellStyle name="Normal 2 11" xfId="8460"/>
    <cellStyle name="Normal 2 11 2" xfId="8461"/>
    <cellStyle name="Normal 2 11 2 2" xfId="59609"/>
    <cellStyle name="Normal 2 11 3" xfId="59610"/>
    <cellStyle name="Normal 2 12" xfId="8462"/>
    <cellStyle name="Normal 2 12 2" xfId="59611"/>
    <cellStyle name="Normal 2 13" xfId="55849"/>
    <cellStyle name="Normal 2 14" xfId="55850"/>
    <cellStyle name="Normal 2 15" xfId="55851"/>
    <cellStyle name="Normal 2 16" xfId="55852"/>
    <cellStyle name="Normal 2 17" xfId="55853"/>
    <cellStyle name="Normal 2 18" xfId="59612"/>
    <cellStyle name="Normal 2 18 2" xfId="59613"/>
    <cellStyle name="Normal 2 18 2 2" xfId="59614"/>
    <cellStyle name="Normal 2 18 3" xfId="59615"/>
    <cellStyle name="Normal 2 18 4" xfId="59616"/>
    <cellStyle name="Normal 2 19" xfId="59617"/>
    <cellStyle name="Normal 2 19 2" xfId="59618"/>
    <cellStyle name="Normal 2 2" xfId="4496"/>
    <cellStyle name="Normal 2 2 2" xfId="4497"/>
    <cellStyle name="Normal 2 2 2 2" xfId="4498"/>
    <cellStyle name="Normal 2 2 2 2 2" xfId="55854"/>
    <cellStyle name="Normal 2 2 2 2 3" xfId="55855"/>
    <cellStyle name="Normal 2 2 2 3" xfId="8463"/>
    <cellStyle name="Normal 2 2 2 3 2" xfId="55856"/>
    <cellStyle name="Normal 2 2 2 3 3" xfId="55857"/>
    <cellStyle name="Normal 2 2 2 4" xfId="8464"/>
    <cellStyle name="Normal 2 2 2 4 2" xfId="55858"/>
    <cellStyle name="Normal 2 2 2 5" xfId="55859"/>
    <cellStyle name="Normal 2 2 2 6" xfId="57951"/>
    <cellStyle name="Normal 2 2 3" xfId="4499"/>
    <cellStyle name="Normal 2 2 3 2" xfId="55860"/>
    <cellStyle name="Normal 2 2 3 3" xfId="55861"/>
    <cellStyle name="Normal 2 2 3 4" xfId="57952"/>
    <cellStyle name="Normal 2 2 4" xfId="4500"/>
    <cellStyle name="Normal 2 2 4 2" xfId="4501"/>
    <cellStyle name="Normal 2 2 4 2 2" xfId="4502"/>
    <cellStyle name="Normal 2 2 4 2 2 2" xfId="59619"/>
    <cellStyle name="Normal 2 2 4 2 2 2 2" xfId="59620"/>
    <cellStyle name="Normal 2 2 4 2 2 3" xfId="59621"/>
    <cellStyle name="Normal 2 2 4 2 2 4" xfId="59622"/>
    <cellStyle name="Normal 2 2 4 2 3" xfId="59623"/>
    <cellStyle name="Normal 2 2 4 2 3 2" xfId="59624"/>
    <cellStyle name="Normal 2 2 4 2 4" xfId="59625"/>
    <cellStyle name="Normal 2 2 4 2 5" xfId="59626"/>
    <cellStyle name="Normal 2 2 4 3" xfId="4503"/>
    <cellStyle name="Normal 2 2 4 3 2" xfId="59627"/>
    <cellStyle name="Normal 2 2 4 3 2 2" xfId="59628"/>
    <cellStyle name="Normal 2 2 4 3 3" xfId="59629"/>
    <cellStyle name="Normal 2 2 4 3 4" xfId="59630"/>
    <cellStyle name="Normal 2 2 4 4" xfId="59631"/>
    <cellStyle name="Normal 2 2 4 4 2" xfId="59632"/>
    <cellStyle name="Normal 2 2 4 5" xfId="59633"/>
    <cellStyle name="Normal 2 2 4 5 2" xfId="59634"/>
    <cellStyle name="Normal 2 2 4 6" xfId="59635"/>
    <cellStyle name="Normal 2 2 4 7" xfId="59636"/>
    <cellStyle name="Normal 2 2 5" xfId="4504"/>
    <cellStyle name="Normal 2 2 5 2" xfId="59637"/>
    <cellStyle name="Normal 2 2 5 2 2" xfId="59638"/>
    <cellStyle name="Normal 2 2 5 2 3" xfId="59639"/>
    <cellStyle name="Normal 2 2 5 3" xfId="59640"/>
    <cellStyle name="Normal 2 2 5 4" xfId="59641"/>
    <cellStyle name="Normal 2 2 5 5" xfId="59642"/>
    <cellStyle name="Normal 2 2 5 6" xfId="59643"/>
    <cellStyle name="Normal 2 2 6" xfId="9270"/>
    <cellStyle name="Normal 2 2 6 2" xfId="59644"/>
    <cellStyle name="Normal 2 2 6 2 2" xfId="59645"/>
    <cellStyle name="Normal 2 2 6 3" xfId="59646"/>
    <cellStyle name="Normal 2 2 6 4" xfId="59647"/>
    <cellStyle name="Normal 2 2 6 5" xfId="59648"/>
    <cellStyle name="Normal 2 2 7" xfId="55862"/>
    <cellStyle name="Normal 2 2 8" xfId="59649"/>
    <cellStyle name="Normal 2 2 8 2" xfId="59650"/>
    <cellStyle name="Normal 2 2 8 3" xfId="59651"/>
    <cellStyle name="Normal 2 20" xfId="59652"/>
    <cellStyle name="Normal 2 20 2" xfId="59653"/>
    <cellStyle name="Normal 2 20 3" xfId="59654"/>
    <cellStyle name="Normal 2 21" xfId="59655"/>
    <cellStyle name="Normal 2 21 2" xfId="59656"/>
    <cellStyle name="Normal 2 22" xfId="59657"/>
    <cellStyle name="Normal 2 3" xfId="4505"/>
    <cellStyle name="Normal 2 3 2" xfId="4506"/>
    <cellStyle name="Normal 2 3 2 2" xfId="55863"/>
    <cellStyle name="Normal 2 3 2 3" xfId="55864"/>
    <cellStyle name="Normal 2 3 2 4" xfId="55865"/>
    <cellStyle name="Normal 2 3 2 5" xfId="57953"/>
    <cellStyle name="Normal 2 3 3" xfId="55866"/>
    <cellStyle name="Normal 2 3 3 2" xfId="55867"/>
    <cellStyle name="Normal 2 3 3 3" xfId="55868"/>
    <cellStyle name="Normal 2 3 4" xfId="55869"/>
    <cellStyle name="Normal 2 3 4 2" xfId="59658"/>
    <cellStyle name="Normal 2 3 4 2 2" xfId="59659"/>
    <cellStyle name="Normal 2 3 4 3" xfId="59660"/>
    <cellStyle name="Normal 2 3 4 4" xfId="59661"/>
    <cellStyle name="Normal 2 3 4 5" xfId="59662"/>
    <cellStyle name="Normal 2 3 5" xfId="55870"/>
    <cellStyle name="Normal 2 3 5 2" xfId="55871"/>
    <cellStyle name="Normal 2 3 5 2 2" xfId="59663"/>
    <cellStyle name="Normal 2 3 5 3" xfId="59664"/>
    <cellStyle name="Normal 2 3 5 4" xfId="59665"/>
    <cellStyle name="Normal 2 3 5 5" xfId="59666"/>
    <cellStyle name="Normal 2 3 6" xfId="55872"/>
    <cellStyle name="Normal 2 3 6 2" xfId="59667"/>
    <cellStyle name="Normal 2 3 7" xfId="57954"/>
    <cellStyle name="Normal 2 4" xfId="4507"/>
    <cellStyle name="Normal 2 4 2" xfId="8465"/>
    <cellStyle name="Normal 2 4 2 2" xfId="55873"/>
    <cellStyle name="Normal 2 4 2 2 2" xfId="55874"/>
    <cellStyle name="Normal 2 4 2 3" xfId="55875"/>
    <cellStyle name="Normal 2 4 2 3 2" xfId="55876"/>
    <cellStyle name="Normal 2 4 2 4" xfId="55877"/>
    <cellStyle name="Normal 2 4 2 5" xfId="55878"/>
    <cellStyle name="Normal 2 4 2 6" xfId="57955"/>
    <cellStyle name="Normal 2 4 3" xfId="8466"/>
    <cellStyle name="Normal 2 4 3 2" xfId="55879"/>
    <cellStyle name="Normal 2 4 3 2 2" xfId="55880"/>
    <cellStyle name="Normal 2 4 3 3" xfId="55881"/>
    <cellStyle name="Normal 2 4 3 3 2" xfId="55882"/>
    <cellStyle name="Normal 2 4 3 4" xfId="55883"/>
    <cellStyle name="Normal 2 4 3 5" xfId="55884"/>
    <cellStyle name="Normal 2 4 3 6" xfId="57956"/>
    <cellStyle name="Normal 2 4 4" xfId="8467"/>
    <cellStyle name="Normal 2 4 4 2" xfId="55885"/>
    <cellStyle name="Normal 2 4 4 2 2" xfId="55886"/>
    <cellStyle name="Normal 2 4 4 3" xfId="55887"/>
    <cellStyle name="Normal 2 4 4 4" xfId="55888"/>
    <cellStyle name="Normal 2 4 4 5" xfId="57957"/>
    <cellStyle name="Normal 2 4 5" xfId="55889"/>
    <cellStyle name="Normal 2 4 5 2" xfId="55890"/>
    <cellStyle name="Normal 2 4 6" xfId="55891"/>
    <cellStyle name="Normal 2 4 7" xfId="55892"/>
    <cellStyle name="Normal 2 4 8" xfId="55893"/>
    <cellStyle name="Normal 2 4 9" xfId="57958"/>
    <cellStyle name="Normal 2 41" xfId="8673"/>
    <cellStyle name="Normal 2 43" xfId="8674"/>
    <cellStyle name="Normal 2 5" xfId="4508"/>
    <cellStyle name="Normal 2 5 2" xfId="4509"/>
    <cellStyle name="Normal 2 5 2 2" xfId="4510"/>
    <cellStyle name="Normal 2 5 2 2 2" xfId="59668"/>
    <cellStyle name="Normal 2 5 2 2 2 2" xfId="59669"/>
    <cellStyle name="Normal 2 5 2 2 3" xfId="59670"/>
    <cellStyle name="Normal 2 5 2 2 4" xfId="59671"/>
    <cellStyle name="Normal 2 5 2 3" xfId="4511"/>
    <cellStyle name="Normal 2 5 2 3 2" xfId="59672"/>
    <cellStyle name="Normal 2 5 2 3 2 2" xfId="59673"/>
    <cellStyle name="Normal 2 5 2 3 3" xfId="59674"/>
    <cellStyle name="Normal 2 5 2 3 4" xfId="59675"/>
    <cellStyle name="Normal 2 5 2 4" xfId="59676"/>
    <cellStyle name="Normal 2 5 2 4 2" xfId="59677"/>
    <cellStyle name="Normal 2 5 2 5" xfId="59678"/>
    <cellStyle name="Normal 2 5 2 6" xfId="59679"/>
    <cellStyle name="Normal 2 5 2 7" xfId="59680"/>
    <cellStyle name="Normal 2 5 3" xfId="4512"/>
    <cellStyle name="Normal 2 5 3 2" xfId="55894"/>
    <cellStyle name="Normal 2 5 3 2 2" xfId="59681"/>
    <cellStyle name="Normal 2 5 3 3" xfId="59682"/>
    <cellStyle name="Normal 2 5 3 4" xfId="59683"/>
    <cellStyle name="Normal 2 5 4" xfId="4513"/>
    <cellStyle name="Normal 2 5 4 2" xfId="59684"/>
    <cellStyle name="Normal 2 5 4 2 2" xfId="59685"/>
    <cellStyle name="Normal 2 5 4 3" xfId="59686"/>
    <cellStyle name="Normal 2 5 4 4" xfId="59687"/>
    <cellStyle name="Normal 2 5 5" xfId="9271"/>
    <cellStyle name="Normal 2 5 6" xfId="57959"/>
    <cellStyle name="Normal 2 6" xfId="4514"/>
    <cellStyle name="Normal 2 6 2" xfId="8803"/>
    <cellStyle name="Normal 2 6 2 2" xfId="9272"/>
    <cellStyle name="Normal 2 6 3" xfId="9273"/>
    <cellStyle name="Normal 2 6 3 2" xfId="55895"/>
    <cellStyle name="Normal 2 6 4" xfId="9274"/>
    <cellStyle name="Normal 2 6 4 2" xfId="55896"/>
    <cellStyle name="Normal 2 6 5" xfId="55897"/>
    <cellStyle name="Normal 2 6 5 2" xfId="55898"/>
    <cellStyle name="Normal 2 6 6" xfId="55899"/>
    <cellStyle name="Normal 2 6 7" xfId="55900"/>
    <cellStyle name="Normal 2 6 8" xfId="57960"/>
    <cellStyle name="Normal 2 7" xfId="8468"/>
    <cellStyle name="Normal 2 7 2" xfId="8469"/>
    <cellStyle name="Normal 2 7 2 2" xfId="8470"/>
    <cellStyle name="Normal 2 7 2 2 2" xfId="8471"/>
    <cellStyle name="Normal 2 7 2 2 3" xfId="59688"/>
    <cellStyle name="Normal 2 7 2 3" xfId="8472"/>
    <cellStyle name="Normal 2 7 2 3 2" xfId="59689"/>
    <cellStyle name="Normal 2 7 2 4" xfId="55901"/>
    <cellStyle name="Normal 2 7 2 5" xfId="55902"/>
    <cellStyle name="Normal 2 7 3" xfId="8473"/>
    <cellStyle name="Normal 2 7 3 2" xfId="8474"/>
    <cellStyle name="Normal 2 7 3 2 2" xfId="59690"/>
    <cellStyle name="Normal 2 7 3 3" xfId="59691"/>
    <cellStyle name="Normal 2 7 3 4" xfId="59692"/>
    <cellStyle name="Normal 2 7 3 5" xfId="59693"/>
    <cellStyle name="Normal 2 7 4" xfId="8475"/>
    <cellStyle name="Normal 2 7 4 2" xfId="59694"/>
    <cellStyle name="Normal 2 7 4 2 2" xfId="59695"/>
    <cellStyle name="Normal 2 7 4 3" xfId="59696"/>
    <cellStyle name="Normal 2 7 4 4" xfId="59697"/>
    <cellStyle name="Normal 2 7 4 5" xfId="59698"/>
    <cellStyle name="Normal 2 7 5" xfId="55903"/>
    <cellStyle name="Normal 2 7 6" xfId="55904"/>
    <cellStyle name="Normal 2 8" xfId="8476"/>
    <cellStyle name="Normal 2 8 2" xfId="8477"/>
    <cellStyle name="Normal 2 8 2 2" xfId="8478"/>
    <cellStyle name="Normal 2 8 2 2 2" xfId="59699"/>
    <cellStyle name="Normal 2 8 2 3" xfId="59700"/>
    <cellStyle name="Normal 2 8 2 4" xfId="59701"/>
    <cellStyle name="Normal 2 8 2 5" xfId="59702"/>
    <cellStyle name="Normal 2 8 3" xfId="8479"/>
    <cellStyle name="Normal 2 8 3 2" xfId="59703"/>
    <cellStyle name="Normal 2 8 3 2 2" xfId="59704"/>
    <cellStyle name="Normal 2 8 3 3" xfId="59705"/>
    <cellStyle name="Normal 2 8 3 4" xfId="59706"/>
    <cellStyle name="Normal 2 8 3 5" xfId="59707"/>
    <cellStyle name="Normal 2 8 4" xfId="55905"/>
    <cellStyle name="Normal 2 8 5" xfId="55906"/>
    <cellStyle name="Normal 2 9" xfId="8480"/>
    <cellStyle name="Normal 2 9 2" xfId="8481"/>
    <cellStyle name="Normal 2 9 2 2" xfId="59708"/>
    <cellStyle name="Normal 2 9 2 2 2" xfId="59709"/>
    <cellStyle name="Normal 2 9 2 3" xfId="59710"/>
    <cellStyle name="Normal 2 9 2 4" xfId="59711"/>
    <cellStyle name="Normal 2 9 2 5" xfId="59712"/>
    <cellStyle name="Normal 2 9 3" xfId="55907"/>
    <cellStyle name="Normal 2_183302" xfId="8772"/>
    <cellStyle name="Normal 20" xfId="4515"/>
    <cellStyle name="Normal 20 2" xfId="4516"/>
    <cellStyle name="Normal 20 2 2" xfId="4517"/>
    <cellStyle name="Normal 20 2 2 2" xfId="59713"/>
    <cellStyle name="Normal 20 2 3" xfId="59714"/>
    <cellStyle name="Normal 20 2 4" xfId="59715"/>
    <cellStyle name="Normal 20 2 5" xfId="59716"/>
    <cellStyle name="Normal 20 3" xfId="4518"/>
    <cellStyle name="Normal 20 3 2" xfId="55908"/>
    <cellStyle name="Normal 20 3 3" xfId="59717"/>
    <cellStyle name="Normal 20 3 4" xfId="59718"/>
    <cellStyle name="Normal 20 4" xfId="9275"/>
    <cellStyle name="Normal 20 4 2" xfId="55909"/>
    <cellStyle name="Normal 20 5" xfId="55910"/>
    <cellStyle name="Normal 20 5 2" xfId="55911"/>
    <cellStyle name="Normal 20 6" xfId="55912"/>
    <cellStyle name="Normal 20 7" xfId="55913"/>
    <cellStyle name="Normal 20 8" xfId="55914"/>
    <cellStyle name="Normal 21" xfId="4519"/>
    <cellStyle name="Normal 21 2" xfId="4520"/>
    <cellStyle name="Normal 21 2 2" xfId="9276"/>
    <cellStyle name="Normal 21 3" xfId="9277"/>
    <cellStyle name="Normal 21 3 2" xfId="55915"/>
    <cellStyle name="Normal 21 4" xfId="55916"/>
    <cellStyle name="Normal 21 4 2" xfId="55917"/>
    <cellStyle name="Normal 21 5" xfId="55918"/>
    <cellStyle name="Normal 21 5 2" xfId="55919"/>
    <cellStyle name="Normal 21 6" xfId="55920"/>
    <cellStyle name="Normal 21 7" xfId="55921"/>
    <cellStyle name="Normal 21 8" xfId="55922"/>
    <cellStyle name="Normal 22" xfId="4521"/>
    <cellStyle name="Normal 22 2" xfId="4522"/>
    <cellStyle name="Normal 22 2 2" xfId="55923"/>
    <cellStyle name="Normal 22 2 3" xfId="59719"/>
    <cellStyle name="Normal 22 2 4" xfId="59720"/>
    <cellStyle name="Normal 22 2 5" xfId="59721"/>
    <cellStyle name="Normal 22 3" xfId="4523"/>
    <cellStyle name="Normal 22 3 2" xfId="55924"/>
    <cellStyle name="Normal 22 4" xfId="9278"/>
    <cellStyle name="Normal 22 4 2" xfId="55925"/>
    <cellStyle name="Normal 22 5" xfId="55926"/>
    <cellStyle name="Normal 22 6" xfId="55927"/>
    <cellStyle name="Normal 23" xfId="4524"/>
    <cellStyle name="Normal 23 2" xfId="4525"/>
    <cellStyle name="Normal 23 2 2" xfId="8804"/>
    <cellStyle name="Normal 23 2 2 2" xfId="9279"/>
    <cellStyle name="Normal 23 2 3" xfId="9280"/>
    <cellStyle name="Normal 23 2 4" xfId="9281"/>
    <cellStyle name="Normal 23 2 5" xfId="59722"/>
    <cellStyle name="Normal 23 3" xfId="4526"/>
    <cellStyle name="Normal 23 3 2" xfId="9282"/>
    <cellStyle name="Normal 23 3 3" xfId="9283"/>
    <cellStyle name="Normal 23 4" xfId="9284"/>
    <cellStyle name="Normal 23 5" xfId="9285"/>
    <cellStyle name="Normal 24" xfId="4527"/>
    <cellStyle name="Normal 24 2" xfId="4528"/>
    <cellStyle name="Normal 24 2 2" xfId="9286"/>
    <cellStyle name="Normal 24 3" xfId="4529"/>
    <cellStyle name="Normal 24 4" xfId="9287"/>
    <cellStyle name="Normal 25" xfId="4530"/>
    <cellStyle name="Normal 25 2" xfId="4531"/>
    <cellStyle name="Normal 25 3" xfId="55928"/>
    <cellStyle name="Normal 26" xfId="4532"/>
    <cellStyle name="Normal 26 2" xfId="4533"/>
    <cellStyle name="Normal 26 2 2" xfId="55929"/>
    <cellStyle name="Normal 26 3" xfId="55930"/>
    <cellStyle name="Normal 26 3 2" xfId="59723"/>
    <cellStyle name="Normal 26 3 3" xfId="59724"/>
    <cellStyle name="Normal 26 4" xfId="59725"/>
    <cellStyle name="Normal 26 4 2" xfId="59726"/>
    <cellStyle name="Normal 26 4 3" xfId="59727"/>
    <cellStyle name="Normal 26 5" xfId="59728"/>
    <cellStyle name="Normal 26 5 2" xfId="59729"/>
    <cellStyle name="Normal 26 6" xfId="59730"/>
    <cellStyle name="Normal 26 7" xfId="59731"/>
    <cellStyle name="Normal 26 8" xfId="59732"/>
    <cellStyle name="Normal 27" xfId="4534"/>
    <cellStyle name="Normal 27 2" xfId="4535"/>
    <cellStyle name="Normal 27 2 2" xfId="4536"/>
    <cellStyle name="Normal 27 2 2 2" xfId="4537"/>
    <cellStyle name="Normal 27 2 2 3" xfId="59733"/>
    <cellStyle name="Normal 27 2 3" xfId="4538"/>
    <cellStyle name="Normal 27 2 4" xfId="59734"/>
    <cellStyle name="Normal 27 3" xfId="4539"/>
    <cellStyle name="Normal 27 3 2" xfId="4540"/>
    <cellStyle name="Normal 27 3 3" xfId="59735"/>
    <cellStyle name="Normal 27 4" xfId="4541"/>
    <cellStyle name="Normal 27 5" xfId="9288"/>
    <cellStyle name="Normal 28" xfId="4542"/>
    <cellStyle name="Normal 28 2" xfId="4543"/>
    <cellStyle name="Normal 28 2 2" xfId="4544"/>
    <cellStyle name="Normal 28 2 2 2" xfId="4545"/>
    <cellStyle name="Normal 28 2 3" xfId="4546"/>
    <cellStyle name="Normal 28 2 3 2" xfId="59736"/>
    <cellStyle name="Normal 28 2 4" xfId="9289"/>
    <cellStyle name="Normal 28 3" xfId="4547"/>
    <cellStyle name="Normal 28 3 2" xfId="4548"/>
    <cellStyle name="Normal 28 4" xfId="4549"/>
    <cellStyle name="Normal 28 4 2" xfId="59737"/>
    <cellStyle name="Normal 28 4 3" xfId="59738"/>
    <cellStyle name="Normal 28 5" xfId="9290"/>
    <cellStyle name="Normal 28 5 2" xfId="59739"/>
    <cellStyle name="Normal 28 6" xfId="59740"/>
    <cellStyle name="Normal 28 7" xfId="59741"/>
    <cellStyle name="Normal 28 8" xfId="59742"/>
    <cellStyle name="Normal 29" xfId="4550"/>
    <cellStyle name="Normal 29 2" xfId="4551"/>
    <cellStyle name="Normal 29 2 2" xfId="4552"/>
    <cellStyle name="Normal 29 2 3" xfId="59743"/>
    <cellStyle name="Normal 29 2 4" xfId="59744"/>
    <cellStyle name="Normal 29 3" xfId="4553"/>
    <cellStyle name="Normal 29 3 2" xfId="59745"/>
    <cellStyle name="Normal 29 4" xfId="8805"/>
    <cellStyle name="Normal 29 5" xfId="9291"/>
    <cellStyle name="Normal 29 6" xfId="59746"/>
    <cellStyle name="Normal 3" xfId="4"/>
    <cellStyle name="Normal 3 10" xfId="55931"/>
    <cellStyle name="Normal 3 11" xfId="55932"/>
    <cellStyle name="Normal 3 12" xfId="55933"/>
    <cellStyle name="Normal 3 13" xfId="55934"/>
    <cellStyle name="Normal 3 14" xfId="55935"/>
    <cellStyle name="Normal 3 15" xfId="55936"/>
    <cellStyle name="Normal 3 16" xfId="55937"/>
    <cellStyle name="Normal 3 17" xfId="55938"/>
    <cellStyle name="Normal 3 17 2" xfId="55939"/>
    <cellStyle name="Normal 3 17 2 2" xfId="55940"/>
    <cellStyle name="Normal 3 17 3" xfId="55941"/>
    <cellStyle name="Normal 3 18" xfId="55942"/>
    <cellStyle name="Normal 3 18 2" xfId="55943"/>
    <cellStyle name="Normal 3 18 2 2" xfId="59747"/>
    <cellStyle name="Normal 3 18 2 3" xfId="59748"/>
    <cellStyle name="Normal 3 18 3" xfId="59749"/>
    <cellStyle name="Normal 3 18 3 2" xfId="59750"/>
    <cellStyle name="Normal 3 18 4" xfId="59751"/>
    <cellStyle name="Normal 3 18 5" xfId="59752"/>
    <cellStyle name="Normal 3 18 6" xfId="59753"/>
    <cellStyle name="Normal 3 19" xfId="55944"/>
    <cellStyle name="Normal 3 19 2" xfId="59754"/>
    <cellStyle name="Normal 3 19 3" xfId="59755"/>
    <cellStyle name="Normal 3 2" xfId="4554"/>
    <cellStyle name="Normal 3 2 2" xfId="4555"/>
    <cellStyle name="Normal 3 2 2 2" xfId="55945"/>
    <cellStyle name="Normal 3 2 2 3" xfId="55946"/>
    <cellStyle name="Normal 3 2 2 4" xfId="57961"/>
    <cellStyle name="Normal 3 2 3" xfId="8482"/>
    <cellStyle name="Normal 3 2 3 2" xfId="55947"/>
    <cellStyle name="Normal 3 2 3 3" xfId="55948"/>
    <cellStyle name="Normal 3 2 4" xfId="55949"/>
    <cellStyle name="Normal 3 2 4 2" xfId="55950"/>
    <cellStyle name="Normal 3 2 4 3" xfId="59756"/>
    <cellStyle name="Normal 3 2 4 4" xfId="59757"/>
    <cellStyle name="Normal 3 2 5" xfId="57962"/>
    <cellStyle name="Normal 3 20" xfId="59758"/>
    <cellStyle name="Normal 3 20 2" xfId="59759"/>
    <cellStyle name="Normal 3 20 3" xfId="59760"/>
    <cellStyle name="Normal 3 21" xfId="59761"/>
    <cellStyle name="Normal 3 22" xfId="59762"/>
    <cellStyle name="Normal 3 23" xfId="59763"/>
    <cellStyle name="Normal 3 3" xfId="4556"/>
    <cellStyle name="Normal 3 3 2" xfId="8806"/>
    <cellStyle name="Normal 3 3 2 2" xfId="8807"/>
    <cellStyle name="Normal 3 3 2 2 2" xfId="9292"/>
    <cellStyle name="Normal 3 3 2 3" xfId="9293"/>
    <cellStyle name="Normal 3 3 3" xfId="8808"/>
    <cellStyle name="Normal 3 3 3 2" xfId="9294"/>
    <cellStyle name="Normal 3 3 4" xfId="9295"/>
    <cellStyle name="Normal 3 3 5" xfId="9296"/>
    <cellStyle name="Normal 3 4" xfId="4557"/>
    <cellStyle name="Normal 3 4 2" xfId="55951"/>
    <cellStyle name="Normal 3 4 2 2" xfId="55952"/>
    <cellStyle name="Normal 3 4 3" xfId="55953"/>
    <cellStyle name="Normal 3 4 3 2" xfId="55954"/>
    <cellStyle name="Normal 3 4 4" xfId="55955"/>
    <cellStyle name="Normal 3 4 5" xfId="57963"/>
    <cellStyle name="Normal 3 5" xfId="4558"/>
    <cellStyle name="Normal 3 5 2" xfId="55956"/>
    <cellStyle name="Normal 3 6" xfId="9297"/>
    <cellStyle name="Normal 3 6 2" xfId="57964"/>
    <cellStyle name="Normal 3 7" xfId="55957"/>
    <cellStyle name="Normal 3 7 2" xfId="57965"/>
    <cellStyle name="Normal 3 8" xfId="55958"/>
    <cellStyle name="Normal 3 8 2" xfId="57966"/>
    <cellStyle name="Normal 3 9" xfId="55959"/>
    <cellStyle name="Normal 3 9 2" xfId="57967"/>
    <cellStyle name="Normal 3_183302" xfId="8773"/>
    <cellStyle name="Normal 30" xfId="4559"/>
    <cellStyle name="Normal 30 2" xfId="4560"/>
    <cellStyle name="Normal 30 2 2" xfId="59764"/>
    <cellStyle name="Normal 30 2 3" xfId="59765"/>
    <cellStyle name="Normal 30 2 4" xfId="59766"/>
    <cellStyle name="Normal 30 3" xfId="9298"/>
    <cellStyle name="Normal 30 3 2" xfId="59767"/>
    <cellStyle name="Normal 30 4" xfId="59768"/>
    <cellStyle name="Normal 30 5" xfId="59769"/>
    <cellStyle name="Normal 30 6" xfId="59770"/>
    <cellStyle name="Normal 30 7" xfId="59771"/>
    <cellStyle name="Normal 31" xfId="4561"/>
    <cellStyle name="Normal 31 2" xfId="4562"/>
    <cellStyle name="Normal 31 2 2" xfId="4563"/>
    <cellStyle name="Normal 31 2 3" xfId="59772"/>
    <cellStyle name="Normal 31 2 4" xfId="59773"/>
    <cellStyle name="Normal 31 3" xfId="4564"/>
    <cellStyle name="Normal 31 3 2" xfId="59774"/>
    <cellStyle name="Normal 31 4" xfId="9299"/>
    <cellStyle name="Normal 31 5" xfId="59775"/>
    <cellStyle name="Normal 31 6" xfId="59776"/>
    <cellStyle name="Normal 31 7" xfId="59777"/>
    <cellStyle name="Normal 32" xfId="4565"/>
    <cellStyle name="Normal 32 2" xfId="4566"/>
    <cellStyle name="Normal 32 2 2" xfId="59778"/>
    <cellStyle name="Normal 32 2 3" xfId="59779"/>
    <cellStyle name="Normal 32 2 4" xfId="59780"/>
    <cellStyle name="Normal 32 3" xfId="9300"/>
    <cellStyle name="Normal 32 3 2" xfId="59781"/>
    <cellStyle name="Normal 32 4" xfId="59782"/>
    <cellStyle name="Normal 32 5" xfId="59783"/>
    <cellStyle name="Normal 32 6" xfId="59784"/>
    <cellStyle name="Normal 32 7" xfId="59785"/>
    <cellStyle name="Normal 33" xfId="4567"/>
    <cellStyle name="Normal 33 2" xfId="4568"/>
    <cellStyle name="Normal 33 2 2" xfId="59786"/>
    <cellStyle name="Normal 33 2 3" xfId="59787"/>
    <cellStyle name="Normal 33 2 4" xfId="59788"/>
    <cellStyle name="Normal 33 3" xfId="55960"/>
    <cellStyle name="Normal 33 4" xfId="59789"/>
    <cellStyle name="Normal 33 5" xfId="59790"/>
    <cellStyle name="Normal 33 6" xfId="59791"/>
    <cellStyle name="Normal 34" xfId="4569"/>
    <cellStyle name="Normal 34 2" xfId="4570"/>
    <cellStyle name="Normal 34 2 2" xfId="59792"/>
    <cellStyle name="Normal 34 3" xfId="59793"/>
    <cellStyle name="Normal 34 4" xfId="59794"/>
    <cellStyle name="Normal 34 4 2" xfId="59795"/>
    <cellStyle name="Normal 34 4 3" xfId="59796"/>
    <cellStyle name="Normal 34 5" xfId="59797"/>
    <cellStyle name="Normal 34 6" xfId="59798"/>
    <cellStyle name="Normal 34 7" xfId="59799"/>
    <cellStyle name="Normal 35" xfId="4571"/>
    <cellStyle name="Normal 35 2" xfId="4572"/>
    <cellStyle name="Normal 35 2 2" xfId="59800"/>
    <cellStyle name="Normal 35 2 3" xfId="59801"/>
    <cellStyle name="Normal 35 3" xfId="59802"/>
    <cellStyle name="Normal 35 4" xfId="59803"/>
    <cellStyle name="Normal 35 5" xfId="59804"/>
    <cellStyle name="Normal 36" xfId="4573"/>
    <cellStyle name="Normal 36 2" xfId="4574"/>
    <cellStyle name="Normal 36 2 2" xfId="59805"/>
    <cellStyle name="Normal 36 2 3" xfId="59806"/>
    <cellStyle name="Normal 36 3" xfId="59807"/>
    <cellStyle name="Normal 36 4" xfId="59808"/>
    <cellStyle name="Normal 36 5" xfId="59809"/>
    <cellStyle name="Normal 37" xfId="4575"/>
    <cellStyle name="Normal 37 2" xfId="4576"/>
    <cellStyle name="Normal 37 2 2" xfId="59810"/>
    <cellStyle name="Normal 37 3" xfId="59811"/>
    <cellStyle name="Normal 37 4" xfId="59812"/>
    <cellStyle name="Normal 37 5" xfId="59813"/>
    <cellStyle name="Normal 38" xfId="4577"/>
    <cellStyle name="Normal 38 2" xfId="4578"/>
    <cellStyle name="Normal 38 2 2" xfId="4579"/>
    <cellStyle name="Normal 38 3" xfId="4580"/>
    <cellStyle name="Normal 38 4" xfId="59814"/>
    <cellStyle name="Normal 38 5" xfId="59815"/>
    <cellStyle name="Normal 39" xfId="4581"/>
    <cellStyle name="Normal 39 2" xfId="4582"/>
    <cellStyle name="Normal 39 3" xfId="4583"/>
    <cellStyle name="Normal 4" xfId="4584"/>
    <cellStyle name="Normal 4 10" xfId="59816"/>
    <cellStyle name="Normal 4 11" xfId="59817"/>
    <cellStyle name="Normal 4 2" xfId="4585"/>
    <cellStyle name="Normal 4 2 10" xfId="8483"/>
    <cellStyle name="Normal 4 2 10 2" xfId="59818"/>
    <cellStyle name="Normal 4 2 10 2 2" xfId="59819"/>
    <cellStyle name="Normal 4 2 10 3" xfId="59820"/>
    <cellStyle name="Normal 4 2 10 4" xfId="59821"/>
    <cellStyle name="Normal 4 2 10 5" xfId="59822"/>
    <cellStyle name="Normal 4 2 11" xfId="57968"/>
    <cellStyle name="Normal 4 2 2" xfId="4586"/>
    <cellStyle name="Normal 4 2 2 10" xfId="59823"/>
    <cellStyle name="Normal 4 2 2 11" xfId="59824"/>
    <cellStyle name="Normal 4 2 2 2" xfId="4587"/>
    <cellStyle name="Normal 4 2 2 2 10" xfId="59825"/>
    <cellStyle name="Normal 4 2 2 2 2" xfId="4588"/>
    <cellStyle name="Normal 4 2 2 2 2 2" xfId="4589"/>
    <cellStyle name="Normal 4 2 2 2 2 2 2" xfId="4590"/>
    <cellStyle name="Normal 4 2 2 2 2 2 2 2" xfId="8484"/>
    <cellStyle name="Normal 4 2 2 2 2 2 2 2 2" xfId="8485"/>
    <cellStyle name="Normal 4 2 2 2 2 2 2 2 3" xfId="59826"/>
    <cellStyle name="Normal 4 2 2 2 2 2 2 3" xfId="8486"/>
    <cellStyle name="Normal 4 2 2 2 2 2 2 3 2" xfId="59827"/>
    <cellStyle name="Normal 4 2 2 2 2 2 2 4" xfId="59828"/>
    <cellStyle name="Normal 4 2 2 2 2 2 2 5" xfId="59829"/>
    <cellStyle name="Normal 4 2 2 2 2 2 3" xfId="8487"/>
    <cellStyle name="Normal 4 2 2 2 2 2 3 2" xfId="8488"/>
    <cellStyle name="Normal 4 2 2 2 2 2 3 3" xfId="59830"/>
    <cellStyle name="Normal 4 2 2 2 2 2 4" xfId="8489"/>
    <cellStyle name="Normal 4 2 2 2 2 2 4 2" xfId="59831"/>
    <cellStyle name="Normal 4 2 2 2 2 2 5" xfId="59832"/>
    <cellStyle name="Normal 4 2 2 2 2 2 6" xfId="59833"/>
    <cellStyle name="Normal 4 2 2 2 2 3" xfId="4591"/>
    <cellStyle name="Normal 4 2 2 2 2 3 2" xfId="8490"/>
    <cellStyle name="Normal 4 2 2 2 2 3 2 2" xfId="8491"/>
    <cellStyle name="Normal 4 2 2 2 2 3 2 2 2" xfId="59834"/>
    <cellStyle name="Normal 4 2 2 2 2 3 2 3" xfId="59835"/>
    <cellStyle name="Normal 4 2 2 2 2 3 2 4" xfId="59836"/>
    <cellStyle name="Normal 4 2 2 2 2 3 2 5" xfId="59837"/>
    <cellStyle name="Normal 4 2 2 2 2 3 3" xfId="8492"/>
    <cellStyle name="Normal 4 2 2 2 2 3 3 2" xfId="59838"/>
    <cellStyle name="Normal 4 2 2 2 2 3 4" xfId="59839"/>
    <cellStyle name="Normal 4 2 2 2 2 3 5" xfId="59840"/>
    <cellStyle name="Normal 4 2 2 2 2 3 6" xfId="59841"/>
    <cellStyle name="Normal 4 2 2 2 2 4" xfId="8493"/>
    <cellStyle name="Normal 4 2 2 2 2 4 2" xfId="8494"/>
    <cellStyle name="Normal 4 2 2 2 2 4 2 2" xfId="59842"/>
    <cellStyle name="Normal 4 2 2 2 2 4 3" xfId="59843"/>
    <cellStyle name="Normal 4 2 2 2 2 4 4" xfId="59844"/>
    <cellStyle name="Normal 4 2 2 2 2 4 5" xfId="59845"/>
    <cellStyle name="Normal 4 2 2 2 2 5" xfId="8495"/>
    <cellStyle name="Normal 4 2 2 2 2 5 2" xfId="8496"/>
    <cellStyle name="Normal 4 2 2 2 2 5 2 2" xfId="59846"/>
    <cellStyle name="Normal 4 2 2 2 2 5 3" xfId="59847"/>
    <cellStyle name="Normal 4 2 2 2 2 5 4" xfId="59848"/>
    <cellStyle name="Normal 4 2 2 2 2 5 5" xfId="59849"/>
    <cellStyle name="Normal 4 2 2 2 2 6" xfId="8497"/>
    <cellStyle name="Normal 4 2 2 2 2 6 2" xfId="59850"/>
    <cellStyle name="Normal 4 2 2 2 2 7" xfId="59851"/>
    <cellStyle name="Normal 4 2 2 2 2 8" xfId="59852"/>
    <cellStyle name="Normal 4 2 2 2 2 9" xfId="59853"/>
    <cellStyle name="Normal 4 2 2 2 3" xfId="4592"/>
    <cellStyle name="Normal 4 2 2 2 3 2" xfId="4593"/>
    <cellStyle name="Normal 4 2 2 2 3 2 2" xfId="8498"/>
    <cellStyle name="Normal 4 2 2 2 3 2 2 2" xfId="8499"/>
    <cellStyle name="Normal 4 2 2 2 3 2 2 3" xfId="59854"/>
    <cellStyle name="Normal 4 2 2 2 3 2 3" xfId="8500"/>
    <cellStyle name="Normal 4 2 2 2 3 2 3 2" xfId="59855"/>
    <cellStyle name="Normal 4 2 2 2 3 2 4" xfId="59856"/>
    <cellStyle name="Normal 4 2 2 2 3 2 5" xfId="59857"/>
    <cellStyle name="Normal 4 2 2 2 3 3" xfId="8501"/>
    <cellStyle name="Normal 4 2 2 2 3 3 2" xfId="8502"/>
    <cellStyle name="Normal 4 2 2 2 3 3 3" xfId="59858"/>
    <cellStyle name="Normal 4 2 2 2 3 4" xfId="8503"/>
    <cellStyle name="Normal 4 2 2 2 3 4 2" xfId="59859"/>
    <cellStyle name="Normal 4 2 2 2 3 5" xfId="59860"/>
    <cellStyle name="Normal 4 2 2 2 3 6" xfId="59861"/>
    <cellStyle name="Normal 4 2 2 2 4" xfId="4594"/>
    <cellStyle name="Normal 4 2 2 2 4 2" xfId="8504"/>
    <cellStyle name="Normal 4 2 2 2 4 2 2" xfId="8505"/>
    <cellStyle name="Normal 4 2 2 2 4 2 2 2" xfId="59862"/>
    <cellStyle name="Normal 4 2 2 2 4 2 3" xfId="59863"/>
    <cellStyle name="Normal 4 2 2 2 4 2 4" xfId="59864"/>
    <cellStyle name="Normal 4 2 2 2 4 2 5" xfId="59865"/>
    <cellStyle name="Normal 4 2 2 2 4 3" xfId="8506"/>
    <cellStyle name="Normal 4 2 2 2 4 3 2" xfId="59866"/>
    <cellStyle name="Normal 4 2 2 2 4 4" xfId="59867"/>
    <cellStyle name="Normal 4 2 2 2 4 5" xfId="59868"/>
    <cellStyle name="Normal 4 2 2 2 4 6" xfId="59869"/>
    <cellStyle name="Normal 4 2 2 2 5" xfId="8507"/>
    <cellStyle name="Normal 4 2 2 2 5 2" xfId="8508"/>
    <cellStyle name="Normal 4 2 2 2 5 2 2" xfId="59870"/>
    <cellStyle name="Normal 4 2 2 2 5 3" xfId="59871"/>
    <cellStyle name="Normal 4 2 2 2 5 4" xfId="59872"/>
    <cellStyle name="Normal 4 2 2 2 5 5" xfId="59873"/>
    <cellStyle name="Normal 4 2 2 2 6" xfId="8509"/>
    <cellStyle name="Normal 4 2 2 2 6 2" xfId="8510"/>
    <cellStyle name="Normal 4 2 2 2 6 2 2" xfId="59874"/>
    <cellStyle name="Normal 4 2 2 2 6 3" xfId="59875"/>
    <cellStyle name="Normal 4 2 2 2 6 4" xfId="59876"/>
    <cellStyle name="Normal 4 2 2 2 6 5" xfId="59877"/>
    <cellStyle name="Normal 4 2 2 2 7" xfId="8511"/>
    <cellStyle name="Normal 4 2 2 2 7 2" xfId="59878"/>
    <cellStyle name="Normal 4 2 2 2 8" xfId="59879"/>
    <cellStyle name="Normal 4 2 2 2 9" xfId="59880"/>
    <cellStyle name="Normal 4 2 2 3" xfId="4595"/>
    <cellStyle name="Normal 4 2 2 3 2" xfId="4596"/>
    <cellStyle name="Normal 4 2 2 3 2 2" xfId="4597"/>
    <cellStyle name="Normal 4 2 2 3 2 2 2" xfId="8512"/>
    <cellStyle name="Normal 4 2 2 3 2 2 2 2" xfId="8513"/>
    <cellStyle name="Normal 4 2 2 3 2 2 2 3" xfId="59881"/>
    <cellStyle name="Normal 4 2 2 3 2 2 3" xfId="8514"/>
    <cellStyle name="Normal 4 2 2 3 2 2 3 2" xfId="59882"/>
    <cellStyle name="Normal 4 2 2 3 2 2 4" xfId="59883"/>
    <cellStyle name="Normal 4 2 2 3 2 2 5" xfId="59884"/>
    <cellStyle name="Normal 4 2 2 3 2 3" xfId="8515"/>
    <cellStyle name="Normal 4 2 2 3 2 3 2" xfId="8516"/>
    <cellStyle name="Normal 4 2 2 3 2 3 3" xfId="59885"/>
    <cellStyle name="Normal 4 2 2 3 2 4" xfId="8517"/>
    <cellStyle name="Normal 4 2 2 3 2 4 2" xfId="59886"/>
    <cellStyle name="Normal 4 2 2 3 2 5" xfId="59887"/>
    <cellStyle name="Normal 4 2 2 3 2 6" xfId="59888"/>
    <cellStyle name="Normal 4 2 2 3 3" xfId="4598"/>
    <cellStyle name="Normal 4 2 2 3 3 2" xfId="8518"/>
    <cellStyle name="Normal 4 2 2 3 3 2 2" xfId="8519"/>
    <cellStyle name="Normal 4 2 2 3 3 2 2 2" xfId="59889"/>
    <cellStyle name="Normal 4 2 2 3 3 2 3" xfId="59890"/>
    <cellStyle name="Normal 4 2 2 3 3 2 4" xfId="59891"/>
    <cellStyle name="Normal 4 2 2 3 3 2 5" xfId="59892"/>
    <cellStyle name="Normal 4 2 2 3 3 3" xfId="8520"/>
    <cellStyle name="Normal 4 2 2 3 3 3 2" xfId="59893"/>
    <cellStyle name="Normal 4 2 2 3 3 4" xfId="59894"/>
    <cellStyle name="Normal 4 2 2 3 3 5" xfId="59895"/>
    <cellStyle name="Normal 4 2 2 3 3 6" xfId="59896"/>
    <cellStyle name="Normal 4 2 2 3 4" xfId="8521"/>
    <cellStyle name="Normal 4 2 2 3 4 2" xfId="8522"/>
    <cellStyle name="Normal 4 2 2 3 4 2 2" xfId="59897"/>
    <cellStyle name="Normal 4 2 2 3 4 3" xfId="59898"/>
    <cellStyle name="Normal 4 2 2 3 4 4" xfId="59899"/>
    <cellStyle name="Normal 4 2 2 3 4 5" xfId="59900"/>
    <cellStyle name="Normal 4 2 2 3 5" xfId="8523"/>
    <cellStyle name="Normal 4 2 2 3 5 2" xfId="8524"/>
    <cellStyle name="Normal 4 2 2 3 5 2 2" xfId="59901"/>
    <cellStyle name="Normal 4 2 2 3 5 3" xfId="59902"/>
    <cellStyle name="Normal 4 2 2 3 5 4" xfId="59903"/>
    <cellStyle name="Normal 4 2 2 3 5 5" xfId="59904"/>
    <cellStyle name="Normal 4 2 2 3 6" xfId="8525"/>
    <cellStyle name="Normal 4 2 2 3 6 2" xfId="59905"/>
    <cellStyle name="Normal 4 2 2 3 7" xfId="59906"/>
    <cellStyle name="Normal 4 2 2 3 8" xfId="59907"/>
    <cellStyle name="Normal 4 2 2 3 9" xfId="59908"/>
    <cellStyle name="Normal 4 2 2 4" xfId="4599"/>
    <cellStyle name="Normal 4 2 2 4 2" xfId="4600"/>
    <cellStyle name="Normal 4 2 2 4 2 2" xfId="8526"/>
    <cellStyle name="Normal 4 2 2 4 2 2 2" xfId="8527"/>
    <cellStyle name="Normal 4 2 2 4 2 2 3" xfId="59909"/>
    <cellStyle name="Normal 4 2 2 4 2 3" xfId="8528"/>
    <cellStyle name="Normal 4 2 2 4 2 3 2" xfId="59910"/>
    <cellStyle name="Normal 4 2 2 4 2 4" xfId="59911"/>
    <cellStyle name="Normal 4 2 2 4 2 5" xfId="59912"/>
    <cellStyle name="Normal 4 2 2 4 3" xfId="8529"/>
    <cellStyle name="Normal 4 2 2 4 3 2" xfId="8530"/>
    <cellStyle name="Normal 4 2 2 4 3 3" xfId="59913"/>
    <cellStyle name="Normal 4 2 2 4 4" xfId="8531"/>
    <cellStyle name="Normal 4 2 2 4 4 2" xfId="59914"/>
    <cellStyle name="Normal 4 2 2 4 5" xfId="59915"/>
    <cellStyle name="Normal 4 2 2 4 6" xfId="59916"/>
    <cellStyle name="Normal 4 2 2 5" xfId="4601"/>
    <cellStyle name="Normal 4 2 2 5 2" xfId="8532"/>
    <cellStyle name="Normal 4 2 2 5 2 2" xfId="8533"/>
    <cellStyle name="Normal 4 2 2 5 2 2 2" xfId="59917"/>
    <cellStyle name="Normal 4 2 2 5 2 3" xfId="59918"/>
    <cellStyle name="Normal 4 2 2 5 2 4" xfId="59919"/>
    <cellStyle name="Normal 4 2 2 5 2 5" xfId="59920"/>
    <cellStyle name="Normal 4 2 2 5 3" xfId="8534"/>
    <cellStyle name="Normal 4 2 2 5 3 2" xfId="59921"/>
    <cellStyle name="Normal 4 2 2 5 4" xfId="59922"/>
    <cellStyle name="Normal 4 2 2 5 5" xfId="59923"/>
    <cellStyle name="Normal 4 2 2 5 6" xfId="59924"/>
    <cellStyle name="Normal 4 2 2 6" xfId="8535"/>
    <cellStyle name="Normal 4 2 2 6 2" xfId="8536"/>
    <cellStyle name="Normal 4 2 2 6 2 2" xfId="59925"/>
    <cellStyle name="Normal 4 2 2 6 3" xfId="59926"/>
    <cellStyle name="Normal 4 2 2 6 4" xfId="59927"/>
    <cellStyle name="Normal 4 2 2 6 5" xfId="59928"/>
    <cellStyle name="Normal 4 2 2 7" xfId="8537"/>
    <cellStyle name="Normal 4 2 2 7 2" xfId="8538"/>
    <cellStyle name="Normal 4 2 2 7 2 2" xfId="59929"/>
    <cellStyle name="Normal 4 2 2 7 3" xfId="59930"/>
    <cellStyle name="Normal 4 2 2 7 4" xfId="59931"/>
    <cellStyle name="Normal 4 2 2 7 5" xfId="59932"/>
    <cellStyle name="Normal 4 2 2 8" xfId="8539"/>
    <cellStyle name="Normal 4 2 2 8 2" xfId="59933"/>
    <cellStyle name="Normal 4 2 2 9" xfId="59934"/>
    <cellStyle name="Normal 4 2 3" xfId="4602"/>
    <cellStyle name="Normal 4 2 3 10" xfId="59935"/>
    <cellStyle name="Normal 4 2 3 11" xfId="59936"/>
    <cellStyle name="Normal 4 2 3 2" xfId="4603"/>
    <cellStyle name="Normal 4 2 3 2 10" xfId="59937"/>
    <cellStyle name="Normal 4 2 3 2 2" xfId="4604"/>
    <cellStyle name="Normal 4 2 3 2 2 2" xfId="4605"/>
    <cellStyle name="Normal 4 2 3 2 2 2 2" xfId="8540"/>
    <cellStyle name="Normal 4 2 3 2 2 2 2 2" xfId="8541"/>
    <cellStyle name="Normal 4 2 3 2 2 2 2 2 2" xfId="8542"/>
    <cellStyle name="Normal 4 2 3 2 2 2 2 2 3" xfId="59938"/>
    <cellStyle name="Normal 4 2 3 2 2 2 2 3" xfId="8543"/>
    <cellStyle name="Normal 4 2 3 2 2 2 2 3 2" xfId="59939"/>
    <cellStyle name="Normal 4 2 3 2 2 2 2 4" xfId="59940"/>
    <cellStyle name="Normal 4 2 3 2 2 2 2 5" xfId="59941"/>
    <cellStyle name="Normal 4 2 3 2 2 2 3" xfId="8544"/>
    <cellStyle name="Normal 4 2 3 2 2 2 3 2" xfId="8545"/>
    <cellStyle name="Normal 4 2 3 2 2 2 3 3" xfId="59942"/>
    <cellStyle name="Normal 4 2 3 2 2 2 4" xfId="8546"/>
    <cellStyle name="Normal 4 2 3 2 2 2 4 2" xfId="59943"/>
    <cellStyle name="Normal 4 2 3 2 2 2 5" xfId="59944"/>
    <cellStyle name="Normal 4 2 3 2 2 2 6" xfId="59945"/>
    <cellStyle name="Normal 4 2 3 2 2 3" xfId="8547"/>
    <cellStyle name="Normal 4 2 3 2 2 3 2" xfId="8548"/>
    <cellStyle name="Normal 4 2 3 2 2 3 2 2" xfId="8549"/>
    <cellStyle name="Normal 4 2 3 2 2 3 2 2 2" xfId="59946"/>
    <cellStyle name="Normal 4 2 3 2 2 3 2 3" xfId="59947"/>
    <cellStyle name="Normal 4 2 3 2 2 3 2 4" xfId="59948"/>
    <cellStyle name="Normal 4 2 3 2 2 3 2 5" xfId="59949"/>
    <cellStyle name="Normal 4 2 3 2 2 3 3" xfId="8550"/>
    <cellStyle name="Normal 4 2 3 2 2 3 3 2" xfId="59950"/>
    <cellStyle name="Normal 4 2 3 2 2 3 4" xfId="59951"/>
    <cellStyle name="Normal 4 2 3 2 2 3 5" xfId="59952"/>
    <cellStyle name="Normal 4 2 3 2 2 3 6" xfId="59953"/>
    <cellStyle name="Normal 4 2 3 2 2 4" xfId="8551"/>
    <cellStyle name="Normal 4 2 3 2 2 4 2" xfId="8552"/>
    <cellStyle name="Normal 4 2 3 2 2 4 2 2" xfId="59954"/>
    <cellStyle name="Normal 4 2 3 2 2 4 3" xfId="59955"/>
    <cellStyle name="Normal 4 2 3 2 2 4 4" xfId="59956"/>
    <cellStyle name="Normal 4 2 3 2 2 4 5" xfId="59957"/>
    <cellStyle name="Normal 4 2 3 2 2 5" xfId="8553"/>
    <cellStyle name="Normal 4 2 3 2 2 5 2" xfId="8554"/>
    <cellStyle name="Normal 4 2 3 2 2 5 2 2" xfId="59958"/>
    <cellStyle name="Normal 4 2 3 2 2 5 3" xfId="59959"/>
    <cellStyle name="Normal 4 2 3 2 2 5 4" xfId="59960"/>
    <cellStyle name="Normal 4 2 3 2 2 5 5" xfId="59961"/>
    <cellStyle name="Normal 4 2 3 2 2 6" xfId="8555"/>
    <cellStyle name="Normal 4 2 3 2 2 6 2" xfId="59962"/>
    <cellStyle name="Normal 4 2 3 2 2 7" xfId="59963"/>
    <cellStyle name="Normal 4 2 3 2 2 8" xfId="59964"/>
    <cellStyle name="Normal 4 2 3 2 2 9" xfId="59965"/>
    <cellStyle name="Normal 4 2 3 2 3" xfId="4606"/>
    <cellStyle name="Normal 4 2 3 2 3 2" xfId="8556"/>
    <cellStyle name="Normal 4 2 3 2 3 2 2" xfId="8557"/>
    <cellStyle name="Normal 4 2 3 2 3 2 2 2" xfId="8558"/>
    <cellStyle name="Normal 4 2 3 2 3 2 2 3" xfId="59966"/>
    <cellStyle name="Normal 4 2 3 2 3 2 3" xfId="8559"/>
    <cellStyle name="Normal 4 2 3 2 3 2 3 2" xfId="59967"/>
    <cellStyle name="Normal 4 2 3 2 3 2 4" xfId="59968"/>
    <cellStyle name="Normal 4 2 3 2 3 2 5" xfId="59969"/>
    <cellStyle name="Normal 4 2 3 2 3 3" xfId="8560"/>
    <cellStyle name="Normal 4 2 3 2 3 3 2" xfId="8561"/>
    <cellStyle name="Normal 4 2 3 2 3 3 3" xfId="59970"/>
    <cellStyle name="Normal 4 2 3 2 3 4" xfId="8562"/>
    <cellStyle name="Normal 4 2 3 2 3 4 2" xfId="59971"/>
    <cellStyle name="Normal 4 2 3 2 3 5" xfId="59972"/>
    <cellStyle name="Normal 4 2 3 2 3 6" xfId="59973"/>
    <cellStyle name="Normal 4 2 3 2 4" xfId="8563"/>
    <cellStyle name="Normal 4 2 3 2 4 2" xfId="8564"/>
    <cellStyle name="Normal 4 2 3 2 4 2 2" xfId="8565"/>
    <cellStyle name="Normal 4 2 3 2 4 2 2 2" xfId="59974"/>
    <cellStyle name="Normal 4 2 3 2 4 2 3" xfId="59975"/>
    <cellStyle name="Normal 4 2 3 2 4 2 4" xfId="59976"/>
    <cellStyle name="Normal 4 2 3 2 4 2 5" xfId="59977"/>
    <cellStyle name="Normal 4 2 3 2 4 3" xfId="8566"/>
    <cellStyle name="Normal 4 2 3 2 4 3 2" xfId="59978"/>
    <cellStyle name="Normal 4 2 3 2 4 4" xfId="59979"/>
    <cellStyle name="Normal 4 2 3 2 4 5" xfId="59980"/>
    <cellStyle name="Normal 4 2 3 2 4 6" xfId="59981"/>
    <cellStyle name="Normal 4 2 3 2 5" xfId="8567"/>
    <cellStyle name="Normal 4 2 3 2 5 2" xfId="8568"/>
    <cellStyle name="Normal 4 2 3 2 5 2 2" xfId="59982"/>
    <cellStyle name="Normal 4 2 3 2 5 3" xfId="59983"/>
    <cellStyle name="Normal 4 2 3 2 5 4" xfId="59984"/>
    <cellStyle name="Normal 4 2 3 2 5 5" xfId="59985"/>
    <cellStyle name="Normal 4 2 3 2 6" xfId="8569"/>
    <cellStyle name="Normal 4 2 3 2 6 2" xfId="8570"/>
    <cellStyle name="Normal 4 2 3 2 6 2 2" xfId="59986"/>
    <cellStyle name="Normal 4 2 3 2 6 3" xfId="59987"/>
    <cellStyle name="Normal 4 2 3 2 6 4" xfId="59988"/>
    <cellStyle name="Normal 4 2 3 2 6 5" xfId="59989"/>
    <cellStyle name="Normal 4 2 3 2 7" xfId="8571"/>
    <cellStyle name="Normal 4 2 3 2 7 2" xfId="59990"/>
    <cellStyle name="Normal 4 2 3 2 8" xfId="59991"/>
    <cellStyle name="Normal 4 2 3 2 9" xfId="59992"/>
    <cellStyle name="Normal 4 2 3 3" xfId="4607"/>
    <cellStyle name="Normal 4 2 3 3 2" xfId="4608"/>
    <cellStyle name="Normal 4 2 3 3 2 2" xfId="8572"/>
    <cellStyle name="Normal 4 2 3 3 2 2 2" xfId="8573"/>
    <cellStyle name="Normal 4 2 3 3 2 2 2 2" xfId="8574"/>
    <cellStyle name="Normal 4 2 3 3 2 2 2 3" xfId="59993"/>
    <cellStyle name="Normal 4 2 3 3 2 2 3" xfId="8575"/>
    <cellStyle name="Normal 4 2 3 3 2 2 3 2" xfId="59994"/>
    <cellStyle name="Normal 4 2 3 3 2 2 4" xfId="59995"/>
    <cellStyle name="Normal 4 2 3 3 2 2 5" xfId="59996"/>
    <cellStyle name="Normal 4 2 3 3 2 3" xfId="8576"/>
    <cellStyle name="Normal 4 2 3 3 2 3 2" xfId="8577"/>
    <cellStyle name="Normal 4 2 3 3 2 3 3" xfId="59997"/>
    <cellStyle name="Normal 4 2 3 3 2 4" xfId="8578"/>
    <cellStyle name="Normal 4 2 3 3 2 4 2" xfId="59998"/>
    <cellStyle name="Normal 4 2 3 3 2 5" xfId="59999"/>
    <cellStyle name="Normal 4 2 3 3 2 6" xfId="60000"/>
    <cellStyle name="Normal 4 2 3 3 3" xfId="8579"/>
    <cellStyle name="Normal 4 2 3 3 3 2" xfId="8580"/>
    <cellStyle name="Normal 4 2 3 3 3 2 2" xfId="8581"/>
    <cellStyle name="Normal 4 2 3 3 3 2 2 2" xfId="60001"/>
    <cellStyle name="Normal 4 2 3 3 3 2 3" xfId="60002"/>
    <cellStyle name="Normal 4 2 3 3 3 2 4" xfId="60003"/>
    <cellStyle name="Normal 4 2 3 3 3 2 5" xfId="60004"/>
    <cellStyle name="Normal 4 2 3 3 3 3" xfId="8582"/>
    <cellStyle name="Normal 4 2 3 3 3 3 2" xfId="60005"/>
    <cellStyle name="Normal 4 2 3 3 3 4" xfId="60006"/>
    <cellStyle name="Normal 4 2 3 3 3 5" xfId="60007"/>
    <cellStyle name="Normal 4 2 3 3 3 6" xfId="60008"/>
    <cellStyle name="Normal 4 2 3 3 4" xfId="8583"/>
    <cellStyle name="Normal 4 2 3 3 4 2" xfId="8584"/>
    <cellStyle name="Normal 4 2 3 3 4 2 2" xfId="60009"/>
    <cellStyle name="Normal 4 2 3 3 4 3" xfId="60010"/>
    <cellStyle name="Normal 4 2 3 3 4 4" xfId="60011"/>
    <cellStyle name="Normal 4 2 3 3 4 5" xfId="60012"/>
    <cellStyle name="Normal 4 2 3 3 5" xfId="8585"/>
    <cellStyle name="Normal 4 2 3 3 5 2" xfId="8586"/>
    <cellStyle name="Normal 4 2 3 3 5 2 2" xfId="60013"/>
    <cellStyle name="Normal 4 2 3 3 5 3" xfId="60014"/>
    <cellStyle name="Normal 4 2 3 3 5 4" xfId="60015"/>
    <cellStyle name="Normal 4 2 3 3 5 5" xfId="60016"/>
    <cellStyle name="Normal 4 2 3 3 6" xfId="8587"/>
    <cellStyle name="Normal 4 2 3 3 6 2" xfId="60017"/>
    <cellStyle name="Normal 4 2 3 3 7" xfId="60018"/>
    <cellStyle name="Normal 4 2 3 3 8" xfId="60019"/>
    <cellStyle name="Normal 4 2 3 3 9" xfId="60020"/>
    <cellStyle name="Normal 4 2 3 4" xfId="4609"/>
    <cellStyle name="Normal 4 2 3 4 2" xfId="8588"/>
    <cellStyle name="Normal 4 2 3 4 2 2" xfId="8589"/>
    <cellStyle name="Normal 4 2 3 4 2 2 2" xfId="8590"/>
    <cellStyle name="Normal 4 2 3 4 2 2 3" xfId="60021"/>
    <cellStyle name="Normal 4 2 3 4 2 3" xfId="8591"/>
    <cellStyle name="Normal 4 2 3 4 2 3 2" xfId="60022"/>
    <cellStyle name="Normal 4 2 3 4 2 4" xfId="60023"/>
    <cellStyle name="Normal 4 2 3 4 2 5" xfId="60024"/>
    <cellStyle name="Normal 4 2 3 4 3" xfId="8592"/>
    <cellStyle name="Normal 4 2 3 4 3 2" xfId="8593"/>
    <cellStyle name="Normal 4 2 3 4 3 3" xfId="60025"/>
    <cellStyle name="Normal 4 2 3 4 4" xfId="8594"/>
    <cellStyle name="Normal 4 2 3 4 4 2" xfId="60026"/>
    <cellStyle name="Normal 4 2 3 4 5" xfId="60027"/>
    <cellStyle name="Normal 4 2 3 4 6" xfId="60028"/>
    <cellStyle name="Normal 4 2 3 5" xfId="8595"/>
    <cellStyle name="Normal 4 2 3 5 2" xfId="8596"/>
    <cellStyle name="Normal 4 2 3 5 2 2" xfId="8597"/>
    <cellStyle name="Normal 4 2 3 5 2 2 2" xfId="60029"/>
    <cellStyle name="Normal 4 2 3 5 2 3" xfId="60030"/>
    <cellStyle name="Normal 4 2 3 5 2 4" xfId="60031"/>
    <cellStyle name="Normal 4 2 3 5 2 5" xfId="60032"/>
    <cellStyle name="Normal 4 2 3 5 3" xfId="8598"/>
    <cellStyle name="Normal 4 2 3 5 3 2" xfId="60033"/>
    <cellStyle name="Normal 4 2 3 5 4" xfId="60034"/>
    <cellStyle name="Normal 4 2 3 5 5" xfId="60035"/>
    <cellStyle name="Normal 4 2 3 5 6" xfId="60036"/>
    <cellStyle name="Normal 4 2 3 6" xfId="8599"/>
    <cellStyle name="Normal 4 2 3 6 2" xfId="8600"/>
    <cellStyle name="Normal 4 2 3 6 2 2" xfId="60037"/>
    <cellStyle name="Normal 4 2 3 6 3" xfId="60038"/>
    <cellStyle name="Normal 4 2 3 6 4" xfId="60039"/>
    <cellStyle name="Normal 4 2 3 6 5" xfId="60040"/>
    <cellStyle name="Normal 4 2 3 7" xfId="8601"/>
    <cellStyle name="Normal 4 2 3 7 2" xfId="8602"/>
    <cellStyle name="Normal 4 2 3 7 2 2" xfId="60041"/>
    <cellStyle name="Normal 4 2 3 7 3" xfId="60042"/>
    <cellStyle name="Normal 4 2 3 7 4" xfId="60043"/>
    <cellStyle name="Normal 4 2 3 7 5" xfId="60044"/>
    <cellStyle name="Normal 4 2 3 8" xfId="8603"/>
    <cellStyle name="Normal 4 2 3 8 2" xfId="60045"/>
    <cellStyle name="Normal 4 2 3 9" xfId="60046"/>
    <cellStyle name="Normal 4 2 4" xfId="4610"/>
    <cellStyle name="Normal 4 2 4 10" xfId="60047"/>
    <cellStyle name="Normal 4 2 4 2" xfId="4611"/>
    <cellStyle name="Normal 4 2 4 2 2" xfId="4612"/>
    <cellStyle name="Normal 4 2 4 2 2 2" xfId="8604"/>
    <cellStyle name="Normal 4 2 4 2 2 2 2" xfId="8605"/>
    <cellStyle name="Normal 4 2 4 2 2 2 2 2" xfId="8606"/>
    <cellStyle name="Normal 4 2 4 2 2 2 2 3" xfId="60048"/>
    <cellStyle name="Normal 4 2 4 2 2 2 3" xfId="8607"/>
    <cellStyle name="Normal 4 2 4 2 2 2 3 2" xfId="60049"/>
    <cellStyle name="Normal 4 2 4 2 2 2 4" xfId="60050"/>
    <cellStyle name="Normal 4 2 4 2 2 2 5" xfId="60051"/>
    <cellStyle name="Normal 4 2 4 2 2 3" xfId="8608"/>
    <cellStyle name="Normal 4 2 4 2 2 3 2" xfId="8609"/>
    <cellStyle name="Normal 4 2 4 2 2 3 3" xfId="60052"/>
    <cellStyle name="Normal 4 2 4 2 2 4" xfId="8610"/>
    <cellStyle name="Normal 4 2 4 2 2 4 2" xfId="60053"/>
    <cellStyle name="Normal 4 2 4 2 2 5" xfId="60054"/>
    <cellStyle name="Normal 4 2 4 2 2 6" xfId="60055"/>
    <cellStyle name="Normal 4 2 4 2 3" xfId="8611"/>
    <cellStyle name="Normal 4 2 4 2 3 2" xfId="8612"/>
    <cellStyle name="Normal 4 2 4 2 3 2 2" xfId="8613"/>
    <cellStyle name="Normal 4 2 4 2 3 2 2 2" xfId="60056"/>
    <cellStyle name="Normal 4 2 4 2 3 2 3" xfId="60057"/>
    <cellStyle name="Normal 4 2 4 2 3 2 4" xfId="60058"/>
    <cellStyle name="Normal 4 2 4 2 3 2 5" xfId="60059"/>
    <cellStyle name="Normal 4 2 4 2 3 3" xfId="8614"/>
    <cellStyle name="Normal 4 2 4 2 3 3 2" xfId="60060"/>
    <cellStyle name="Normal 4 2 4 2 3 4" xfId="60061"/>
    <cellStyle name="Normal 4 2 4 2 3 5" xfId="60062"/>
    <cellStyle name="Normal 4 2 4 2 3 6" xfId="60063"/>
    <cellStyle name="Normal 4 2 4 2 4" xfId="8615"/>
    <cellStyle name="Normal 4 2 4 2 4 2" xfId="8616"/>
    <cellStyle name="Normal 4 2 4 2 4 2 2" xfId="60064"/>
    <cellStyle name="Normal 4 2 4 2 4 3" xfId="60065"/>
    <cellStyle name="Normal 4 2 4 2 4 4" xfId="60066"/>
    <cellStyle name="Normal 4 2 4 2 4 5" xfId="60067"/>
    <cellStyle name="Normal 4 2 4 2 5" xfId="8617"/>
    <cellStyle name="Normal 4 2 4 2 5 2" xfId="8618"/>
    <cellStyle name="Normal 4 2 4 2 5 2 2" xfId="60068"/>
    <cellStyle name="Normal 4 2 4 2 5 3" xfId="60069"/>
    <cellStyle name="Normal 4 2 4 2 5 4" xfId="60070"/>
    <cellStyle name="Normal 4 2 4 2 5 5" xfId="60071"/>
    <cellStyle name="Normal 4 2 4 2 6" xfId="8619"/>
    <cellStyle name="Normal 4 2 4 2 6 2" xfId="60072"/>
    <cellStyle name="Normal 4 2 4 2 7" xfId="60073"/>
    <cellStyle name="Normal 4 2 4 2 8" xfId="60074"/>
    <cellStyle name="Normal 4 2 4 2 9" xfId="60075"/>
    <cellStyle name="Normal 4 2 4 3" xfId="4613"/>
    <cellStyle name="Normal 4 2 4 3 2" xfId="8620"/>
    <cellStyle name="Normal 4 2 4 3 2 2" xfId="8621"/>
    <cellStyle name="Normal 4 2 4 3 2 2 2" xfId="8622"/>
    <cellStyle name="Normal 4 2 4 3 2 2 3" xfId="60076"/>
    <cellStyle name="Normal 4 2 4 3 2 3" xfId="8623"/>
    <cellStyle name="Normal 4 2 4 3 2 3 2" xfId="60077"/>
    <cellStyle name="Normal 4 2 4 3 2 4" xfId="60078"/>
    <cellStyle name="Normal 4 2 4 3 2 5" xfId="60079"/>
    <cellStyle name="Normal 4 2 4 3 3" xfId="8624"/>
    <cellStyle name="Normal 4 2 4 3 3 2" xfId="8625"/>
    <cellStyle name="Normal 4 2 4 3 3 3" xfId="60080"/>
    <cellStyle name="Normal 4 2 4 3 4" xfId="8626"/>
    <cellStyle name="Normal 4 2 4 3 4 2" xfId="60081"/>
    <cellStyle name="Normal 4 2 4 3 5" xfId="60082"/>
    <cellStyle name="Normal 4 2 4 3 6" xfId="60083"/>
    <cellStyle name="Normal 4 2 4 4" xfId="8627"/>
    <cellStyle name="Normal 4 2 4 4 2" xfId="8628"/>
    <cellStyle name="Normal 4 2 4 4 2 2" xfId="8629"/>
    <cellStyle name="Normal 4 2 4 4 2 2 2" xfId="60084"/>
    <cellStyle name="Normal 4 2 4 4 2 3" xfId="60085"/>
    <cellStyle name="Normal 4 2 4 4 2 4" xfId="60086"/>
    <cellStyle name="Normal 4 2 4 4 2 5" xfId="60087"/>
    <cellStyle name="Normal 4 2 4 4 3" xfId="8630"/>
    <cellStyle name="Normal 4 2 4 4 3 2" xfId="60088"/>
    <cellStyle name="Normal 4 2 4 4 4" xfId="60089"/>
    <cellStyle name="Normal 4 2 4 4 5" xfId="60090"/>
    <cellStyle name="Normal 4 2 4 4 6" xfId="60091"/>
    <cellStyle name="Normal 4 2 4 5" xfId="8631"/>
    <cellStyle name="Normal 4 2 4 5 2" xfId="8632"/>
    <cellStyle name="Normal 4 2 4 5 2 2" xfId="60092"/>
    <cellStyle name="Normal 4 2 4 5 3" xfId="60093"/>
    <cellStyle name="Normal 4 2 4 5 4" xfId="60094"/>
    <cellStyle name="Normal 4 2 4 5 5" xfId="60095"/>
    <cellStyle name="Normal 4 2 4 6" xfId="8633"/>
    <cellStyle name="Normal 4 2 4 6 2" xfId="8634"/>
    <cellStyle name="Normal 4 2 4 6 2 2" xfId="60096"/>
    <cellStyle name="Normal 4 2 4 6 3" xfId="60097"/>
    <cellStyle name="Normal 4 2 4 6 4" xfId="60098"/>
    <cellStyle name="Normal 4 2 4 6 5" xfId="60099"/>
    <cellStyle name="Normal 4 2 4 7" xfId="8635"/>
    <cellStyle name="Normal 4 2 4 7 2" xfId="60100"/>
    <cellStyle name="Normal 4 2 4 8" xfId="60101"/>
    <cellStyle name="Normal 4 2 4 9" xfId="60102"/>
    <cellStyle name="Normal 4 2 5" xfId="4614"/>
    <cellStyle name="Normal 4 2 5 2" xfId="4615"/>
    <cellStyle name="Normal 4 2 5 2 2" xfId="8636"/>
    <cellStyle name="Normal 4 2 5 2 2 2" xfId="8637"/>
    <cellStyle name="Normal 4 2 5 2 2 2 2" xfId="8638"/>
    <cellStyle name="Normal 4 2 5 2 2 2 3" xfId="60103"/>
    <cellStyle name="Normal 4 2 5 2 2 3" xfId="8639"/>
    <cellStyle name="Normal 4 2 5 2 2 3 2" xfId="60104"/>
    <cellStyle name="Normal 4 2 5 2 2 4" xfId="60105"/>
    <cellStyle name="Normal 4 2 5 2 2 5" xfId="60106"/>
    <cellStyle name="Normal 4 2 5 2 3" xfId="8640"/>
    <cellStyle name="Normal 4 2 5 2 3 2" xfId="8641"/>
    <cellStyle name="Normal 4 2 5 2 3 3" xfId="60107"/>
    <cellStyle name="Normal 4 2 5 2 4" xfId="8642"/>
    <cellStyle name="Normal 4 2 5 2 4 2" xfId="60108"/>
    <cellStyle name="Normal 4 2 5 2 5" xfId="60109"/>
    <cellStyle name="Normal 4 2 5 2 6" xfId="60110"/>
    <cellStyle name="Normal 4 2 5 3" xfId="8643"/>
    <cellStyle name="Normal 4 2 5 3 2" xfId="8644"/>
    <cellStyle name="Normal 4 2 5 3 2 2" xfId="8645"/>
    <cellStyle name="Normal 4 2 5 3 2 2 2" xfId="60111"/>
    <cellStyle name="Normal 4 2 5 3 2 3" xfId="60112"/>
    <cellStyle name="Normal 4 2 5 3 2 4" xfId="60113"/>
    <cellStyle name="Normal 4 2 5 3 2 5" xfId="60114"/>
    <cellStyle name="Normal 4 2 5 3 3" xfId="8646"/>
    <cellStyle name="Normal 4 2 5 3 3 2" xfId="60115"/>
    <cellStyle name="Normal 4 2 5 3 4" xfId="60116"/>
    <cellStyle name="Normal 4 2 5 3 5" xfId="60117"/>
    <cellStyle name="Normal 4 2 5 3 6" xfId="60118"/>
    <cellStyle name="Normal 4 2 5 4" xfId="8647"/>
    <cellStyle name="Normal 4 2 5 4 2" xfId="8648"/>
    <cellStyle name="Normal 4 2 5 4 2 2" xfId="60119"/>
    <cellStyle name="Normal 4 2 5 4 3" xfId="60120"/>
    <cellStyle name="Normal 4 2 5 4 4" xfId="60121"/>
    <cellStyle name="Normal 4 2 5 4 5" xfId="60122"/>
    <cellStyle name="Normal 4 2 5 5" xfId="8649"/>
    <cellStyle name="Normal 4 2 5 5 2" xfId="8650"/>
    <cellStyle name="Normal 4 2 5 5 2 2" xfId="60123"/>
    <cellStyle name="Normal 4 2 5 5 3" xfId="60124"/>
    <cellStyle name="Normal 4 2 5 5 4" xfId="60125"/>
    <cellStyle name="Normal 4 2 5 5 5" xfId="60126"/>
    <cellStyle name="Normal 4 2 5 6" xfId="8651"/>
    <cellStyle name="Normal 4 2 5 6 2" xfId="60127"/>
    <cellStyle name="Normal 4 2 5 7" xfId="60128"/>
    <cellStyle name="Normal 4 2 5 8" xfId="60129"/>
    <cellStyle name="Normal 4 2 5 9" xfId="60130"/>
    <cellStyle name="Normal 4 2 6" xfId="4616"/>
    <cellStyle name="Normal 4 2 6 2" xfId="8652"/>
    <cellStyle name="Normal 4 2 6 2 2" xfId="8653"/>
    <cellStyle name="Normal 4 2 6 2 2 2" xfId="8654"/>
    <cellStyle name="Normal 4 2 6 2 2 3" xfId="60131"/>
    <cellStyle name="Normal 4 2 6 2 3" xfId="8655"/>
    <cellStyle name="Normal 4 2 6 2 3 2" xfId="60132"/>
    <cellStyle name="Normal 4 2 6 2 4" xfId="60133"/>
    <cellStyle name="Normal 4 2 6 2 5" xfId="60134"/>
    <cellStyle name="Normal 4 2 6 3" xfId="8656"/>
    <cellStyle name="Normal 4 2 6 3 2" xfId="8657"/>
    <cellStyle name="Normal 4 2 6 3 3" xfId="60135"/>
    <cellStyle name="Normal 4 2 6 4" xfId="8658"/>
    <cellStyle name="Normal 4 2 6 4 2" xfId="60136"/>
    <cellStyle name="Normal 4 2 6 5" xfId="60137"/>
    <cellStyle name="Normal 4 2 6 6" xfId="60138"/>
    <cellStyle name="Normal 4 2 7" xfId="8659"/>
    <cellStyle name="Normal 4 2 7 2" xfId="8660"/>
    <cellStyle name="Normal 4 2 7 2 2" xfId="8661"/>
    <cellStyle name="Normal 4 2 7 2 2 2" xfId="60139"/>
    <cellStyle name="Normal 4 2 7 2 3" xfId="60140"/>
    <cellStyle name="Normal 4 2 7 2 4" xfId="60141"/>
    <cellStyle name="Normal 4 2 7 2 5" xfId="60142"/>
    <cellStyle name="Normal 4 2 7 3" xfId="8662"/>
    <cellStyle name="Normal 4 2 7 3 2" xfId="60143"/>
    <cellStyle name="Normal 4 2 7 4" xfId="60144"/>
    <cellStyle name="Normal 4 2 7 5" xfId="60145"/>
    <cellStyle name="Normal 4 2 7 6" xfId="60146"/>
    <cellStyle name="Normal 4 2 8" xfId="8663"/>
    <cellStyle name="Normal 4 2 8 2" xfId="8664"/>
    <cellStyle name="Normal 4 2 8 2 2" xfId="60147"/>
    <cellStyle name="Normal 4 2 8 3" xfId="60148"/>
    <cellStyle name="Normal 4 2 8 4" xfId="60149"/>
    <cellStyle name="Normal 4 2 8 5" xfId="60150"/>
    <cellStyle name="Normal 4 2 9" xfId="8665"/>
    <cellStyle name="Normal 4 2 9 2" xfId="8666"/>
    <cellStyle name="Normal 4 2 9 2 2" xfId="60151"/>
    <cellStyle name="Normal 4 2 9 3" xfId="60152"/>
    <cellStyle name="Normal 4 2 9 4" xfId="60153"/>
    <cellStyle name="Normal 4 2 9 5" xfId="60154"/>
    <cellStyle name="Normal 4 3" xfId="4617"/>
    <cellStyle name="Normal 4 3 2" xfId="4618"/>
    <cellStyle name="Normal 4 3 2 2" xfId="4619"/>
    <cellStyle name="Normal 4 3 2 2 2" xfId="4620"/>
    <cellStyle name="Normal 4 3 2 2 2 2" xfId="4621"/>
    <cellStyle name="Normal 4 3 2 2 3" xfId="4622"/>
    <cellStyle name="Normal 4 3 2 3" xfId="4623"/>
    <cellStyle name="Normal 4 3 2 3 2" xfId="4624"/>
    <cellStyle name="Normal 4 3 2 4" xfId="4625"/>
    <cellStyle name="Normal 4 3 2 5" xfId="60155"/>
    <cellStyle name="Normal 4 3 3" xfId="4626"/>
    <cellStyle name="Normal 4 3 3 2" xfId="4627"/>
    <cellStyle name="Normal 4 3 3 2 2" xfId="4628"/>
    <cellStyle name="Normal 4 3 3 3" xfId="4629"/>
    <cellStyle name="Normal 4 3 4" xfId="4630"/>
    <cellStyle name="Normal 4 3 4 2" xfId="4631"/>
    <cellStyle name="Normal 4 3 5" xfId="4632"/>
    <cellStyle name="Normal 4 3 6" xfId="60156"/>
    <cellStyle name="Normal 4 4" xfId="4633"/>
    <cellStyle name="Normal 4 4 2" xfId="4634"/>
    <cellStyle name="Normal 4 4 2 2" xfId="4635"/>
    <cellStyle name="Normal 4 4 2 2 2" xfId="4636"/>
    <cellStyle name="Normal 4 4 2 2 3" xfId="60157"/>
    <cellStyle name="Normal 4 4 2 3" xfId="4637"/>
    <cellStyle name="Normal 4 4 2 4" xfId="60158"/>
    <cellStyle name="Normal 4 4 3" xfId="4638"/>
    <cellStyle name="Normal 4 4 3 2" xfId="4639"/>
    <cellStyle name="Normal 4 4 3 3" xfId="60159"/>
    <cellStyle name="Normal 4 4 4" xfId="4640"/>
    <cellStyle name="Normal 4 4 5" xfId="60160"/>
    <cellStyle name="Normal 4 4 6" xfId="60161"/>
    <cellStyle name="Normal 4 4 7" xfId="60162"/>
    <cellStyle name="Normal 4 5" xfId="4641"/>
    <cellStyle name="Normal 4 5 2" xfId="4642"/>
    <cellStyle name="Normal 4 5 2 2" xfId="4643"/>
    <cellStyle name="Normal 4 5 2 3" xfId="60163"/>
    <cellStyle name="Normal 4 5 3" xfId="4644"/>
    <cellStyle name="Normal 4 5 4" xfId="60164"/>
    <cellStyle name="Normal 4 6" xfId="4645"/>
    <cellStyle name="Normal 4 6 2" xfId="4646"/>
    <cellStyle name="Normal 4 6 3" xfId="60165"/>
    <cellStyle name="Normal 4 7" xfId="4647"/>
    <cellStyle name="Normal 4 7 2" xfId="60166"/>
    <cellStyle name="Normal 4 8" xfId="4648"/>
    <cellStyle name="Normal 4 9" xfId="9301"/>
    <cellStyle name="Normal 4_183302" xfId="8774"/>
    <cellStyle name="Normal 40" xfId="4649"/>
    <cellStyle name="Normal 40 2" xfId="4650"/>
    <cellStyle name="Normal 41" xfId="4651"/>
    <cellStyle name="Normal 41 2" xfId="4652"/>
    <cellStyle name="Normal 42" xfId="4653"/>
    <cellStyle name="Normal 42 2" xfId="60167"/>
    <cellStyle name="Normal 42 3" xfId="60168"/>
    <cellStyle name="Normal 42 4" xfId="60169"/>
    <cellStyle name="Normal 43" xfId="4654"/>
    <cellStyle name="Normal 43 2" xfId="60170"/>
    <cellStyle name="Normal 43 3" xfId="60171"/>
    <cellStyle name="Normal 44" xfId="4655"/>
    <cellStyle name="Normal 44 2" xfId="60172"/>
    <cellStyle name="Normal 44 3" xfId="60173"/>
    <cellStyle name="Normal 45" xfId="4656"/>
    <cellStyle name="Normal 45 2" xfId="60174"/>
    <cellStyle name="Normal 45 3" xfId="60175"/>
    <cellStyle name="Normal 46" xfId="1"/>
    <cellStyle name="Normal 46 2" xfId="9302"/>
    <cellStyle name="Normal 46 2 2" xfId="57969"/>
    <cellStyle name="Normal 46 3" xfId="57970"/>
    <cellStyle name="Normal 47" xfId="8207"/>
    <cellStyle name="Normal 47 2" xfId="8813"/>
    <cellStyle name="Normal 47 3" xfId="60176"/>
    <cellStyle name="Normal 48" xfId="8667"/>
    <cellStyle name="Normal 48 2" xfId="60177"/>
    <cellStyle name="Normal 48 3" xfId="60178"/>
    <cellStyle name="Normal 49" xfId="8670"/>
    <cellStyle name="Normal 49 2" xfId="60179"/>
    <cellStyle name="Normal 49 3" xfId="60180"/>
    <cellStyle name="Normal 5" xfId="4657"/>
    <cellStyle name="Normal 5 10" xfId="4658"/>
    <cellStyle name="Normal 5 10 2" xfId="4659"/>
    <cellStyle name="Normal 5 10 2 2" xfId="4660"/>
    <cellStyle name="Normal 5 10 2 2 2" xfId="4661"/>
    <cellStyle name="Normal 5 10 2 3" xfId="4662"/>
    <cellStyle name="Normal 5 10 3" xfId="4663"/>
    <cellStyle name="Normal 5 10 3 2" xfId="4664"/>
    <cellStyle name="Normal 5 10 4" xfId="4665"/>
    <cellStyle name="Normal 5 11" xfId="4666"/>
    <cellStyle name="Normal 5 11 2" xfId="4667"/>
    <cellStyle name="Normal 5 11 2 2" xfId="4668"/>
    <cellStyle name="Normal 5 11 3" xfId="4669"/>
    <cellStyle name="Normal 5 12" xfId="4670"/>
    <cellStyle name="Normal 5 12 2" xfId="4671"/>
    <cellStyle name="Normal 5 13" xfId="9303"/>
    <cellStyle name="Normal 5 2" xfId="4672"/>
    <cellStyle name="Normal 5 2 10" xfId="4673"/>
    <cellStyle name="Normal 5 2 11" xfId="60181"/>
    <cellStyle name="Normal 5 2 2" xfId="4674"/>
    <cellStyle name="Normal 5 2 2 2" xfId="4675"/>
    <cellStyle name="Normal 5 2 2 2 2" xfId="4676"/>
    <cellStyle name="Normal 5 2 2 2 2 2" xfId="4677"/>
    <cellStyle name="Normal 5 2 2 2 2 2 2" xfId="4678"/>
    <cellStyle name="Normal 5 2 2 2 2 2 2 2" xfId="4679"/>
    <cellStyle name="Normal 5 2 2 2 2 2 2 2 2" xfId="4680"/>
    <cellStyle name="Normal 5 2 2 2 2 2 2 3" xfId="4681"/>
    <cellStyle name="Normal 5 2 2 2 2 2 3" xfId="4682"/>
    <cellStyle name="Normal 5 2 2 2 2 2 3 2" xfId="4683"/>
    <cellStyle name="Normal 5 2 2 2 2 2 4" xfId="4684"/>
    <cellStyle name="Normal 5 2 2 2 2 3" xfId="4685"/>
    <cellStyle name="Normal 5 2 2 2 2 3 2" xfId="4686"/>
    <cellStyle name="Normal 5 2 2 2 2 3 2 2" xfId="4687"/>
    <cellStyle name="Normal 5 2 2 2 2 3 3" xfId="4688"/>
    <cellStyle name="Normal 5 2 2 2 2 4" xfId="4689"/>
    <cellStyle name="Normal 5 2 2 2 2 4 2" xfId="4690"/>
    <cellStyle name="Normal 5 2 2 2 2 5" xfId="4691"/>
    <cellStyle name="Normal 5 2 2 2 2 6" xfId="60182"/>
    <cellStyle name="Normal 5 2 2 2 3" xfId="4692"/>
    <cellStyle name="Normal 5 2 2 2 3 2" xfId="4693"/>
    <cellStyle name="Normal 5 2 2 2 3 2 2" xfId="4694"/>
    <cellStyle name="Normal 5 2 2 2 3 2 2 2" xfId="4695"/>
    <cellStyle name="Normal 5 2 2 2 3 2 3" xfId="4696"/>
    <cellStyle name="Normal 5 2 2 2 3 3" xfId="4697"/>
    <cellStyle name="Normal 5 2 2 2 3 3 2" xfId="4698"/>
    <cellStyle name="Normal 5 2 2 2 3 4" xfId="4699"/>
    <cellStyle name="Normal 5 2 2 2 4" xfId="4700"/>
    <cellStyle name="Normal 5 2 2 2 4 2" xfId="4701"/>
    <cellStyle name="Normal 5 2 2 2 4 2 2" xfId="4702"/>
    <cellStyle name="Normal 5 2 2 2 4 3" xfId="4703"/>
    <cellStyle name="Normal 5 2 2 2 5" xfId="4704"/>
    <cellStyle name="Normal 5 2 2 2 5 2" xfId="4705"/>
    <cellStyle name="Normal 5 2 2 2 6" xfId="4706"/>
    <cellStyle name="Normal 5 2 2 2 7" xfId="60183"/>
    <cellStyle name="Normal 5 2 2 3" xfId="4707"/>
    <cellStyle name="Normal 5 2 2 3 2" xfId="4708"/>
    <cellStyle name="Normal 5 2 2 3 2 2" xfId="4709"/>
    <cellStyle name="Normal 5 2 2 3 2 2 2" xfId="4710"/>
    <cellStyle name="Normal 5 2 2 3 2 2 2 2" xfId="4711"/>
    <cellStyle name="Normal 5 2 2 3 2 2 3" xfId="4712"/>
    <cellStyle name="Normal 5 2 2 3 2 3" xfId="4713"/>
    <cellStyle name="Normal 5 2 2 3 2 3 2" xfId="4714"/>
    <cellStyle name="Normal 5 2 2 3 2 4" xfId="4715"/>
    <cellStyle name="Normal 5 2 2 3 3" xfId="4716"/>
    <cellStyle name="Normal 5 2 2 3 3 2" xfId="4717"/>
    <cellStyle name="Normal 5 2 2 3 3 2 2" xfId="4718"/>
    <cellStyle name="Normal 5 2 2 3 3 3" xfId="4719"/>
    <cellStyle name="Normal 5 2 2 3 4" xfId="4720"/>
    <cellStyle name="Normal 5 2 2 3 4 2" xfId="4721"/>
    <cellStyle name="Normal 5 2 2 3 5" xfId="4722"/>
    <cellStyle name="Normal 5 2 2 3 6" xfId="60184"/>
    <cellStyle name="Normal 5 2 2 4" xfId="4723"/>
    <cellStyle name="Normal 5 2 2 4 2" xfId="4724"/>
    <cellStyle name="Normal 5 2 2 4 2 2" xfId="4725"/>
    <cellStyle name="Normal 5 2 2 4 2 2 2" xfId="4726"/>
    <cellStyle name="Normal 5 2 2 4 2 2 2 2" xfId="4727"/>
    <cellStyle name="Normal 5 2 2 4 2 2 3" xfId="4728"/>
    <cellStyle name="Normal 5 2 2 4 2 3" xfId="4729"/>
    <cellStyle name="Normal 5 2 2 4 2 3 2" xfId="4730"/>
    <cellStyle name="Normal 5 2 2 4 2 4" xfId="4731"/>
    <cellStyle name="Normal 5 2 2 4 3" xfId="4732"/>
    <cellStyle name="Normal 5 2 2 4 3 2" xfId="4733"/>
    <cellStyle name="Normal 5 2 2 4 3 2 2" xfId="4734"/>
    <cellStyle name="Normal 5 2 2 4 3 3" xfId="4735"/>
    <cellStyle name="Normal 5 2 2 4 4" xfId="4736"/>
    <cellStyle name="Normal 5 2 2 4 4 2" xfId="4737"/>
    <cellStyle name="Normal 5 2 2 4 5" xfId="4738"/>
    <cellStyle name="Normal 5 2 2 5" xfId="4739"/>
    <cellStyle name="Normal 5 2 2 5 2" xfId="4740"/>
    <cellStyle name="Normal 5 2 2 5 2 2" xfId="4741"/>
    <cellStyle name="Normal 5 2 2 5 2 2 2" xfId="4742"/>
    <cellStyle name="Normal 5 2 2 5 2 3" xfId="4743"/>
    <cellStyle name="Normal 5 2 2 5 3" xfId="4744"/>
    <cellStyle name="Normal 5 2 2 5 3 2" xfId="4745"/>
    <cellStyle name="Normal 5 2 2 5 4" xfId="4746"/>
    <cellStyle name="Normal 5 2 2 6" xfId="4747"/>
    <cellStyle name="Normal 5 2 2 6 2" xfId="4748"/>
    <cellStyle name="Normal 5 2 2 6 2 2" xfId="4749"/>
    <cellStyle name="Normal 5 2 2 6 3" xfId="4750"/>
    <cellStyle name="Normal 5 2 2 7" xfId="4751"/>
    <cellStyle name="Normal 5 2 2 7 2" xfId="4752"/>
    <cellStyle name="Normal 5 2 2 8" xfId="4753"/>
    <cellStyle name="Normal 5 2 2 9" xfId="60185"/>
    <cellStyle name="Normal 5 2 3" xfId="4754"/>
    <cellStyle name="Normal 5 2 3 2" xfId="4755"/>
    <cellStyle name="Normal 5 2 3 2 2" xfId="4756"/>
    <cellStyle name="Normal 5 2 3 2 2 2" xfId="4757"/>
    <cellStyle name="Normal 5 2 3 2 2 2 2" xfId="4758"/>
    <cellStyle name="Normal 5 2 3 2 2 2 2 2" xfId="4759"/>
    <cellStyle name="Normal 5 2 3 2 2 2 3" xfId="4760"/>
    <cellStyle name="Normal 5 2 3 2 2 3" xfId="4761"/>
    <cellStyle name="Normal 5 2 3 2 2 3 2" xfId="4762"/>
    <cellStyle name="Normal 5 2 3 2 2 4" xfId="4763"/>
    <cellStyle name="Normal 5 2 3 2 3" xfId="4764"/>
    <cellStyle name="Normal 5 2 3 2 3 2" xfId="4765"/>
    <cellStyle name="Normal 5 2 3 2 3 2 2" xfId="4766"/>
    <cellStyle name="Normal 5 2 3 2 3 3" xfId="4767"/>
    <cellStyle name="Normal 5 2 3 2 4" xfId="4768"/>
    <cellStyle name="Normal 5 2 3 2 4 2" xfId="4769"/>
    <cellStyle name="Normal 5 2 3 2 5" xfId="4770"/>
    <cellStyle name="Normal 5 2 3 3" xfId="4771"/>
    <cellStyle name="Normal 5 2 3 3 2" xfId="4772"/>
    <cellStyle name="Normal 5 2 3 3 2 2" xfId="4773"/>
    <cellStyle name="Normal 5 2 3 3 2 2 2" xfId="4774"/>
    <cellStyle name="Normal 5 2 3 3 2 3" xfId="4775"/>
    <cellStyle name="Normal 5 2 3 3 3" xfId="4776"/>
    <cellStyle name="Normal 5 2 3 3 3 2" xfId="4777"/>
    <cellStyle name="Normal 5 2 3 3 4" xfId="4778"/>
    <cellStyle name="Normal 5 2 3 4" xfId="4779"/>
    <cellStyle name="Normal 5 2 3 4 2" xfId="4780"/>
    <cellStyle name="Normal 5 2 3 4 2 2" xfId="4781"/>
    <cellStyle name="Normal 5 2 3 4 3" xfId="4782"/>
    <cellStyle name="Normal 5 2 3 5" xfId="4783"/>
    <cellStyle name="Normal 5 2 3 5 2" xfId="4784"/>
    <cellStyle name="Normal 5 2 3 6" xfId="4785"/>
    <cellStyle name="Normal 5 2 3 7" xfId="60186"/>
    <cellStyle name="Normal 5 2 4" xfId="4786"/>
    <cellStyle name="Normal 5 2 4 2" xfId="4787"/>
    <cellStyle name="Normal 5 2 4 2 2" xfId="4788"/>
    <cellStyle name="Normal 5 2 4 2 2 2" xfId="4789"/>
    <cellStyle name="Normal 5 2 4 2 2 2 2" xfId="4790"/>
    <cellStyle name="Normal 5 2 4 2 2 3" xfId="4791"/>
    <cellStyle name="Normal 5 2 4 2 3" xfId="4792"/>
    <cellStyle name="Normal 5 2 4 2 3 2" xfId="4793"/>
    <cellStyle name="Normal 5 2 4 2 4" xfId="4794"/>
    <cellStyle name="Normal 5 2 4 2 5" xfId="60187"/>
    <cellStyle name="Normal 5 2 4 3" xfId="4795"/>
    <cellStyle name="Normal 5 2 4 3 2" xfId="4796"/>
    <cellStyle name="Normal 5 2 4 3 2 2" xfId="4797"/>
    <cellStyle name="Normal 5 2 4 3 3" xfId="4798"/>
    <cellStyle name="Normal 5 2 4 4" xfId="4799"/>
    <cellStyle name="Normal 5 2 4 4 2" xfId="4800"/>
    <cellStyle name="Normal 5 2 4 5" xfId="4801"/>
    <cellStyle name="Normal 5 2 4 6" xfId="60188"/>
    <cellStyle name="Normal 5 2 5" xfId="4802"/>
    <cellStyle name="Normal 5 2 5 2" xfId="4803"/>
    <cellStyle name="Normal 5 2 5 2 2" xfId="4804"/>
    <cellStyle name="Normal 5 2 5 2 2 2" xfId="4805"/>
    <cellStyle name="Normal 5 2 5 2 2 2 2" xfId="4806"/>
    <cellStyle name="Normal 5 2 5 2 2 3" xfId="4807"/>
    <cellStyle name="Normal 5 2 5 2 3" xfId="4808"/>
    <cellStyle name="Normal 5 2 5 2 3 2" xfId="4809"/>
    <cellStyle name="Normal 5 2 5 2 4" xfId="4810"/>
    <cellStyle name="Normal 5 2 5 3" xfId="4811"/>
    <cellStyle name="Normal 5 2 5 3 2" xfId="4812"/>
    <cellStyle name="Normal 5 2 5 3 2 2" xfId="4813"/>
    <cellStyle name="Normal 5 2 5 3 3" xfId="4814"/>
    <cellStyle name="Normal 5 2 5 4" xfId="4815"/>
    <cellStyle name="Normal 5 2 5 4 2" xfId="4816"/>
    <cellStyle name="Normal 5 2 5 5" xfId="4817"/>
    <cellStyle name="Normal 5 2 5 6" xfId="60189"/>
    <cellStyle name="Normal 5 2 6" xfId="4818"/>
    <cellStyle name="Normal 5 2 6 2" xfId="4819"/>
    <cellStyle name="Normal 5 2 6 2 2" xfId="4820"/>
    <cellStyle name="Normal 5 2 6 2 2 2" xfId="4821"/>
    <cellStyle name="Normal 5 2 6 2 3" xfId="4822"/>
    <cellStyle name="Normal 5 2 6 3" xfId="4823"/>
    <cellStyle name="Normal 5 2 6 3 2" xfId="4824"/>
    <cellStyle name="Normal 5 2 6 4" xfId="4825"/>
    <cellStyle name="Normal 5 2 7" xfId="4826"/>
    <cellStyle name="Normal 5 2 7 2" xfId="4827"/>
    <cellStyle name="Normal 5 2 7 2 2" xfId="4828"/>
    <cellStyle name="Normal 5 2 7 3" xfId="4829"/>
    <cellStyle name="Normal 5 2 8" xfId="4830"/>
    <cellStyle name="Normal 5 2 8 2" xfId="4831"/>
    <cellStyle name="Normal 5 2 9" xfId="4832"/>
    <cellStyle name="Normal 5 3" xfId="4833"/>
    <cellStyle name="Normal 5 3 10" xfId="4834"/>
    <cellStyle name="Normal 5 3 11" xfId="60190"/>
    <cellStyle name="Normal 5 3 2" xfId="4835"/>
    <cellStyle name="Normal 5 3 2 2" xfId="4836"/>
    <cellStyle name="Normal 5 3 2 2 2" xfId="4837"/>
    <cellStyle name="Normal 5 3 2 2 2 2" xfId="4838"/>
    <cellStyle name="Normal 5 3 2 2 2 2 2" xfId="4839"/>
    <cellStyle name="Normal 5 3 2 2 2 2 2 2" xfId="4840"/>
    <cellStyle name="Normal 5 3 2 2 2 2 2 2 2" xfId="4841"/>
    <cellStyle name="Normal 5 3 2 2 2 2 2 3" xfId="4842"/>
    <cellStyle name="Normal 5 3 2 2 2 2 3" xfId="4843"/>
    <cellStyle name="Normal 5 3 2 2 2 2 3 2" xfId="4844"/>
    <cellStyle name="Normal 5 3 2 2 2 2 4" xfId="4845"/>
    <cellStyle name="Normal 5 3 2 2 2 3" xfId="4846"/>
    <cellStyle name="Normal 5 3 2 2 2 3 2" xfId="4847"/>
    <cellStyle name="Normal 5 3 2 2 2 3 2 2" xfId="4848"/>
    <cellStyle name="Normal 5 3 2 2 2 3 3" xfId="4849"/>
    <cellStyle name="Normal 5 3 2 2 2 4" xfId="4850"/>
    <cellStyle name="Normal 5 3 2 2 2 4 2" xfId="4851"/>
    <cellStyle name="Normal 5 3 2 2 2 5" xfId="4852"/>
    <cellStyle name="Normal 5 3 2 2 3" xfId="4853"/>
    <cellStyle name="Normal 5 3 2 2 3 2" xfId="4854"/>
    <cellStyle name="Normal 5 3 2 2 3 2 2" xfId="4855"/>
    <cellStyle name="Normal 5 3 2 2 3 2 2 2" xfId="4856"/>
    <cellStyle name="Normal 5 3 2 2 3 2 3" xfId="4857"/>
    <cellStyle name="Normal 5 3 2 2 3 3" xfId="4858"/>
    <cellStyle name="Normal 5 3 2 2 3 3 2" xfId="4859"/>
    <cellStyle name="Normal 5 3 2 2 3 4" xfId="4860"/>
    <cellStyle name="Normal 5 3 2 2 4" xfId="4861"/>
    <cellStyle name="Normal 5 3 2 2 4 2" xfId="4862"/>
    <cellStyle name="Normal 5 3 2 2 4 2 2" xfId="4863"/>
    <cellStyle name="Normal 5 3 2 2 4 3" xfId="4864"/>
    <cellStyle name="Normal 5 3 2 2 5" xfId="4865"/>
    <cellStyle name="Normal 5 3 2 2 5 2" xfId="4866"/>
    <cellStyle name="Normal 5 3 2 2 6" xfId="4867"/>
    <cellStyle name="Normal 5 3 2 3" xfId="4868"/>
    <cellStyle name="Normal 5 3 2 3 2" xfId="4869"/>
    <cellStyle name="Normal 5 3 2 3 2 2" xfId="4870"/>
    <cellStyle name="Normal 5 3 2 3 2 2 2" xfId="4871"/>
    <cellStyle name="Normal 5 3 2 3 2 2 2 2" xfId="4872"/>
    <cellStyle name="Normal 5 3 2 3 2 2 3" xfId="4873"/>
    <cellStyle name="Normal 5 3 2 3 2 3" xfId="4874"/>
    <cellStyle name="Normal 5 3 2 3 2 3 2" xfId="4875"/>
    <cellStyle name="Normal 5 3 2 3 2 4" xfId="4876"/>
    <cellStyle name="Normal 5 3 2 3 3" xfId="4877"/>
    <cellStyle name="Normal 5 3 2 3 3 2" xfId="4878"/>
    <cellStyle name="Normal 5 3 2 3 3 2 2" xfId="4879"/>
    <cellStyle name="Normal 5 3 2 3 3 3" xfId="4880"/>
    <cellStyle name="Normal 5 3 2 3 4" xfId="4881"/>
    <cellStyle name="Normal 5 3 2 3 4 2" xfId="4882"/>
    <cellStyle name="Normal 5 3 2 3 5" xfId="4883"/>
    <cellStyle name="Normal 5 3 2 4" xfId="4884"/>
    <cellStyle name="Normal 5 3 2 4 2" xfId="4885"/>
    <cellStyle name="Normal 5 3 2 4 2 2" xfId="4886"/>
    <cellStyle name="Normal 5 3 2 4 2 2 2" xfId="4887"/>
    <cellStyle name="Normal 5 3 2 4 2 2 2 2" xfId="4888"/>
    <cellStyle name="Normal 5 3 2 4 2 2 3" xfId="4889"/>
    <cellStyle name="Normal 5 3 2 4 2 3" xfId="4890"/>
    <cellStyle name="Normal 5 3 2 4 2 3 2" xfId="4891"/>
    <cellStyle name="Normal 5 3 2 4 2 4" xfId="4892"/>
    <cellStyle name="Normal 5 3 2 4 3" xfId="4893"/>
    <cellStyle name="Normal 5 3 2 4 3 2" xfId="4894"/>
    <cellStyle name="Normal 5 3 2 4 3 2 2" xfId="4895"/>
    <cellStyle name="Normal 5 3 2 4 3 3" xfId="4896"/>
    <cellStyle name="Normal 5 3 2 4 4" xfId="4897"/>
    <cellStyle name="Normal 5 3 2 4 4 2" xfId="4898"/>
    <cellStyle name="Normal 5 3 2 4 5" xfId="4899"/>
    <cellStyle name="Normal 5 3 2 5" xfId="4900"/>
    <cellStyle name="Normal 5 3 2 5 2" xfId="4901"/>
    <cellStyle name="Normal 5 3 2 5 2 2" xfId="4902"/>
    <cellStyle name="Normal 5 3 2 5 2 2 2" xfId="4903"/>
    <cellStyle name="Normal 5 3 2 5 2 3" xfId="4904"/>
    <cellStyle name="Normal 5 3 2 5 3" xfId="4905"/>
    <cellStyle name="Normal 5 3 2 5 3 2" xfId="4906"/>
    <cellStyle name="Normal 5 3 2 5 4" xfId="4907"/>
    <cellStyle name="Normal 5 3 2 6" xfId="4908"/>
    <cellStyle name="Normal 5 3 2 6 2" xfId="4909"/>
    <cellStyle name="Normal 5 3 2 6 2 2" xfId="4910"/>
    <cellStyle name="Normal 5 3 2 6 3" xfId="4911"/>
    <cellStyle name="Normal 5 3 2 7" xfId="4912"/>
    <cellStyle name="Normal 5 3 2 7 2" xfId="4913"/>
    <cellStyle name="Normal 5 3 2 8" xfId="4914"/>
    <cellStyle name="Normal 5 3 3" xfId="4915"/>
    <cellStyle name="Normal 5 3 3 2" xfId="4916"/>
    <cellStyle name="Normal 5 3 3 2 2" xfId="4917"/>
    <cellStyle name="Normal 5 3 3 2 2 2" xfId="4918"/>
    <cellStyle name="Normal 5 3 3 2 2 2 2" xfId="4919"/>
    <cellStyle name="Normal 5 3 3 2 2 2 2 2" xfId="4920"/>
    <cellStyle name="Normal 5 3 3 2 2 2 3" xfId="4921"/>
    <cellStyle name="Normal 5 3 3 2 2 3" xfId="4922"/>
    <cellStyle name="Normal 5 3 3 2 2 3 2" xfId="4923"/>
    <cellStyle name="Normal 5 3 3 2 2 4" xfId="4924"/>
    <cellStyle name="Normal 5 3 3 2 3" xfId="4925"/>
    <cellStyle name="Normal 5 3 3 2 3 2" xfId="4926"/>
    <cellStyle name="Normal 5 3 3 2 3 2 2" xfId="4927"/>
    <cellStyle name="Normal 5 3 3 2 3 3" xfId="4928"/>
    <cellStyle name="Normal 5 3 3 2 4" xfId="4929"/>
    <cellStyle name="Normal 5 3 3 2 4 2" xfId="4930"/>
    <cellStyle name="Normal 5 3 3 2 5" xfId="4931"/>
    <cellStyle name="Normal 5 3 3 3" xfId="4932"/>
    <cellStyle name="Normal 5 3 3 3 2" xfId="4933"/>
    <cellStyle name="Normal 5 3 3 3 2 2" xfId="4934"/>
    <cellStyle name="Normal 5 3 3 3 2 2 2" xfId="4935"/>
    <cellStyle name="Normal 5 3 3 3 2 3" xfId="4936"/>
    <cellStyle name="Normal 5 3 3 3 3" xfId="4937"/>
    <cellStyle name="Normal 5 3 3 3 3 2" xfId="4938"/>
    <cellStyle name="Normal 5 3 3 3 4" xfId="4939"/>
    <cellStyle name="Normal 5 3 3 4" xfId="4940"/>
    <cellStyle name="Normal 5 3 3 4 2" xfId="4941"/>
    <cellStyle name="Normal 5 3 3 4 2 2" xfId="4942"/>
    <cellStyle name="Normal 5 3 3 4 3" xfId="4943"/>
    <cellStyle name="Normal 5 3 3 5" xfId="4944"/>
    <cellStyle name="Normal 5 3 3 5 2" xfId="4945"/>
    <cellStyle name="Normal 5 3 3 6" xfId="4946"/>
    <cellStyle name="Normal 5 3 4" xfId="4947"/>
    <cellStyle name="Normal 5 3 4 2" xfId="4948"/>
    <cellStyle name="Normal 5 3 4 2 2" xfId="4949"/>
    <cellStyle name="Normal 5 3 4 2 2 2" xfId="4950"/>
    <cellStyle name="Normal 5 3 4 2 2 2 2" xfId="4951"/>
    <cellStyle name="Normal 5 3 4 2 2 3" xfId="4952"/>
    <cellStyle name="Normal 5 3 4 2 3" xfId="4953"/>
    <cellStyle name="Normal 5 3 4 2 3 2" xfId="4954"/>
    <cellStyle name="Normal 5 3 4 2 4" xfId="4955"/>
    <cellStyle name="Normal 5 3 4 3" xfId="4956"/>
    <cellStyle name="Normal 5 3 4 3 2" xfId="4957"/>
    <cellStyle name="Normal 5 3 4 3 2 2" xfId="4958"/>
    <cellStyle name="Normal 5 3 4 3 3" xfId="4959"/>
    <cellStyle name="Normal 5 3 4 4" xfId="4960"/>
    <cellStyle name="Normal 5 3 4 4 2" xfId="4961"/>
    <cellStyle name="Normal 5 3 4 5" xfId="4962"/>
    <cellStyle name="Normal 5 3 5" xfId="4963"/>
    <cellStyle name="Normal 5 3 5 2" xfId="4964"/>
    <cellStyle name="Normal 5 3 5 2 2" xfId="4965"/>
    <cellStyle name="Normal 5 3 5 2 2 2" xfId="4966"/>
    <cellStyle name="Normal 5 3 5 2 2 2 2" xfId="4967"/>
    <cellStyle name="Normal 5 3 5 2 2 3" xfId="4968"/>
    <cellStyle name="Normal 5 3 5 2 3" xfId="4969"/>
    <cellStyle name="Normal 5 3 5 2 3 2" xfId="4970"/>
    <cellStyle name="Normal 5 3 5 2 4" xfId="4971"/>
    <cellStyle name="Normal 5 3 5 3" xfId="4972"/>
    <cellStyle name="Normal 5 3 5 3 2" xfId="4973"/>
    <cellStyle name="Normal 5 3 5 3 2 2" xfId="4974"/>
    <cellStyle name="Normal 5 3 5 3 3" xfId="4975"/>
    <cellStyle name="Normal 5 3 5 4" xfId="4976"/>
    <cellStyle name="Normal 5 3 5 4 2" xfId="4977"/>
    <cellStyle name="Normal 5 3 5 5" xfId="4978"/>
    <cellStyle name="Normal 5 3 6" xfId="4979"/>
    <cellStyle name="Normal 5 3 6 2" xfId="4980"/>
    <cellStyle name="Normal 5 3 6 2 2" xfId="4981"/>
    <cellStyle name="Normal 5 3 6 2 2 2" xfId="4982"/>
    <cellStyle name="Normal 5 3 6 2 3" xfId="4983"/>
    <cellStyle name="Normal 5 3 6 3" xfId="4984"/>
    <cellStyle name="Normal 5 3 6 3 2" xfId="4985"/>
    <cellStyle name="Normal 5 3 6 4" xfId="4986"/>
    <cellStyle name="Normal 5 3 7" xfId="4987"/>
    <cellStyle name="Normal 5 3 7 2" xfId="4988"/>
    <cellStyle name="Normal 5 3 7 2 2" xfId="4989"/>
    <cellStyle name="Normal 5 3 7 3" xfId="4990"/>
    <cellStyle name="Normal 5 3 8" xfId="4991"/>
    <cellStyle name="Normal 5 3 8 2" xfId="4992"/>
    <cellStyle name="Normal 5 3 9" xfId="4993"/>
    <cellStyle name="Normal 5 4" xfId="4994"/>
    <cellStyle name="Normal 5 4 10" xfId="4995"/>
    <cellStyle name="Normal 5 4 2" xfId="4996"/>
    <cellStyle name="Normal 5 4 2 2" xfId="4997"/>
    <cellStyle name="Normal 5 4 2 2 2" xfId="4998"/>
    <cellStyle name="Normal 5 4 2 2 2 2" xfId="4999"/>
    <cellStyle name="Normal 5 4 2 2 2 2 2" xfId="5000"/>
    <cellStyle name="Normal 5 4 2 2 2 2 2 2" xfId="5001"/>
    <cellStyle name="Normal 5 4 2 2 2 2 3" xfId="5002"/>
    <cellStyle name="Normal 5 4 2 2 2 3" xfId="5003"/>
    <cellStyle name="Normal 5 4 2 2 2 3 2" xfId="5004"/>
    <cellStyle name="Normal 5 4 2 2 2 4" xfId="5005"/>
    <cellStyle name="Normal 5 4 2 2 3" xfId="5006"/>
    <cellStyle name="Normal 5 4 2 2 3 2" xfId="5007"/>
    <cellStyle name="Normal 5 4 2 2 3 2 2" xfId="5008"/>
    <cellStyle name="Normal 5 4 2 2 3 3" xfId="5009"/>
    <cellStyle name="Normal 5 4 2 2 4" xfId="5010"/>
    <cellStyle name="Normal 5 4 2 2 4 2" xfId="5011"/>
    <cellStyle name="Normal 5 4 2 2 5" xfId="5012"/>
    <cellStyle name="Normal 5 4 2 2 6" xfId="60191"/>
    <cellStyle name="Normal 5 4 2 3" xfId="5013"/>
    <cellStyle name="Normal 5 4 2 3 2" xfId="5014"/>
    <cellStyle name="Normal 5 4 2 3 2 2" xfId="5015"/>
    <cellStyle name="Normal 5 4 2 3 2 2 2" xfId="5016"/>
    <cellStyle name="Normal 5 4 2 3 2 2 2 2" xfId="5017"/>
    <cellStyle name="Normal 5 4 2 3 2 2 3" xfId="5018"/>
    <cellStyle name="Normal 5 4 2 3 2 3" xfId="5019"/>
    <cellStyle name="Normal 5 4 2 3 2 3 2" xfId="5020"/>
    <cellStyle name="Normal 5 4 2 3 2 4" xfId="5021"/>
    <cellStyle name="Normal 5 4 2 3 3" xfId="5022"/>
    <cellStyle name="Normal 5 4 2 3 3 2" xfId="5023"/>
    <cellStyle name="Normal 5 4 2 3 3 2 2" xfId="5024"/>
    <cellStyle name="Normal 5 4 2 3 3 3" xfId="5025"/>
    <cellStyle name="Normal 5 4 2 3 4" xfId="5026"/>
    <cellStyle name="Normal 5 4 2 3 4 2" xfId="5027"/>
    <cellStyle name="Normal 5 4 2 3 5" xfId="5028"/>
    <cellStyle name="Normal 5 4 2 4" xfId="5029"/>
    <cellStyle name="Normal 5 4 2 4 2" xfId="5030"/>
    <cellStyle name="Normal 5 4 2 4 2 2" xfId="5031"/>
    <cellStyle name="Normal 5 4 2 4 2 2 2" xfId="5032"/>
    <cellStyle name="Normal 5 4 2 4 2 2 2 2" xfId="55961"/>
    <cellStyle name="Normal 5 4 2 4 2 2 2 3" xfId="55962"/>
    <cellStyle name="Normal 5 4 2 4 2 2 2 4" xfId="55963"/>
    <cellStyle name="Normal 5 4 2 4 2 2 3" xfId="55964"/>
    <cellStyle name="Normal 5 4 2 4 2 2 3 2" xfId="55965"/>
    <cellStyle name="Normal 5 4 2 4 2 2 3 3" xfId="55966"/>
    <cellStyle name="Normal 5 4 2 4 2 2 4" xfId="55967"/>
    <cellStyle name="Normal 5 4 2 4 2 2 4 2" xfId="55968"/>
    <cellStyle name="Normal 5 4 2 4 2 2 5" xfId="55969"/>
    <cellStyle name="Normal 5 4 2 4 2 2 6" xfId="55970"/>
    <cellStyle name="Normal 5 4 2 4 2 3" xfId="5033"/>
    <cellStyle name="Normal 5 4 2 4 2 3 2" xfId="55971"/>
    <cellStyle name="Normal 5 4 2 4 2 4" xfId="55972"/>
    <cellStyle name="Normal 5 4 2 4 2 5" xfId="55973"/>
    <cellStyle name="Normal 5 4 2 4 3" xfId="5034"/>
    <cellStyle name="Normal 5 4 2 4 3 2" xfId="5035"/>
    <cellStyle name="Normal 5 4 2 4 4" xfId="5036"/>
    <cellStyle name="Normal 5 4 2 4 4 2" xfId="55974"/>
    <cellStyle name="Normal 5 4 2 4 5" xfId="55975"/>
    <cellStyle name="Normal 5 4 2 4 6" xfId="55976"/>
    <cellStyle name="Normal 5 4 2 5" xfId="5037"/>
    <cellStyle name="Normal 5 4 2 5 2" xfId="5038"/>
    <cellStyle name="Normal 5 4 2 5 2 2" xfId="5039"/>
    <cellStyle name="Normal 5 4 2 5 3" xfId="5040"/>
    <cellStyle name="Normal 5 4 2 6" xfId="5041"/>
    <cellStyle name="Normal 5 4 2 6 2" xfId="5042"/>
    <cellStyle name="Normal 5 4 2 7" xfId="5043"/>
    <cellStyle name="Normal 5 4 2 8" xfId="55977"/>
    <cellStyle name="Normal 5 4 3" xfId="5044"/>
    <cellStyle name="Normal 5 4 3 2" xfId="5045"/>
    <cellStyle name="Normal 5 4 3 2 2" xfId="5046"/>
    <cellStyle name="Normal 5 4 3 2 2 2" xfId="5047"/>
    <cellStyle name="Normal 5 4 3 2 2 2 2" xfId="5048"/>
    <cellStyle name="Normal 5 4 3 2 2 2 2 2" xfId="5049"/>
    <cellStyle name="Normal 5 4 3 2 2 2 3" xfId="5050"/>
    <cellStyle name="Normal 5 4 3 2 2 3" xfId="5051"/>
    <cellStyle name="Normal 5 4 3 2 2 3 2" xfId="5052"/>
    <cellStyle name="Normal 5 4 3 2 2 4" xfId="5053"/>
    <cellStyle name="Normal 5 4 3 2 3" xfId="5054"/>
    <cellStyle name="Normal 5 4 3 2 3 2" xfId="5055"/>
    <cellStyle name="Normal 5 4 3 2 3 2 2" xfId="5056"/>
    <cellStyle name="Normal 5 4 3 2 3 3" xfId="5057"/>
    <cellStyle name="Normal 5 4 3 2 4" xfId="5058"/>
    <cellStyle name="Normal 5 4 3 2 4 2" xfId="5059"/>
    <cellStyle name="Normal 5 4 3 2 5" xfId="5060"/>
    <cellStyle name="Normal 5 4 3 3" xfId="5061"/>
    <cellStyle name="Normal 5 4 3 3 2" xfId="5062"/>
    <cellStyle name="Normal 5 4 3 3 2 2" xfId="5063"/>
    <cellStyle name="Normal 5 4 3 3 2 2 2" xfId="5064"/>
    <cellStyle name="Normal 5 4 3 3 2 3" xfId="5065"/>
    <cellStyle name="Normal 5 4 3 3 3" xfId="5066"/>
    <cellStyle name="Normal 5 4 3 3 3 2" xfId="5067"/>
    <cellStyle name="Normal 5 4 3 3 4" xfId="5068"/>
    <cellStyle name="Normal 5 4 3 4" xfId="5069"/>
    <cellStyle name="Normal 5 4 3 4 2" xfId="5070"/>
    <cellStyle name="Normal 5 4 3 4 2 2" xfId="5071"/>
    <cellStyle name="Normal 5 4 3 4 3" xfId="5072"/>
    <cellStyle name="Normal 5 4 3 5" xfId="5073"/>
    <cellStyle name="Normal 5 4 3 5 2" xfId="5074"/>
    <cellStyle name="Normal 5 4 3 6" xfId="5075"/>
    <cellStyle name="Normal 5 4 3 7" xfId="60192"/>
    <cellStyle name="Normal 5 4 4" xfId="5076"/>
    <cellStyle name="Normal 5 4 4 2" xfId="5077"/>
    <cellStyle name="Normal 5 4 4 2 2" xfId="5078"/>
    <cellStyle name="Normal 5 4 4 2 2 2" xfId="5079"/>
    <cellStyle name="Normal 5 4 4 2 2 2 2" xfId="5080"/>
    <cellStyle name="Normal 5 4 4 2 2 3" xfId="5081"/>
    <cellStyle name="Normal 5 4 4 2 3" xfId="5082"/>
    <cellStyle name="Normal 5 4 4 2 3 2" xfId="5083"/>
    <cellStyle name="Normal 5 4 4 2 4" xfId="5084"/>
    <cellStyle name="Normal 5 4 4 3" xfId="5085"/>
    <cellStyle name="Normal 5 4 4 3 2" xfId="5086"/>
    <cellStyle name="Normal 5 4 4 3 2 2" xfId="5087"/>
    <cellStyle name="Normal 5 4 4 3 3" xfId="5088"/>
    <cellStyle name="Normal 5 4 4 4" xfId="5089"/>
    <cellStyle name="Normal 5 4 4 4 2" xfId="5090"/>
    <cellStyle name="Normal 5 4 4 5" xfId="5091"/>
    <cellStyle name="Normal 5 4 5" xfId="5092"/>
    <cellStyle name="Normal 5 4 5 2" xfId="5093"/>
    <cellStyle name="Normal 5 4 5 2 2" xfId="5094"/>
    <cellStyle name="Normal 5 4 5 2 2 2" xfId="5095"/>
    <cellStyle name="Normal 5 4 5 2 2 2 2" xfId="5096"/>
    <cellStyle name="Normal 5 4 5 2 2 3" xfId="5097"/>
    <cellStyle name="Normal 5 4 5 2 3" xfId="5098"/>
    <cellStyle name="Normal 5 4 5 2 3 2" xfId="5099"/>
    <cellStyle name="Normal 5 4 5 2 4" xfId="5100"/>
    <cellStyle name="Normal 5 4 5 3" xfId="5101"/>
    <cellStyle name="Normal 5 4 5 3 2" xfId="5102"/>
    <cellStyle name="Normal 5 4 5 3 2 2" xfId="5103"/>
    <cellStyle name="Normal 5 4 5 3 3" xfId="5104"/>
    <cellStyle name="Normal 5 4 5 4" xfId="5105"/>
    <cellStyle name="Normal 5 4 5 4 2" xfId="5106"/>
    <cellStyle name="Normal 5 4 5 5" xfId="5107"/>
    <cellStyle name="Normal 5 4 6" xfId="5108"/>
    <cellStyle name="Normal 5 4 6 2" xfId="5109"/>
    <cellStyle name="Normal 5 4 6 2 2" xfId="5110"/>
    <cellStyle name="Normal 5 4 6 2 2 2" xfId="5111"/>
    <cellStyle name="Normal 5 4 6 2 3" xfId="5112"/>
    <cellStyle name="Normal 5 4 6 3" xfId="5113"/>
    <cellStyle name="Normal 5 4 6 3 2" xfId="5114"/>
    <cellStyle name="Normal 5 4 6 4" xfId="5115"/>
    <cellStyle name="Normal 5 4 7" xfId="5116"/>
    <cellStyle name="Normal 5 4 7 2" xfId="5117"/>
    <cellStyle name="Normal 5 4 7 2 2" xfId="5118"/>
    <cellStyle name="Normal 5 4 7 3" xfId="5119"/>
    <cellStyle name="Normal 5 4 8" xfId="5120"/>
    <cellStyle name="Normal 5 4 8 2" xfId="5121"/>
    <cellStyle name="Normal 5 4 9" xfId="5122"/>
    <cellStyle name="Normal 5 5" xfId="5123"/>
    <cellStyle name="Normal 5 5 10" xfId="55978"/>
    <cellStyle name="Normal 5 5 2" xfId="5124"/>
    <cellStyle name="Normal 5 5 2 2" xfId="5125"/>
    <cellStyle name="Normal 5 5 2 2 2" xfId="5126"/>
    <cellStyle name="Normal 5 5 2 2 2 2" xfId="5127"/>
    <cellStyle name="Normal 5 5 2 2 2 2 2" xfId="5128"/>
    <cellStyle name="Normal 5 5 2 2 2 3" xfId="5129"/>
    <cellStyle name="Normal 5 5 2 2 3" xfId="5130"/>
    <cellStyle name="Normal 5 5 2 2 3 2" xfId="5131"/>
    <cellStyle name="Normal 5 5 2 2 4" xfId="5132"/>
    <cellStyle name="Normal 5 5 2 2 5" xfId="55979"/>
    <cellStyle name="Normal 5 5 2 3" xfId="5133"/>
    <cellStyle name="Normal 5 5 2 3 2" xfId="5134"/>
    <cellStyle name="Normal 5 5 2 3 2 2" xfId="5135"/>
    <cellStyle name="Normal 5 5 2 3 2 2 2" xfId="55980"/>
    <cellStyle name="Normal 5 5 2 3 2 2 2 2" xfId="55981"/>
    <cellStyle name="Normal 5 5 2 3 2 2 2 3" xfId="55982"/>
    <cellStyle name="Normal 5 5 2 3 2 2 2 4" xfId="55983"/>
    <cellStyle name="Normal 5 5 2 3 2 2 3" xfId="55984"/>
    <cellStyle name="Normal 5 5 2 3 2 2 3 2" xfId="55985"/>
    <cellStyle name="Normal 5 5 2 3 2 2 3 3" xfId="55986"/>
    <cellStyle name="Normal 5 5 2 3 2 2 4" xfId="55987"/>
    <cellStyle name="Normal 5 5 2 3 2 2 4 2" xfId="55988"/>
    <cellStyle name="Normal 5 5 2 3 2 2 5" xfId="55989"/>
    <cellStyle name="Normal 5 5 2 3 2 2 6" xfId="55990"/>
    <cellStyle name="Normal 5 5 2 3 2 3" xfId="55991"/>
    <cellStyle name="Normal 5 5 2 3 2 3 2" xfId="55992"/>
    <cellStyle name="Normal 5 5 2 3 2 4" xfId="55993"/>
    <cellStyle name="Normal 5 5 2 3 2 5" xfId="55994"/>
    <cellStyle name="Normal 5 5 2 3 3" xfId="5136"/>
    <cellStyle name="Normal 5 5 2 3 3 2" xfId="55995"/>
    <cellStyle name="Normal 5 5 2 3 4" xfId="55996"/>
    <cellStyle name="Normal 5 5 2 3 4 2" xfId="55997"/>
    <cellStyle name="Normal 5 5 2 3 5" xfId="55998"/>
    <cellStyle name="Normal 5 5 2 3 6" xfId="55999"/>
    <cellStyle name="Normal 5 5 2 4" xfId="5137"/>
    <cellStyle name="Normal 5 5 2 4 2" xfId="5138"/>
    <cellStyle name="Normal 5 5 2 5" xfId="5139"/>
    <cellStyle name="Normal 5 5 2 5 2" xfId="56000"/>
    <cellStyle name="Normal 5 5 2 6" xfId="56001"/>
    <cellStyle name="Normal 5 5 2 7" xfId="56002"/>
    <cellStyle name="Normal 5 5 3" xfId="5140"/>
    <cellStyle name="Normal 5 5 3 2" xfId="5141"/>
    <cellStyle name="Normal 5 5 3 2 2" xfId="5142"/>
    <cellStyle name="Normal 5 5 3 2 2 2" xfId="5143"/>
    <cellStyle name="Normal 5 5 3 2 2 2 2" xfId="5144"/>
    <cellStyle name="Normal 5 5 3 2 2 3" xfId="5145"/>
    <cellStyle name="Normal 5 5 3 2 3" xfId="5146"/>
    <cellStyle name="Normal 5 5 3 2 3 2" xfId="5147"/>
    <cellStyle name="Normal 5 5 3 2 4" xfId="5148"/>
    <cellStyle name="Normal 5 5 3 3" xfId="5149"/>
    <cellStyle name="Normal 5 5 3 3 2" xfId="5150"/>
    <cellStyle name="Normal 5 5 3 3 2 2" xfId="5151"/>
    <cellStyle name="Normal 5 5 3 3 3" xfId="5152"/>
    <cellStyle name="Normal 5 5 3 4" xfId="5153"/>
    <cellStyle name="Normal 5 5 3 4 2" xfId="5154"/>
    <cellStyle name="Normal 5 5 3 5" xfId="5155"/>
    <cellStyle name="Normal 5 5 4" xfId="5156"/>
    <cellStyle name="Normal 5 5 4 2" xfId="5157"/>
    <cellStyle name="Normal 5 5 4 2 2" xfId="5158"/>
    <cellStyle name="Normal 5 5 4 2 2 2" xfId="5159"/>
    <cellStyle name="Normal 5 5 4 2 3" xfId="5160"/>
    <cellStyle name="Normal 5 5 4 3" xfId="5161"/>
    <cellStyle name="Normal 5 5 4 3 2" xfId="5162"/>
    <cellStyle name="Normal 5 5 4 4" xfId="5163"/>
    <cellStyle name="Normal 5 5 5" xfId="5164"/>
    <cellStyle name="Normal 5 5 5 2" xfId="5165"/>
    <cellStyle name="Normal 5 5 5 2 2" xfId="5166"/>
    <cellStyle name="Normal 5 5 5 3" xfId="5167"/>
    <cellStyle name="Normal 5 5 6" xfId="5168"/>
    <cellStyle name="Normal 5 5 6 2" xfId="5169"/>
    <cellStyle name="Normal 5 5 7" xfId="5170"/>
    <cellStyle name="Normal 5 5 8" xfId="56003"/>
    <cellStyle name="Normal 5 5 8 2" xfId="56004"/>
    <cellStyle name="Normal 5 5 9" xfId="56005"/>
    <cellStyle name="Normal 5 6" xfId="5171"/>
    <cellStyle name="Normal 5 6 2" xfId="5172"/>
    <cellStyle name="Normal 5 6 2 2" xfId="5173"/>
    <cellStyle name="Normal 5 6 2 2 2" xfId="5174"/>
    <cellStyle name="Normal 5 6 2 2 2 2" xfId="5175"/>
    <cellStyle name="Normal 5 6 2 2 2 2 2" xfId="5176"/>
    <cellStyle name="Normal 5 6 2 2 2 3" xfId="5177"/>
    <cellStyle name="Normal 5 6 2 2 3" xfId="5178"/>
    <cellStyle name="Normal 5 6 2 2 3 2" xfId="5179"/>
    <cellStyle name="Normal 5 6 2 2 4" xfId="5180"/>
    <cellStyle name="Normal 5 6 2 3" xfId="5181"/>
    <cellStyle name="Normal 5 6 2 3 2" xfId="5182"/>
    <cellStyle name="Normal 5 6 2 3 2 2" xfId="5183"/>
    <cellStyle name="Normal 5 6 2 3 3" xfId="5184"/>
    <cellStyle name="Normal 5 6 2 4" xfId="5185"/>
    <cellStyle name="Normal 5 6 2 4 2" xfId="5186"/>
    <cellStyle name="Normal 5 6 2 5" xfId="5187"/>
    <cellStyle name="Normal 5 6 3" xfId="5188"/>
    <cellStyle name="Normal 5 6 3 2" xfId="5189"/>
    <cellStyle name="Normal 5 6 3 2 2" xfId="5190"/>
    <cellStyle name="Normal 5 6 3 2 2 2" xfId="5191"/>
    <cellStyle name="Normal 5 6 3 2 3" xfId="5192"/>
    <cellStyle name="Normal 5 6 3 3" xfId="5193"/>
    <cellStyle name="Normal 5 6 3 3 2" xfId="5194"/>
    <cellStyle name="Normal 5 6 3 4" xfId="5195"/>
    <cellStyle name="Normal 5 6 4" xfId="5196"/>
    <cellStyle name="Normal 5 6 4 2" xfId="5197"/>
    <cellStyle name="Normal 5 6 4 2 2" xfId="5198"/>
    <cellStyle name="Normal 5 6 4 3" xfId="5199"/>
    <cellStyle name="Normal 5 6 5" xfId="5200"/>
    <cellStyle name="Normal 5 6 5 2" xfId="5201"/>
    <cellStyle name="Normal 5 6 6" xfId="5202"/>
    <cellStyle name="Normal 5 7" xfId="5203"/>
    <cellStyle name="Normal 5 7 2" xfId="5204"/>
    <cellStyle name="Normal 5 7 2 2" xfId="5205"/>
    <cellStyle name="Normal 5 7 2 2 2" xfId="5206"/>
    <cellStyle name="Normal 5 7 2 2 2 2" xfId="5207"/>
    <cellStyle name="Normal 5 7 2 2 3" xfId="5208"/>
    <cellStyle name="Normal 5 7 2 3" xfId="5209"/>
    <cellStyle name="Normal 5 7 2 3 2" xfId="5210"/>
    <cellStyle name="Normal 5 7 2 4" xfId="5211"/>
    <cellStyle name="Normal 5 7 3" xfId="5212"/>
    <cellStyle name="Normal 5 7 3 2" xfId="5213"/>
    <cellStyle name="Normal 5 7 3 2 2" xfId="5214"/>
    <cellStyle name="Normal 5 7 3 3" xfId="5215"/>
    <cellStyle name="Normal 5 7 4" xfId="5216"/>
    <cellStyle name="Normal 5 7 4 2" xfId="5217"/>
    <cellStyle name="Normal 5 7 5" xfId="5218"/>
    <cellStyle name="Normal 5 8" xfId="5219"/>
    <cellStyle name="Normal 5 8 2" xfId="5220"/>
    <cellStyle name="Normal 5 8 2 2" xfId="5221"/>
    <cellStyle name="Normal 5 8 2 2 2" xfId="5222"/>
    <cellStyle name="Normal 5 8 2 2 2 2" xfId="5223"/>
    <cellStyle name="Normal 5 8 2 2 3" xfId="5224"/>
    <cellStyle name="Normal 5 8 2 3" xfId="5225"/>
    <cellStyle name="Normal 5 8 2 3 2" xfId="5226"/>
    <cellStyle name="Normal 5 8 2 4" xfId="5227"/>
    <cellStyle name="Normal 5 8 3" xfId="5228"/>
    <cellStyle name="Normal 5 8 3 2" xfId="5229"/>
    <cellStyle name="Normal 5 8 3 2 2" xfId="5230"/>
    <cellStyle name="Normal 5 8 3 3" xfId="5231"/>
    <cellStyle name="Normal 5 8 4" xfId="5232"/>
    <cellStyle name="Normal 5 8 4 2" xfId="5233"/>
    <cellStyle name="Normal 5 8 5" xfId="5234"/>
    <cellStyle name="Normal 5 9" xfId="5235"/>
    <cellStyle name="Normal 5 9 2" xfId="5236"/>
    <cellStyle name="Normal 5 9 2 2" xfId="5237"/>
    <cellStyle name="Normal 5 9 2 2 2" xfId="5238"/>
    <cellStyle name="Normal 5 9 2 3" xfId="5239"/>
    <cellStyle name="Normal 5 9 3" xfId="5240"/>
    <cellStyle name="Normal 5 9 3 2" xfId="5241"/>
    <cellStyle name="Normal 5 9 4" xfId="5242"/>
    <cellStyle name="Normal 5_183302" xfId="8775"/>
    <cellStyle name="Normal 50" xfId="8671"/>
    <cellStyle name="Normal 50 2" xfId="60193"/>
    <cellStyle name="Normal 50 3" xfId="60194"/>
    <cellStyle name="Normal 51" xfId="8672"/>
    <cellStyle name="Normal 51 2" xfId="8765"/>
    <cellStyle name="Normal 51 3" xfId="60195"/>
    <cellStyle name="Normal 52" xfId="8675"/>
    <cellStyle name="Normal 52 2" xfId="60196"/>
    <cellStyle name="Normal 52 3" xfId="60197"/>
    <cellStyle name="Normal 53" xfId="8764"/>
    <cellStyle name="Normal 53 2" xfId="8815"/>
    <cellStyle name="Normal 53 3" xfId="60198"/>
    <cellStyle name="Normal 54" xfId="8780"/>
    <cellStyle name="Normal 54 2" xfId="8816"/>
    <cellStyle name="Normal 54 3" xfId="60199"/>
    <cellStyle name="Normal 55" xfId="9304"/>
    <cellStyle name="Normal 55 2" xfId="60200"/>
    <cellStyle name="Normal 55 3" xfId="60201"/>
    <cellStyle name="Normal 56" xfId="9305"/>
    <cellStyle name="Normal 56 2" xfId="60202"/>
    <cellStyle name="Normal 57" xfId="57971"/>
    <cellStyle name="Normal 57 2" xfId="60203"/>
    <cellStyle name="Normal 58" xfId="57972"/>
    <cellStyle name="Normal 58 2" xfId="60204"/>
    <cellStyle name="Normal 59" xfId="57973"/>
    <cellStyle name="Normal 6" xfId="5243"/>
    <cellStyle name="Normal 6 10" xfId="60205"/>
    <cellStyle name="Normal 6 11" xfId="60206"/>
    <cellStyle name="Normal 6 2" xfId="5244"/>
    <cellStyle name="Normal 6 2 2" xfId="5245"/>
    <cellStyle name="Normal 6 2 2 2" xfId="5246"/>
    <cellStyle name="Normal 6 2 2 2 2" xfId="5247"/>
    <cellStyle name="Normal 6 2 2 2 2 2" xfId="5248"/>
    <cellStyle name="Normal 6 2 2 2 2 2 2" xfId="5249"/>
    <cellStyle name="Normal 6 2 2 2 2 3" xfId="5250"/>
    <cellStyle name="Normal 6 2 2 2 3" xfId="5251"/>
    <cellStyle name="Normal 6 2 2 2 3 2" xfId="5252"/>
    <cellStyle name="Normal 6 2 2 2 4" xfId="5253"/>
    <cellStyle name="Normal 6 2 2 2 5" xfId="60207"/>
    <cellStyle name="Normal 6 2 2 3" xfId="5254"/>
    <cellStyle name="Normal 6 2 2 3 2" xfId="5255"/>
    <cellStyle name="Normal 6 2 2 3 2 2" xfId="5256"/>
    <cellStyle name="Normal 6 2 2 3 3" xfId="5257"/>
    <cellStyle name="Normal 6 2 2 4" xfId="5258"/>
    <cellStyle name="Normal 6 2 2 4 2" xfId="5259"/>
    <cellStyle name="Normal 6 2 2 5" xfId="5260"/>
    <cellStyle name="Normal 6 2 2 6" xfId="60208"/>
    <cellStyle name="Normal 6 2 3" xfId="5261"/>
    <cellStyle name="Normal 6 2 3 2" xfId="5262"/>
    <cellStyle name="Normal 6 2 3 2 2" xfId="5263"/>
    <cellStyle name="Normal 6 2 3 2 2 2" xfId="5264"/>
    <cellStyle name="Normal 6 2 3 2 3" xfId="5265"/>
    <cellStyle name="Normal 6 2 3 3" xfId="5266"/>
    <cellStyle name="Normal 6 2 3 3 2" xfId="5267"/>
    <cellStyle name="Normal 6 2 3 4" xfId="5268"/>
    <cellStyle name="Normal 6 2 3 5" xfId="60209"/>
    <cellStyle name="Normal 6 2 4" xfId="5269"/>
    <cellStyle name="Normal 6 2 4 2" xfId="5270"/>
    <cellStyle name="Normal 6 2 4 2 2" xfId="5271"/>
    <cellStyle name="Normal 6 2 4 3" xfId="5272"/>
    <cellStyle name="Normal 6 2 5" xfId="5273"/>
    <cellStyle name="Normal 6 2 5 2" xfId="5274"/>
    <cellStyle name="Normal 6 2 6" xfId="5275"/>
    <cellStyle name="Normal 6 2 7" xfId="5276"/>
    <cellStyle name="Normal 6 2 8" xfId="60210"/>
    <cellStyle name="Normal 6 3" xfId="5277"/>
    <cellStyle name="Normal 6 3 2" xfId="5278"/>
    <cellStyle name="Normal 6 3 2 2" xfId="5279"/>
    <cellStyle name="Normal 6 3 2 2 2" xfId="5280"/>
    <cellStyle name="Normal 6 3 2 2 2 2" xfId="5281"/>
    <cellStyle name="Normal 6 3 2 2 3" xfId="5282"/>
    <cellStyle name="Normal 6 3 2 3" xfId="5283"/>
    <cellStyle name="Normal 6 3 2 3 2" xfId="5284"/>
    <cellStyle name="Normal 6 3 2 4" xfId="5285"/>
    <cellStyle name="Normal 6 3 2 5" xfId="60211"/>
    <cellStyle name="Normal 6 3 3" xfId="5286"/>
    <cellStyle name="Normal 6 3 3 2" xfId="5287"/>
    <cellStyle name="Normal 6 3 3 2 2" xfId="5288"/>
    <cellStyle name="Normal 6 3 3 3" xfId="5289"/>
    <cellStyle name="Normal 6 3 4" xfId="5290"/>
    <cellStyle name="Normal 6 3 4 2" xfId="5291"/>
    <cellStyle name="Normal 6 3 5" xfId="5292"/>
    <cellStyle name="Normal 6 3 6" xfId="5293"/>
    <cellStyle name="Normal 6 3 7" xfId="60212"/>
    <cellStyle name="Normal 6 4" xfId="5294"/>
    <cellStyle name="Normal 6 4 2" xfId="5295"/>
    <cellStyle name="Normal 6 4 2 2" xfId="5296"/>
    <cellStyle name="Normal 6 4 2 2 2" xfId="5297"/>
    <cellStyle name="Normal 6 4 2 2 3" xfId="60213"/>
    <cellStyle name="Normal 6 4 2 3" xfId="5298"/>
    <cellStyle name="Normal 6 4 2 3 2" xfId="60214"/>
    <cellStyle name="Normal 6 4 2 4" xfId="60215"/>
    <cellStyle name="Normal 6 4 2 5" xfId="60216"/>
    <cellStyle name="Normal 6 4 2 6" xfId="60217"/>
    <cellStyle name="Normal 6 4 3" xfId="5299"/>
    <cellStyle name="Normal 6 4 3 2" xfId="5300"/>
    <cellStyle name="Normal 6 4 3 3" xfId="60218"/>
    <cellStyle name="Normal 6 4 4" xfId="5301"/>
    <cellStyle name="Normal 6 4 4 2" xfId="60219"/>
    <cellStyle name="Normal 6 4 4 3" xfId="60220"/>
    <cellStyle name="Normal 6 4 5" xfId="5302"/>
    <cellStyle name="Normal 6 4 5 2" xfId="60221"/>
    <cellStyle name="Normal 6 4 6" xfId="60222"/>
    <cellStyle name="Normal 6 4 7" xfId="60223"/>
    <cellStyle name="Normal 6 4 8" xfId="60224"/>
    <cellStyle name="Normal 6 5" xfId="5303"/>
    <cellStyle name="Normal 6 5 2" xfId="5304"/>
    <cellStyle name="Normal 6 5 2 2" xfId="5305"/>
    <cellStyle name="Normal 6 5 2 2 2" xfId="60225"/>
    <cellStyle name="Normal 6 5 2 3" xfId="60226"/>
    <cellStyle name="Normal 6 5 3" xfId="5306"/>
    <cellStyle name="Normal 6 5 3 2" xfId="60227"/>
    <cellStyle name="Normal 6 5 4" xfId="60228"/>
    <cellStyle name="Normal 6 5 5" xfId="60229"/>
    <cellStyle name="Normal 6 5 6" xfId="60230"/>
    <cellStyle name="Normal 6 6" xfId="5307"/>
    <cellStyle name="Normal 6 6 2" xfId="5308"/>
    <cellStyle name="Normal 6 6 2 2" xfId="60231"/>
    <cellStyle name="Normal 6 6 3" xfId="60232"/>
    <cellStyle name="Normal 6 6 4" xfId="60233"/>
    <cellStyle name="Normal 6 6 5" xfId="60234"/>
    <cellStyle name="Normal 6 7" xfId="5309"/>
    <cellStyle name="Normal 6 7 2" xfId="60235"/>
    <cellStyle name="Normal 6 7 3" xfId="60236"/>
    <cellStyle name="Normal 6 8" xfId="5310"/>
    <cellStyle name="Normal 6 8 2" xfId="60237"/>
    <cellStyle name="Normal 6 8 3" xfId="60238"/>
    <cellStyle name="Normal 6 9" xfId="60239"/>
    <cellStyle name="Normal 6_183302" xfId="8776"/>
    <cellStyle name="Normal 60" xfId="57974"/>
    <cellStyle name="Normal 61" xfId="57975"/>
    <cellStyle name="Normal 62" xfId="60240"/>
    <cellStyle name="Normal 63" xfId="60241"/>
    <cellStyle name="Normal 64" xfId="60242"/>
    <cellStyle name="Normal 65" xfId="60243"/>
    <cellStyle name="Normal 66" xfId="60244"/>
    <cellStyle name="Normal 67" xfId="60245"/>
    <cellStyle name="Normal 68" xfId="60246"/>
    <cellStyle name="Normal 69" xfId="60247"/>
    <cellStyle name="Normal 7" xfId="5311"/>
    <cellStyle name="Normal 7 10" xfId="5312"/>
    <cellStyle name="Normal 7 11" xfId="5313"/>
    <cellStyle name="Normal 7 2" xfId="5314"/>
    <cellStyle name="Normal 7 2 2" xfId="5315"/>
    <cellStyle name="Normal 7 2 2 2" xfId="5316"/>
    <cellStyle name="Normal 7 2 2 2 2" xfId="5317"/>
    <cellStyle name="Normal 7 2 2 2 2 2" xfId="5318"/>
    <cellStyle name="Normal 7 2 2 2 2 2 2" xfId="5319"/>
    <cellStyle name="Normal 7 2 2 2 2 2 2 2" xfId="5320"/>
    <cellStyle name="Normal 7 2 2 2 2 2 3" xfId="5321"/>
    <cellStyle name="Normal 7 2 2 2 2 3" xfId="5322"/>
    <cellStyle name="Normal 7 2 2 2 2 3 2" xfId="5323"/>
    <cellStyle name="Normal 7 2 2 2 2 4" xfId="5324"/>
    <cellStyle name="Normal 7 2 2 2 3" xfId="5325"/>
    <cellStyle name="Normal 7 2 2 2 3 2" xfId="5326"/>
    <cellStyle name="Normal 7 2 2 2 3 2 2" xfId="5327"/>
    <cellStyle name="Normal 7 2 2 2 3 3" xfId="5328"/>
    <cellStyle name="Normal 7 2 2 2 4" xfId="5329"/>
    <cellStyle name="Normal 7 2 2 2 4 2" xfId="5330"/>
    <cellStyle name="Normal 7 2 2 2 5" xfId="5331"/>
    <cellStyle name="Normal 7 2 2 2 6" xfId="60248"/>
    <cellStyle name="Normal 7 2 2 3" xfId="5332"/>
    <cellStyle name="Normal 7 2 2 3 2" xfId="5333"/>
    <cellStyle name="Normal 7 2 2 3 2 2" xfId="5334"/>
    <cellStyle name="Normal 7 2 2 3 2 2 2" xfId="5335"/>
    <cellStyle name="Normal 7 2 2 3 2 3" xfId="5336"/>
    <cellStyle name="Normal 7 2 2 3 3" xfId="5337"/>
    <cellStyle name="Normal 7 2 2 3 3 2" xfId="5338"/>
    <cellStyle name="Normal 7 2 2 3 4" xfId="5339"/>
    <cellStyle name="Normal 7 2 2 4" xfId="5340"/>
    <cellStyle name="Normal 7 2 2 4 2" xfId="5341"/>
    <cellStyle name="Normal 7 2 2 4 2 2" xfId="5342"/>
    <cellStyle name="Normal 7 2 2 4 3" xfId="5343"/>
    <cellStyle name="Normal 7 2 2 5" xfId="5344"/>
    <cellStyle name="Normal 7 2 2 5 2" xfId="5345"/>
    <cellStyle name="Normal 7 2 2 6" xfId="5346"/>
    <cellStyle name="Normal 7 2 2 7" xfId="60249"/>
    <cellStyle name="Normal 7 2 3" xfId="5347"/>
    <cellStyle name="Normal 7 2 3 2" xfId="5348"/>
    <cellStyle name="Normal 7 2 3 2 2" xfId="5349"/>
    <cellStyle name="Normal 7 2 3 2 2 2" xfId="5350"/>
    <cellStyle name="Normal 7 2 3 2 2 2 2" xfId="5351"/>
    <cellStyle name="Normal 7 2 3 2 2 3" xfId="5352"/>
    <cellStyle name="Normal 7 2 3 2 3" xfId="5353"/>
    <cellStyle name="Normal 7 2 3 2 3 2" xfId="5354"/>
    <cellStyle name="Normal 7 2 3 2 4" xfId="5355"/>
    <cellStyle name="Normal 7 2 3 3" xfId="5356"/>
    <cellStyle name="Normal 7 2 3 3 2" xfId="5357"/>
    <cellStyle name="Normal 7 2 3 3 2 2" xfId="5358"/>
    <cellStyle name="Normal 7 2 3 3 3" xfId="5359"/>
    <cellStyle name="Normal 7 2 3 4" xfId="5360"/>
    <cellStyle name="Normal 7 2 3 4 2" xfId="5361"/>
    <cellStyle name="Normal 7 2 3 5" xfId="5362"/>
    <cellStyle name="Normal 7 2 3 6" xfId="60250"/>
    <cellStyle name="Normal 7 2 4" xfId="5363"/>
    <cellStyle name="Normal 7 2 4 2" xfId="5364"/>
    <cellStyle name="Normal 7 2 4 2 2" xfId="5365"/>
    <cellStyle name="Normal 7 2 4 2 2 2" xfId="5366"/>
    <cellStyle name="Normal 7 2 4 2 2 2 2" xfId="5367"/>
    <cellStyle name="Normal 7 2 4 2 2 3" xfId="5368"/>
    <cellStyle name="Normal 7 2 4 2 3" xfId="5369"/>
    <cellStyle name="Normal 7 2 4 2 3 2" xfId="5370"/>
    <cellStyle name="Normal 7 2 4 2 4" xfId="5371"/>
    <cellStyle name="Normal 7 2 4 3" xfId="5372"/>
    <cellStyle name="Normal 7 2 4 3 2" xfId="5373"/>
    <cellStyle name="Normal 7 2 4 3 2 2" xfId="5374"/>
    <cellStyle name="Normal 7 2 4 3 3" xfId="5375"/>
    <cellStyle name="Normal 7 2 4 4" xfId="5376"/>
    <cellStyle name="Normal 7 2 4 4 2" xfId="5377"/>
    <cellStyle name="Normal 7 2 4 5" xfId="5378"/>
    <cellStyle name="Normal 7 2 5" xfId="5379"/>
    <cellStyle name="Normal 7 2 5 2" xfId="5380"/>
    <cellStyle name="Normal 7 2 5 2 2" xfId="5381"/>
    <cellStyle name="Normal 7 2 5 2 2 2" xfId="5382"/>
    <cellStyle name="Normal 7 2 5 2 3" xfId="5383"/>
    <cellStyle name="Normal 7 2 5 3" xfId="5384"/>
    <cellStyle name="Normal 7 2 5 3 2" xfId="5385"/>
    <cellStyle name="Normal 7 2 5 4" xfId="5386"/>
    <cellStyle name="Normal 7 2 6" xfId="5387"/>
    <cellStyle name="Normal 7 2 6 2" xfId="5388"/>
    <cellStyle name="Normal 7 2 6 2 2" xfId="5389"/>
    <cellStyle name="Normal 7 2 6 3" xfId="5390"/>
    <cellStyle name="Normal 7 2 7" xfId="5391"/>
    <cellStyle name="Normal 7 2 7 2" xfId="5392"/>
    <cellStyle name="Normal 7 2 8" xfId="5393"/>
    <cellStyle name="Normal 7 2 9" xfId="60251"/>
    <cellStyle name="Normal 7 3" xfId="5394"/>
    <cellStyle name="Normal 7 3 2" xfId="5395"/>
    <cellStyle name="Normal 7 3 2 2" xfId="5396"/>
    <cellStyle name="Normal 7 3 2 2 2" xfId="5397"/>
    <cellStyle name="Normal 7 3 2 2 2 2" xfId="5398"/>
    <cellStyle name="Normal 7 3 2 2 2 2 2" xfId="5399"/>
    <cellStyle name="Normal 7 3 2 2 2 3" xfId="5400"/>
    <cellStyle name="Normal 7 3 2 2 3" xfId="5401"/>
    <cellStyle name="Normal 7 3 2 2 3 2" xfId="5402"/>
    <cellStyle name="Normal 7 3 2 2 4" xfId="5403"/>
    <cellStyle name="Normal 7 3 2 3" xfId="5404"/>
    <cellStyle name="Normal 7 3 2 3 2" xfId="5405"/>
    <cellStyle name="Normal 7 3 2 3 2 2" xfId="5406"/>
    <cellStyle name="Normal 7 3 2 3 3" xfId="5407"/>
    <cellStyle name="Normal 7 3 2 4" xfId="5408"/>
    <cellStyle name="Normal 7 3 2 4 2" xfId="5409"/>
    <cellStyle name="Normal 7 3 2 5" xfId="5410"/>
    <cellStyle name="Normal 7 3 2 6" xfId="60252"/>
    <cellStyle name="Normal 7 3 3" xfId="5411"/>
    <cellStyle name="Normal 7 3 3 2" xfId="5412"/>
    <cellStyle name="Normal 7 3 3 2 2" xfId="5413"/>
    <cellStyle name="Normal 7 3 3 2 2 2" xfId="5414"/>
    <cellStyle name="Normal 7 3 3 2 3" xfId="5415"/>
    <cellStyle name="Normal 7 3 3 3" xfId="5416"/>
    <cellStyle name="Normal 7 3 3 3 2" xfId="5417"/>
    <cellStyle name="Normal 7 3 3 4" xfId="5418"/>
    <cellStyle name="Normal 7 3 4" xfId="5419"/>
    <cellStyle name="Normal 7 3 4 2" xfId="5420"/>
    <cellStyle name="Normal 7 3 4 2 2" xfId="5421"/>
    <cellStyle name="Normal 7 3 4 3" xfId="5422"/>
    <cellStyle name="Normal 7 3 5" xfId="5423"/>
    <cellStyle name="Normal 7 3 5 2" xfId="5424"/>
    <cellStyle name="Normal 7 3 6" xfId="5425"/>
    <cellStyle name="Normal 7 3 7" xfId="60253"/>
    <cellStyle name="Normal 7 4" xfId="5426"/>
    <cellStyle name="Normal 7 4 2" xfId="5427"/>
    <cellStyle name="Normal 7 4 2 2" xfId="5428"/>
    <cellStyle name="Normal 7 4 2 2 2" xfId="5429"/>
    <cellStyle name="Normal 7 4 2 2 2 2" xfId="5430"/>
    <cellStyle name="Normal 7 4 2 2 3" xfId="5431"/>
    <cellStyle name="Normal 7 4 2 3" xfId="5432"/>
    <cellStyle name="Normal 7 4 2 3 2" xfId="5433"/>
    <cellStyle name="Normal 7 4 2 4" xfId="5434"/>
    <cellStyle name="Normal 7 4 2 5" xfId="60254"/>
    <cellStyle name="Normal 7 4 3" xfId="5435"/>
    <cellStyle name="Normal 7 4 3 2" xfId="5436"/>
    <cellStyle name="Normal 7 4 3 2 2" xfId="5437"/>
    <cellStyle name="Normal 7 4 3 3" xfId="5438"/>
    <cellStyle name="Normal 7 4 4" xfId="5439"/>
    <cellStyle name="Normal 7 4 4 2" xfId="5440"/>
    <cellStyle name="Normal 7 4 5" xfId="5441"/>
    <cellStyle name="Normal 7 4 6" xfId="60255"/>
    <cellStyle name="Normal 7 4 7" xfId="60256"/>
    <cellStyle name="Normal 7 5" xfId="5442"/>
    <cellStyle name="Normal 7 5 2" xfId="5443"/>
    <cellStyle name="Normal 7 5 2 2" xfId="5444"/>
    <cellStyle name="Normal 7 5 2 2 2" xfId="5445"/>
    <cellStyle name="Normal 7 5 2 2 2 2" xfId="5446"/>
    <cellStyle name="Normal 7 5 2 2 3" xfId="5447"/>
    <cellStyle name="Normal 7 5 2 3" xfId="5448"/>
    <cellStyle name="Normal 7 5 2 3 2" xfId="5449"/>
    <cellStyle name="Normal 7 5 2 4" xfId="5450"/>
    <cellStyle name="Normal 7 5 3" xfId="5451"/>
    <cellStyle name="Normal 7 5 3 2" xfId="5452"/>
    <cellStyle name="Normal 7 5 3 2 2" xfId="5453"/>
    <cellStyle name="Normal 7 5 3 3" xfId="5454"/>
    <cellStyle name="Normal 7 5 4" xfId="5455"/>
    <cellStyle name="Normal 7 5 4 2" xfId="5456"/>
    <cellStyle name="Normal 7 5 5" xfId="5457"/>
    <cellStyle name="Normal 7 5 6" xfId="60257"/>
    <cellStyle name="Normal 7 6" xfId="5458"/>
    <cellStyle name="Normal 7 6 2" xfId="5459"/>
    <cellStyle name="Normal 7 6 2 2" xfId="5460"/>
    <cellStyle name="Normal 7 6 2 2 2" xfId="5461"/>
    <cellStyle name="Normal 7 6 2 3" xfId="5462"/>
    <cellStyle name="Normal 7 6 3" xfId="5463"/>
    <cellStyle name="Normal 7 6 3 2" xfId="5464"/>
    <cellStyle name="Normal 7 6 4" xfId="5465"/>
    <cellStyle name="Normal 7 7" xfId="5466"/>
    <cellStyle name="Normal 7 7 2" xfId="5467"/>
    <cellStyle name="Normal 7 7 2 2" xfId="5468"/>
    <cellStyle name="Normal 7 7 3" xfId="5469"/>
    <cellStyle name="Normal 7 8" xfId="5470"/>
    <cellStyle name="Normal 7 8 2" xfId="5471"/>
    <cellStyle name="Normal 7 8 2 2" xfId="5472"/>
    <cellStyle name="Normal 7 8 3" xfId="5473"/>
    <cellStyle name="Normal 7 9" xfId="5474"/>
    <cellStyle name="Normal 7 9 2" xfId="5475"/>
    <cellStyle name="Normal 7_183302" xfId="8777"/>
    <cellStyle name="Normal 70" xfId="60258"/>
    <cellStyle name="Normal 71" xfId="60259"/>
    <cellStyle name="Normal 72" xfId="60260"/>
    <cellStyle name="Normal 73" xfId="60261"/>
    <cellStyle name="Normal 74" xfId="60262"/>
    <cellStyle name="Normal 75" xfId="60263"/>
    <cellStyle name="Normal 76" xfId="60264"/>
    <cellStyle name="Normal 77" xfId="60265"/>
    <cellStyle name="Normal 78" xfId="60266"/>
    <cellStyle name="Normal 79" xfId="60267"/>
    <cellStyle name="Normal 8" xfId="5476"/>
    <cellStyle name="Normal 8 2" xfId="5477"/>
    <cellStyle name="Normal 8 2 2" xfId="5478"/>
    <cellStyle name="Normal 8 2 2 2" xfId="5479"/>
    <cellStyle name="Normal 8 2 2 2 2" xfId="5480"/>
    <cellStyle name="Normal 8 2 2 2 2 2" xfId="5481"/>
    <cellStyle name="Normal 8 2 2 2 2 2 2" xfId="5482"/>
    <cellStyle name="Normal 8 2 2 2 2 3" xfId="5483"/>
    <cellStyle name="Normal 8 2 2 2 3" xfId="5484"/>
    <cellStyle name="Normal 8 2 2 2 3 2" xfId="5485"/>
    <cellStyle name="Normal 8 2 2 2 4" xfId="5486"/>
    <cellStyle name="Normal 8 2 2 2 5" xfId="60268"/>
    <cellStyle name="Normal 8 2 2 3" xfId="5487"/>
    <cellStyle name="Normal 8 2 2 3 2" xfId="5488"/>
    <cellStyle name="Normal 8 2 2 3 2 2" xfId="5489"/>
    <cellStyle name="Normal 8 2 2 3 3" xfId="5490"/>
    <cellStyle name="Normal 8 2 2 4" xfId="5491"/>
    <cellStyle name="Normal 8 2 2 4 2" xfId="5492"/>
    <cellStyle name="Normal 8 2 2 5" xfId="5493"/>
    <cellStyle name="Normal 8 2 2 6" xfId="60269"/>
    <cellStyle name="Normal 8 2 3" xfId="5494"/>
    <cellStyle name="Normal 8 2 3 2" xfId="5495"/>
    <cellStyle name="Normal 8 2 3 2 2" xfId="5496"/>
    <cellStyle name="Normal 8 2 3 2 2 2" xfId="5497"/>
    <cellStyle name="Normal 8 2 3 2 3" xfId="5498"/>
    <cellStyle name="Normal 8 2 3 3" xfId="5499"/>
    <cellStyle name="Normal 8 2 3 3 2" xfId="5500"/>
    <cellStyle name="Normal 8 2 3 4" xfId="5501"/>
    <cellStyle name="Normal 8 2 3 5" xfId="60270"/>
    <cellStyle name="Normal 8 2 4" xfId="5502"/>
    <cellStyle name="Normal 8 2 4 2" xfId="5503"/>
    <cellStyle name="Normal 8 2 4 2 2" xfId="5504"/>
    <cellStyle name="Normal 8 2 4 3" xfId="5505"/>
    <cellStyle name="Normal 8 2 5" xfId="5506"/>
    <cellStyle name="Normal 8 2 5 2" xfId="5507"/>
    <cellStyle name="Normal 8 2 6" xfId="5508"/>
    <cellStyle name="Normal 8 2 7" xfId="5509"/>
    <cellStyle name="Normal 8 2 8" xfId="60271"/>
    <cellStyle name="Normal 8 3" xfId="5510"/>
    <cellStyle name="Normal 8 3 2" xfId="5511"/>
    <cellStyle name="Normal 8 3 2 2" xfId="5512"/>
    <cellStyle name="Normal 8 3 2 2 2" xfId="5513"/>
    <cellStyle name="Normal 8 3 2 2 2 2" xfId="5514"/>
    <cellStyle name="Normal 8 3 2 2 3" xfId="5515"/>
    <cellStyle name="Normal 8 3 2 3" xfId="5516"/>
    <cellStyle name="Normal 8 3 2 3 2" xfId="5517"/>
    <cellStyle name="Normal 8 3 2 4" xfId="5518"/>
    <cellStyle name="Normal 8 3 2 5" xfId="60272"/>
    <cellStyle name="Normal 8 3 3" xfId="5519"/>
    <cellStyle name="Normal 8 3 3 2" xfId="5520"/>
    <cellStyle name="Normal 8 3 3 2 2" xfId="5521"/>
    <cellStyle name="Normal 8 3 3 3" xfId="5522"/>
    <cellStyle name="Normal 8 3 4" xfId="5523"/>
    <cellStyle name="Normal 8 3 4 2" xfId="5524"/>
    <cellStyle name="Normal 8 3 5" xfId="5525"/>
    <cellStyle name="Normal 8 3 6" xfId="60273"/>
    <cellStyle name="Normal 8 4" xfId="5526"/>
    <cellStyle name="Normal 8 4 2" xfId="5527"/>
    <cellStyle name="Normal 8 4 2 2" xfId="5528"/>
    <cellStyle name="Normal 8 4 2 2 2" xfId="5529"/>
    <cellStyle name="Normal 8 4 2 3" xfId="5530"/>
    <cellStyle name="Normal 8 4 3" xfId="5531"/>
    <cellStyle name="Normal 8 4 3 2" xfId="5532"/>
    <cellStyle name="Normal 8 4 4" xfId="5533"/>
    <cellStyle name="Normal 8 4 5" xfId="60274"/>
    <cellStyle name="Normal 8 5" xfId="5534"/>
    <cellStyle name="Normal 8 5 2" xfId="5535"/>
    <cellStyle name="Normal 8 5 2 2" xfId="5536"/>
    <cellStyle name="Normal 8 5 3" xfId="5537"/>
    <cellStyle name="Normal 8 6" xfId="5538"/>
    <cellStyle name="Normal 8 6 2" xfId="5539"/>
    <cellStyle name="Normal 8 7" xfId="5540"/>
    <cellStyle name="Normal 8 8" xfId="5541"/>
    <cellStyle name="Normal 8_183302" xfId="8778"/>
    <cellStyle name="Normal 80" xfId="60275"/>
    <cellStyle name="Normal 81" xfId="60276"/>
    <cellStyle name="Normal 82" xfId="60277"/>
    <cellStyle name="Normal 83" xfId="60278"/>
    <cellStyle name="Normal 9" xfId="5542"/>
    <cellStyle name="Normal 9 2" xfId="5543"/>
    <cellStyle name="Normal 9 2 2" xfId="5544"/>
    <cellStyle name="Normal 9 2 2 2" xfId="5545"/>
    <cellStyle name="Normal 9 2 2 2 2" xfId="5546"/>
    <cellStyle name="Normal 9 2 2 2 2 2" xfId="5547"/>
    <cellStyle name="Normal 9 2 2 2 2 2 2" xfId="5548"/>
    <cellStyle name="Normal 9 2 2 2 2 3" xfId="5549"/>
    <cellStyle name="Normal 9 2 2 2 2 4" xfId="9306"/>
    <cellStyle name="Normal 9 2 2 2 3" xfId="5550"/>
    <cellStyle name="Normal 9 2 2 2 3 2" xfId="5551"/>
    <cellStyle name="Normal 9 2 2 2 4" xfId="5552"/>
    <cellStyle name="Normal 9 2 2 2 5" xfId="5553"/>
    <cellStyle name="Normal 9 2 2 2 6" xfId="9307"/>
    <cellStyle name="Normal 9 2 2 3" xfId="5554"/>
    <cellStyle name="Normal 9 2 2 3 2" xfId="5555"/>
    <cellStyle name="Normal 9 2 2 3 2 2" xfId="5556"/>
    <cellStyle name="Normal 9 2 2 3 3" xfId="5557"/>
    <cellStyle name="Normal 9 2 2 3 4" xfId="9308"/>
    <cellStyle name="Normal 9 2 2 4" xfId="5558"/>
    <cellStyle name="Normal 9 2 2 4 2" xfId="5559"/>
    <cellStyle name="Normal 9 2 2 5" xfId="5560"/>
    <cellStyle name="Normal 9 2 2 6" xfId="5561"/>
    <cellStyle name="Normal 9 2 2 7" xfId="9309"/>
    <cellStyle name="Normal 9 2 3" xfId="5562"/>
    <cellStyle name="Normal 9 2 3 2" xfId="5563"/>
    <cellStyle name="Normal 9 2 3 2 2" xfId="5564"/>
    <cellStyle name="Normal 9 2 3 2 2 2" xfId="5565"/>
    <cellStyle name="Normal 9 2 3 2 3" xfId="5566"/>
    <cellStyle name="Normal 9 2 3 2 4" xfId="9310"/>
    <cellStyle name="Normal 9 2 3 3" xfId="5567"/>
    <cellStyle name="Normal 9 2 3 3 2" xfId="5568"/>
    <cellStyle name="Normal 9 2 3 4" xfId="5569"/>
    <cellStyle name="Normal 9 2 3 5" xfId="5570"/>
    <cellStyle name="Normal 9 2 3 6" xfId="9311"/>
    <cellStyle name="Normal 9 2 4" xfId="5571"/>
    <cellStyle name="Normal 9 2 4 2" xfId="5572"/>
    <cellStyle name="Normal 9 2 4 2 2" xfId="5573"/>
    <cellStyle name="Normal 9 2 4 3" xfId="5574"/>
    <cellStyle name="Normal 9 2 4 4" xfId="9312"/>
    <cellStyle name="Normal 9 2 5" xfId="5575"/>
    <cellStyle name="Normal 9 2 5 2" xfId="5576"/>
    <cellStyle name="Normal 9 2 6" xfId="5577"/>
    <cellStyle name="Normal 9 2 7" xfId="5578"/>
    <cellStyle name="Normal 9 2 8" xfId="9313"/>
    <cellStyle name="Normal 9 3" xfId="5579"/>
    <cellStyle name="Normal 9 3 2" xfId="5580"/>
    <cellStyle name="Normal 9 3 2 2" xfId="5581"/>
    <cellStyle name="Normal 9 3 2 2 2" xfId="5582"/>
    <cellStyle name="Normal 9 3 2 2 2 2" xfId="5583"/>
    <cellStyle name="Normal 9 3 2 2 3" xfId="5584"/>
    <cellStyle name="Normal 9 3 2 2 4" xfId="9314"/>
    <cellStyle name="Normal 9 3 2 3" xfId="5585"/>
    <cellStyle name="Normal 9 3 2 3 2" xfId="5586"/>
    <cellStyle name="Normal 9 3 2 4" xfId="5587"/>
    <cellStyle name="Normal 9 3 2 5" xfId="5588"/>
    <cellStyle name="Normal 9 3 2 6" xfId="9315"/>
    <cellStyle name="Normal 9 3 3" xfId="5589"/>
    <cellStyle name="Normal 9 3 3 2" xfId="5590"/>
    <cellStyle name="Normal 9 3 3 2 2" xfId="5591"/>
    <cellStyle name="Normal 9 3 3 3" xfId="5592"/>
    <cellStyle name="Normal 9 3 3 4" xfId="9316"/>
    <cellStyle name="Normal 9 3 4" xfId="5593"/>
    <cellStyle name="Normal 9 3 4 2" xfId="5594"/>
    <cellStyle name="Normal 9 3 5" xfId="5595"/>
    <cellStyle name="Normal 9 3 6" xfId="5596"/>
    <cellStyle name="Normal 9 3 7" xfId="9317"/>
    <cellStyle name="Normal 9 4" xfId="5597"/>
    <cellStyle name="Normal 9 4 2" xfId="5598"/>
    <cellStyle name="Normal 9 4 2 2" xfId="5599"/>
    <cellStyle name="Normal 9 4 2 2 2" xfId="5600"/>
    <cellStyle name="Normal 9 4 2 3" xfId="5601"/>
    <cellStyle name="Normal 9 4 2 4" xfId="9318"/>
    <cellStyle name="Normal 9 4 3" xfId="5602"/>
    <cellStyle name="Normal 9 4 3 2" xfId="5603"/>
    <cellStyle name="Normal 9 4 4" xfId="5604"/>
    <cellStyle name="Normal 9 4 5" xfId="5605"/>
    <cellStyle name="Normal 9 4 6" xfId="9319"/>
    <cellStyle name="Normal 9 5" xfId="5606"/>
    <cellStyle name="Normal 9 5 2" xfId="5607"/>
    <cellStyle name="Normal 9 5 2 2" xfId="5608"/>
    <cellStyle name="Normal 9 5 3" xfId="5609"/>
    <cellStyle name="Normal 9 5 4" xfId="9320"/>
    <cellStyle name="Normal 9 6" xfId="5610"/>
    <cellStyle name="Normal 9 6 2" xfId="5611"/>
    <cellStyle name="Normal 9 7" xfId="5612"/>
    <cellStyle name="Normal 9 8" xfId="5613"/>
    <cellStyle name="Normal 9 9" xfId="9321"/>
    <cellStyle name="Normal_ESM Forms 2002 for Doug" xfId="9382"/>
    <cellStyle name="Normal_Report (2)" xfId="9383"/>
    <cellStyle name="Normal_Schedules A thru L Cost of Servive June 30, 2009" xfId="8676"/>
    <cellStyle name="Note 10" xfId="5614"/>
    <cellStyle name="Note 10 10" xfId="5615"/>
    <cellStyle name="Note 10 10 2" xfId="60279"/>
    <cellStyle name="Note 10 11" xfId="5616"/>
    <cellStyle name="Note 10 12" xfId="57976"/>
    <cellStyle name="Note 10 13" xfId="57977"/>
    <cellStyle name="Note 10 2" xfId="5617"/>
    <cellStyle name="Note 10 2 10" xfId="5618"/>
    <cellStyle name="Note 10 2 2" xfId="5619"/>
    <cellStyle name="Note 10 2 2 2" xfId="60280"/>
    <cellStyle name="Note 10 2 3" xfId="5620"/>
    <cellStyle name="Note 10 2 3 2" xfId="60281"/>
    <cellStyle name="Note 10 2 4" xfId="5621"/>
    <cellStyle name="Note 10 2 4 2" xfId="60282"/>
    <cellStyle name="Note 10 2 5" xfId="5622"/>
    <cellStyle name="Note 10 2 5 2" xfId="60283"/>
    <cellStyle name="Note 10 2 6" xfId="5623"/>
    <cellStyle name="Note 10 2 6 2" xfId="60284"/>
    <cellStyle name="Note 10 2 7" xfId="5624"/>
    <cellStyle name="Note 10 2 7 2" xfId="60285"/>
    <cellStyle name="Note 10 2 8" xfId="5625"/>
    <cellStyle name="Note 10 2 8 2" xfId="60286"/>
    <cellStyle name="Note 10 2 9" xfId="5626"/>
    <cellStyle name="Note 10 2 9 2" xfId="60287"/>
    <cellStyle name="Note 10 3" xfId="5627"/>
    <cellStyle name="Note 10 3 2" xfId="60288"/>
    <cellStyle name="Note 10 4" xfId="5628"/>
    <cellStyle name="Note 10 4 2" xfId="60289"/>
    <cellStyle name="Note 10 5" xfId="5629"/>
    <cellStyle name="Note 10 5 2" xfId="60290"/>
    <cellStyle name="Note 10 6" xfId="5630"/>
    <cellStyle name="Note 10 6 2" xfId="60291"/>
    <cellStyle name="Note 10 7" xfId="5631"/>
    <cellStyle name="Note 10 7 2" xfId="60292"/>
    <cellStyle name="Note 10 8" xfId="5632"/>
    <cellStyle name="Note 10 8 2" xfId="60293"/>
    <cellStyle name="Note 10 9" xfId="5633"/>
    <cellStyle name="Note 10 9 2" xfId="60294"/>
    <cellStyle name="Note 11" xfId="5634"/>
    <cellStyle name="Note 11 10" xfId="5635"/>
    <cellStyle name="Note 11 10 2" xfId="60295"/>
    <cellStyle name="Note 11 11" xfId="5636"/>
    <cellStyle name="Note 11 12" xfId="57978"/>
    <cellStyle name="Note 11 13" xfId="57979"/>
    <cellStyle name="Note 11 2" xfId="5637"/>
    <cellStyle name="Note 11 2 10" xfId="5638"/>
    <cellStyle name="Note 11 2 2" xfId="5639"/>
    <cellStyle name="Note 11 2 2 2" xfId="60296"/>
    <cellStyle name="Note 11 2 3" xfId="5640"/>
    <cellStyle name="Note 11 2 3 2" xfId="60297"/>
    <cellStyle name="Note 11 2 4" xfId="5641"/>
    <cellStyle name="Note 11 2 4 2" xfId="60298"/>
    <cellStyle name="Note 11 2 5" xfId="5642"/>
    <cellStyle name="Note 11 2 5 2" xfId="60299"/>
    <cellStyle name="Note 11 2 6" xfId="5643"/>
    <cellStyle name="Note 11 2 6 2" xfId="60300"/>
    <cellStyle name="Note 11 2 7" xfId="5644"/>
    <cellStyle name="Note 11 2 7 2" xfId="60301"/>
    <cellStyle name="Note 11 2 8" xfId="5645"/>
    <cellStyle name="Note 11 2 8 2" xfId="60302"/>
    <cellStyle name="Note 11 2 9" xfId="5646"/>
    <cellStyle name="Note 11 2 9 2" xfId="60303"/>
    <cellStyle name="Note 11 3" xfId="5647"/>
    <cellStyle name="Note 11 3 2" xfId="60304"/>
    <cellStyle name="Note 11 4" xfId="5648"/>
    <cellStyle name="Note 11 4 2" xfId="60305"/>
    <cellStyle name="Note 11 5" xfId="5649"/>
    <cellStyle name="Note 11 5 2" xfId="60306"/>
    <cellStyle name="Note 11 6" xfId="5650"/>
    <cellStyle name="Note 11 6 2" xfId="60307"/>
    <cellStyle name="Note 11 7" xfId="5651"/>
    <cellStyle name="Note 11 7 2" xfId="60308"/>
    <cellStyle name="Note 11 8" xfId="5652"/>
    <cellStyle name="Note 11 8 2" xfId="60309"/>
    <cellStyle name="Note 11 9" xfId="5653"/>
    <cellStyle name="Note 11 9 2" xfId="60310"/>
    <cellStyle name="Note 12" xfId="5654"/>
    <cellStyle name="Note 12 10" xfId="5655"/>
    <cellStyle name="Note 12 10 2" xfId="60311"/>
    <cellStyle name="Note 12 11" xfId="5656"/>
    <cellStyle name="Note 12 12" xfId="57980"/>
    <cellStyle name="Note 12 13" xfId="60312"/>
    <cellStyle name="Note 12 2" xfId="5657"/>
    <cellStyle name="Note 12 2 10" xfId="5658"/>
    <cellStyle name="Note 12 2 2" xfId="5659"/>
    <cellStyle name="Note 12 2 2 2" xfId="60313"/>
    <cellStyle name="Note 12 2 3" xfId="5660"/>
    <cellStyle name="Note 12 2 3 2" xfId="60314"/>
    <cellStyle name="Note 12 2 4" xfId="5661"/>
    <cellStyle name="Note 12 2 4 2" xfId="60315"/>
    <cellStyle name="Note 12 2 5" xfId="5662"/>
    <cellStyle name="Note 12 2 5 2" xfId="60316"/>
    <cellStyle name="Note 12 2 6" xfId="5663"/>
    <cellStyle name="Note 12 2 6 2" xfId="60317"/>
    <cellStyle name="Note 12 2 7" xfId="5664"/>
    <cellStyle name="Note 12 2 7 2" xfId="60318"/>
    <cellStyle name="Note 12 2 8" xfId="5665"/>
    <cellStyle name="Note 12 2 8 2" xfId="60319"/>
    <cellStyle name="Note 12 2 9" xfId="5666"/>
    <cellStyle name="Note 12 2 9 2" xfId="60320"/>
    <cellStyle name="Note 12 3" xfId="5667"/>
    <cellStyle name="Note 12 3 2" xfId="60321"/>
    <cellStyle name="Note 12 4" xfId="5668"/>
    <cellStyle name="Note 12 4 2" xfId="60322"/>
    <cellStyle name="Note 12 5" xfId="5669"/>
    <cellStyle name="Note 12 5 2" xfId="60323"/>
    <cellStyle name="Note 12 6" xfId="5670"/>
    <cellStyle name="Note 12 6 2" xfId="60324"/>
    <cellStyle name="Note 12 7" xfId="5671"/>
    <cellStyle name="Note 12 7 2" xfId="60325"/>
    <cellStyle name="Note 12 8" xfId="5672"/>
    <cellStyle name="Note 12 8 2" xfId="60326"/>
    <cellStyle name="Note 12 9" xfId="5673"/>
    <cellStyle name="Note 12 9 2" xfId="60327"/>
    <cellStyle name="Note 13" xfId="5674"/>
    <cellStyle name="Note 13 10" xfId="5675"/>
    <cellStyle name="Note 13 10 2" xfId="60328"/>
    <cellStyle name="Note 13 11" xfId="5676"/>
    <cellStyle name="Note 13 12" xfId="57981"/>
    <cellStyle name="Note 13 13" xfId="60329"/>
    <cellStyle name="Note 13 2" xfId="5677"/>
    <cellStyle name="Note 13 2 10" xfId="5678"/>
    <cellStyle name="Note 13 2 2" xfId="5679"/>
    <cellStyle name="Note 13 2 2 2" xfId="60330"/>
    <cellStyle name="Note 13 2 3" xfId="5680"/>
    <cellStyle name="Note 13 2 3 2" xfId="60331"/>
    <cellStyle name="Note 13 2 4" xfId="5681"/>
    <cellStyle name="Note 13 2 4 2" xfId="60332"/>
    <cellStyle name="Note 13 2 5" xfId="5682"/>
    <cellStyle name="Note 13 2 5 2" xfId="60333"/>
    <cellStyle name="Note 13 2 6" xfId="5683"/>
    <cellStyle name="Note 13 2 6 2" xfId="60334"/>
    <cellStyle name="Note 13 2 7" xfId="5684"/>
    <cellStyle name="Note 13 2 7 2" xfId="60335"/>
    <cellStyle name="Note 13 2 8" xfId="5685"/>
    <cellStyle name="Note 13 2 8 2" xfId="60336"/>
    <cellStyle name="Note 13 2 9" xfId="5686"/>
    <cellStyle name="Note 13 2 9 2" xfId="60337"/>
    <cellStyle name="Note 13 3" xfId="5687"/>
    <cellStyle name="Note 13 3 2" xfId="60338"/>
    <cellStyle name="Note 13 4" xfId="5688"/>
    <cellStyle name="Note 13 4 2" xfId="60339"/>
    <cellStyle name="Note 13 5" xfId="5689"/>
    <cellStyle name="Note 13 5 2" xfId="60340"/>
    <cellStyle name="Note 13 6" xfId="5690"/>
    <cellStyle name="Note 13 6 2" xfId="60341"/>
    <cellStyle name="Note 13 7" xfId="5691"/>
    <cellStyle name="Note 13 7 2" xfId="60342"/>
    <cellStyle name="Note 13 8" xfId="5692"/>
    <cellStyle name="Note 13 8 2" xfId="60343"/>
    <cellStyle name="Note 13 9" xfId="5693"/>
    <cellStyle name="Note 13 9 2" xfId="60344"/>
    <cellStyle name="Note 14" xfId="5694"/>
    <cellStyle name="Note 14 10" xfId="5695"/>
    <cellStyle name="Note 14 10 2" xfId="60345"/>
    <cellStyle name="Note 14 11" xfId="5696"/>
    <cellStyle name="Note 14 12" xfId="57982"/>
    <cellStyle name="Note 14 13" xfId="60346"/>
    <cellStyle name="Note 14 2" xfId="5697"/>
    <cellStyle name="Note 14 2 10" xfId="5698"/>
    <cellStyle name="Note 14 2 2" xfId="5699"/>
    <cellStyle name="Note 14 2 2 2" xfId="60347"/>
    <cellStyle name="Note 14 2 3" xfId="5700"/>
    <cellStyle name="Note 14 2 3 2" xfId="60348"/>
    <cellStyle name="Note 14 2 4" xfId="5701"/>
    <cellStyle name="Note 14 2 4 2" xfId="60349"/>
    <cellStyle name="Note 14 2 5" xfId="5702"/>
    <cellStyle name="Note 14 2 5 2" xfId="60350"/>
    <cellStyle name="Note 14 2 6" xfId="5703"/>
    <cellStyle name="Note 14 2 6 2" xfId="60351"/>
    <cellStyle name="Note 14 2 7" xfId="5704"/>
    <cellStyle name="Note 14 2 7 2" xfId="60352"/>
    <cellStyle name="Note 14 2 8" xfId="5705"/>
    <cellStyle name="Note 14 2 8 2" xfId="60353"/>
    <cellStyle name="Note 14 2 9" xfId="5706"/>
    <cellStyle name="Note 14 2 9 2" xfId="60354"/>
    <cellStyle name="Note 14 3" xfId="5707"/>
    <cellStyle name="Note 14 3 2" xfId="60355"/>
    <cellStyle name="Note 14 4" xfId="5708"/>
    <cellStyle name="Note 14 4 2" xfId="60356"/>
    <cellStyle name="Note 14 5" xfId="5709"/>
    <cellStyle name="Note 14 5 2" xfId="60357"/>
    <cellStyle name="Note 14 6" xfId="5710"/>
    <cellStyle name="Note 14 6 2" xfId="60358"/>
    <cellStyle name="Note 14 7" xfId="5711"/>
    <cellStyle name="Note 14 7 2" xfId="60359"/>
    <cellStyle name="Note 14 8" xfId="5712"/>
    <cellStyle name="Note 14 8 2" xfId="60360"/>
    <cellStyle name="Note 14 9" xfId="5713"/>
    <cellStyle name="Note 14 9 2" xfId="60361"/>
    <cellStyle name="Note 15" xfId="5714"/>
    <cellStyle name="Note 15 10" xfId="5715"/>
    <cellStyle name="Note 15 10 2" xfId="60362"/>
    <cellStyle name="Note 15 11" xfId="5716"/>
    <cellStyle name="Note 15 12" xfId="60363"/>
    <cellStyle name="Note 15 2" xfId="5717"/>
    <cellStyle name="Note 15 2 10" xfId="5718"/>
    <cellStyle name="Note 15 2 2" xfId="5719"/>
    <cellStyle name="Note 15 2 2 2" xfId="60364"/>
    <cellStyle name="Note 15 2 3" xfId="5720"/>
    <cellStyle name="Note 15 2 3 2" xfId="60365"/>
    <cellStyle name="Note 15 2 4" xfId="5721"/>
    <cellStyle name="Note 15 2 4 2" xfId="60366"/>
    <cellStyle name="Note 15 2 5" xfId="5722"/>
    <cellStyle name="Note 15 2 5 2" xfId="60367"/>
    <cellStyle name="Note 15 2 6" xfId="5723"/>
    <cellStyle name="Note 15 2 6 2" xfId="60368"/>
    <cellStyle name="Note 15 2 7" xfId="5724"/>
    <cellStyle name="Note 15 2 7 2" xfId="60369"/>
    <cellStyle name="Note 15 2 8" xfId="5725"/>
    <cellStyle name="Note 15 2 8 2" xfId="60370"/>
    <cellStyle name="Note 15 2 9" xfId="5726"/>
    <cellStyle name="Note 15 2 9 2" xfId="60371"/>
    <cellStyle name="Note 15 3" xfId="5727"/>
    <cellStyle name="Note 15 3 2" xfId="60372"/>
    <cellStyle name="Note 15 4" xfId="5728"/>
    <cellStyle name="Note 15 4 2" xfId="60373"/>
    <cellStyle name="Note 15 5" xfId="5729"/>
    <cellStyle name="Note 15 5 2" xfId="60374"/>
    <cellStyle name="Note 15 6" xfId="5730"/>
    <cellStyle name="Note 15 6 2" xfId="60375"/>
    <cellStyle name="Note 15 7" xfId="5731"/>
    <cellStyle name="Note 15 7 2" xfId="60376"/>
    <cellStyle name="Note 15 8" xfId="5732"/>
    <cellStyle name="Note 15 8 2" xfId="60377"/>
    <cellStyle name="Note 15 9" xfId="5733"/>
    <cellStyle name="Note 15 9 2" xfId="60378"/>
    <cellStyle name="Note 16" xfId="5734"/>
    <cellStyle name="Note 16 10" xfId="5735"/>
    <cellStyle name="Note 16 10 2" xfId="60379"/>
    <cellStyle name="Note 16 11" xfId="5736"/>
    <cellStyle name="Note 16 2" xfId="5737"/>
    <cellStyle name="Note 16 2 10" xfId="5738"/>
    <cellStyle name="Note 16 2 2" xfId="5739"/>
    <cellStyle name="Note 16 2 2 2" xfId="60380"/>
    <cellStyle name="Note 16 2 3" xfId="5740"/>
    <cellStyle name="Note 16 2 3 2" xfId="60381"/>
    <cellStyle name="Note 16 2 4" xfId="5741"/>
    <cellStyle name="Note 16 2 4 2" xfId="60382"/>
    <cellStyle name="Note 16 2 5" xfId="5742"/>
    <cellStyle name="Note 16 2 5 2" xfId="60383"/>
    <cellStyle name="Note 16 2 6" xfId="5743"/>
    <cellStyle name="Note 16 2 6 2" xfId="60384"/>
    <cellStyle name="Note 16 2 7" xfId="5744"/>
    <cellStyle name="Note 16 2 7 2" xfId="60385"/>
    <cellStyle name="Note 16 2 8" xfId="5745"/>
    <cellStyle name="Note 16 2 8 2" xfId="60386"/>
    <cellStyle name="Note 16 2 9" xfId="5746"/>
    <cellStyle name="Note 16 2 9 2" xfId="60387"/>
    <cellStyle name="Note 16 3" xfId="5747"/>
    <cellStyle name="Note 16 3 2" xfId="60388"/>
    <cellStyle name="Note 16 4" xfId="5748"/>
    <cellStyle name="Note 16 4 2" xfId="60389"/>
    <cellStyle name="Note 16 5" xfId="5749"/>
    <cellStyle name="Note 16 5 2" xfId="60390"/>
    <cellStyle name="Note 16 6" xfId="5750"/>
    <cellStyle name="Note 16 6 2" xfId="60391"/>
    <cellStyle name="Note 16 7" xfId="5751"/>
    <cellStyle name="Note 16 7 2" xfId="60392"/>
    <cellStyle name="Note 16 8" xfId="5752"/>
    <cellStyle name="Note 16 8 2" xfId="60393"/>
    <cellStyle name="Note 16 9" xfId="5753"/>
    <cellStyle name="Note 16 9 2" xfId="60394"/>
    <cellStyle name="Note 17" xfId="5754"/>
    <cellStyle name="Note 17 10" xfId="5755"/>
    <cellStyle name="Note 17 10 2" xfId="60395"/>
    <cellStyle name="Note 17 11" xfId="5756"/>
    <cellStyle name="Note 17 2" xfId="5757"/>
    <cellStyle name="Note 17 2 10" xfId="5758"/>
    <cellStyle name="Note 17 2 2" xfId="5759"/>
    <cellStyle name="Note 17 2 2 2" xfId="60396"/>
    <cellStyle name="Note 17 2 3" xfId="5760"/>
    <cellStyle name="Note 17 2 3 2" xfId="60397"/>
    <cellStyle name="Note 17 2 4" xfId="5761"/>
    <cellStyle name="Note 17 2 4 2" xfId="60398"/>
    <cellStyle name="Note 17 2 5" xfId="5762"/>
    <cellStyle name="Note 17 2 5 2" xfId="60399"/>
    <cellStyle name="Note 17 2 6" xfId="5763"/>
    <cellStyle name="Note 17 2 6 2" xfId="60400"/>
    <cellStyle name="Note 17 2 7" xfId="5764"/>
    <cellStyle name="Note 17 2 7 2" xfId="60401"/>
    <cellStyle name="Note 17 2 8" xfId="5765"/>
    <cellStyle name="Note 17 2 8 2" xfId="60402"/>
    <cellStyle name="Note 17 2 9" xfId="5766"/>
    <cellStyle name="Note 17 2 9 2" xfId="60403"/>
    <cellStyle name="Note 17 3" xfId="5767"/>
    <cellStyle name="Note 17 3 2" xfId="60404"/>
    <cellStyle name="Note 17 4" xfId="5768"/>
    <cellStyle name="Note 17 4 2" xfId="60405"/>
    <cellStyle name="Note 17 5" xfId="5769"/>
    <cellStyle name="Note 17 5 2" xfId="60406"/>
    <cellStyle name="Note 17 6" xfId="5770"/>
    <cellStyle name="Note 17 6 2" xfId="60407"/>
    <cellStyle name="Note 17 7" xfId="5771"/>
    <cellStyle name="Note 17 7 2" xfId="60408"/>
    <cellStyle name="Note 17 8" xfId="5772"/>
    <cellStyle name="Note 17 8 2" xfId="60409"/>
    <cellStyle name="Note 17 9" xfId="5773"/>
    <cellStyle name="Note 17 9 2" xfId="60410"/>
    <cellStyle name="Note 18" xfId="5774"/>
    <cellStyle name="Note 18 10" xfId="5775"/>
    <cellStyle name="Note 18 10 2" xfId="60411"/>
    <cellStyle name="Note 18 11" xfId="5776"/>
    <cellStyle name="Note 18 2" xfId="5777"/>
    <cellStyle name="Note 18 2 10" xfId="5778"/>
    <cellStyle name="Note 18 2 2" xfId="5779"/>
    <cellStyle name="Note 18 2 2 2" xfId="60412"/>
    <cellStyle name="Note 18 2 3" xfId="5780"/>
    <cellStyle name="Note 18 2 3 2" xfId="60413"/>
    <cellStyle name="Note 18 2 4" xfId="5781"/>
    <cellStyle name="Note 18 2 4 2" xfId="60414"/>
    <cellStyle name="Note 18 2 5" xfId="5782"/>
    <cellStyle name="Note 18 2 5 2" xfId="60415"/>
    <cellStyle name="Note 18 2 6" xfId="5783"/>
    <cellStyle name="Note 18 2 6 2" xfId="60416"/>
    <cellStyle name="Note 18 2 7" xfId="5784"/>
    <cellStyle name="Note 18 2 7 2" xfId="60417"/>
    <cellStyle name="Note 18 2 8" xfId="5785"/>
    <cellStyle name="Note 18 2 8 2" xfId="60418"/>
    <cellStyle name="Note 18 2 9" xfId="5786"/>
    <cellStyle name="Note 18 2 9 2" xfId="60419"/>
    <cellStyle name="Note 18 3" xfId="5787"/>
    <cellStyle name="Note 18 3 2" xfId="60420"/>
    <cellStyle name="Note 18 4" xfId="5788"/>
    <cellStyle name="Note 18 4 2" xfId="60421"/>
    <cellStyle name="Note 18 5" xfId="5789"/>
    <cellStyle name="Note 18 5 2" xfId="60422"/>
    <cellStyle name="Note 18 6" xfId="5790"/>
    <cellStyle name="Note 18 6 2" xfId="60423"/>
    <cellStyle name="Note 18 7" xfId="5791"/>
    <cellStyle name="Note 18 7 2" xfId="60424"/>
    <cellStyle name="Note 18 8" xfId="5792"/>
    <cellStyle name="Note 18 8 2" xfId="60425"/>
    <cellStyle name="Note 18 9" xfId="5793"/>
    <cellStyle name="Note 18 9 2" xfId="60426"/>
    <cellStyle name="Note 19" xfId="5794"/>
    <cellStyle name="Note 19 10" xfId="5795"/>
    <cellStyle name="Note 19 10 2" xfId="60427"/>
    <cellStyle name="Note 19 11" xfId="5796"/>
    <cellStyle name="Note 19 2" xfId="5797"/>
    <cellStyle name="Note 19 2 10" xfId="5798"/>
    <cellStyle name="Note 19 2 2" xfId="5799"/>
    <cellStyle name="Note 19 2 2 2" xfId="60428"/>
    <cellStyle name="Note 19 2 3" xfId="5800"/>
    <cellStyle name="Note 19 2 3 2" xfId="60429"/>
    <cellStyle name="Note 19 2 4" xfId="5801"/>
    <cellStyle name="Note 19 2 4 2" xfId="60430"/>
    <cellStyle name="Note 19 2 5" xfId="5802"/>
    <cellStyle name="Note 19 2 5 2" xfId="60431"/>
    <cellStyle name="Note 19 2 6" xfId="5803"/>
    <cellStyle name="Note 19 2 6 2" xfId="60432"/>
    <cellStyle name="Note 19 2 7" xfId="5804"/>
    <cellStyle name="Note 19 2 7 2" xfId="60433"/>
    <cellStyle name="Note 19 2 8" xfId="5805"/>
    <cellStyle name="Note 19 2 8 2" xfId="60434"/>
    <cellStyle name="Note 19 2 9" xfId="5806"/>
    <cellStyle name="Note 19 2 9 2" xfId="60435"/>
    <cellStyle name="Note 19 3" xfId="5807"/>
    <cellStyle name="Note 19 3 2" xfId="60436"/>
    <cellStyle name="Note 19 4" xfId="5808"/>
    <cellStyle name="Note 19 4 2" xfId="60437"/>
    <cellStyle name="Note 19 5" xfId="5809"/>
    <cellStyle name="Note 19 5 2" xfId="60438"/>
    <cellStyle name="Note 19 6" xfId="5810"/>
    <cellStyle name="Note 19 6 2" xfId="60439"/>
    <cellStyle name="Note 19 7" xfId="5811"/>
    <cellStyle name="Note 19 7 2" xfId="60440"/>
    <cellStyle name="Note 19 8" xfId="5812"/>
    <cellStyle name="Note 19 8 2" xfId="60441"/>
    <cellStyle name="Note 19 9" xfId="5813"/>
    <cellStyle name="Note 19 9 2" xfId="60442"/>
    <cellStyle name="Note 2" xfId="5814"/>
    <cellStyle name="Note 2 10" xfId="5815"/>
    <cellStyle name="Note 2 10 2" xfId="60443"/>
    <cellStyle name="Note 2 11" xfId="5816"/>
    <cellStyle name="Note 2 12" xfId="5817"/>
    <cellStyle name="Note 2 12 2" xfId="60444"/>
    <cellStyle name="Note 2 12 3" xfId="60445"/>
    <cellStyle name="Note 2 12 4" xfId="60446"/>
    <cellStyle name="Note 2 13" xfId="9322"/>
    <cellStyle name="Note 2 14" xfId="60447"/>
    <cellStyle name="Note 2 15" xfId="60448"/>
    <cellStyle name="Note 2 16" xfId="60449"/>
    <cellStyle name="Note 2 2" xfId="5818"/>
    <cellStyle name="Note 2 2 10" xfId="5819"/>
    <cellStyle name="Note 2 2 11" xfId="5820"/>
    <cellStyle name="Note 2 2 12" xfId="9323"/>
    <cellStyle name="Note 2 2 2" xfId="5821"/>
    <cellStyle name="Note 2 2 2 2" xfId="5822"/>
    <cellStyle name="Note 2 2 2 2 2" xfId="5823"/>
    <cellStyle name="Note 2 2 2 2 2 2" xfId="5824"/>
    <cellStyle name="Note 2 2 2 2 2 2 2" xfId="5825"/>
    <cellStyle name="Note 2 2 2 2 2 3" xfId="5826"/>
    <cellStyle name="Note 2 2 2 2 2 4" xfId="9324"/>
    <cellStyle name="Note 2 2 2 2 3" xfId="5827"/>
    <cellStyle name="Note 2 2 2 2 3 2" xfId="5828"/>
    <cellStyle name="Note 2 2 2 2 4" xfId="5829"/>
    <cellStyle name="Note 2 2 2 2 5" xfId="9325"/>
    <cellStyle name="Note 2 2 2 3" xfId="5830"/>
    <cellStyle name="Note 2 2 2 3 2" xfId="5831"/>
    <cellStyle name="Note 2 2 2 3 2 2" xfId="5832"/>
    <cellStyle name="Note 2 2 2 3 3" xfId="5833"/>
    <cellStyle name="Note 2 2 2 3 4" xfId="9326"/>
    <cellStyle name="Note 2 2 2 4" xfId="5834"/>
    <cellStyle name="Note 2 2 2 4 2" xfId="5835"/>
    <cellStyle name="Note 2 2 2 5" xfId="5836"/>
    <cellStyle name="Note 2 2 2 6" xfId="5837"/>
    <cellStyle name="Note 2 2 2 7" xfId="9327"/>
    <cellStyle name="Note 2 2 3" xfId="5838"/>
    <cellStyle name="Note 2 2 3 2" xfId="5839"/>
    <cellStyle name="Note 2 2 3 2 2" xfId="5840"/>
    <cellStyle name="Note 2 2 3 2 2 2" xfId="5841"/>
    <cellStyle name="Note 2 2 3 2 3" xfId="5842"/>
    <cellStyle name="Note 2 2 3 2 4" xfId="9328"/>
    <cellStyle name="Note 2 2 3 2 5" xfId="60450"/>
    <cellStyle name="Note 2 2 3 3" xfId="5843"/>
    <cellStyle name="Note 2 2 3 3 2" xfId="5844"/>
    <cellStyle name="Note 2 2 3 4" xfId="5845"/>
    <cellStyle name="Note 2 2 3 5" xfId="5846"/>
    <cellStyle name="Note 2 2 3 6" xfId="9329"/>
    <cellStyle name="Note 2 2 4" xfId="5847"/>
    <cellStyle name="Note 2 2 4 2" xfId="5848"/>
    <cellStyle name="Note 2 2 4 2 2" xfId="5849"/>
    <cellStyle name="Note 2 2 4 2 3" xfId="60451"/>
    <cellStyle name="Note 2 2 4 2 4" xfId="60452"/>
    <cellStyle name="Note 2 2 4 3" xfId="5850"/>
    <cellStyle name="Note 2 2 4 4" xfId="5851"/>
    <cellStyle name="Note 2 2 4 5" xfId="9330"/>
    <cellStyle name="Note 2 2 5" xfId="5852"/>
    <cellStyle name="Note 2 2 5 2" xfId="5853"/>
    <cellStyle name="Note 2 2 5 3" xfId="5854"/>
    <cellStyle name="Note 2 2 6" xfId="5855"/>
    <cellStyle name="Note 2 2 6 2" xfId="5856"/>
    <cellStyle name="Note 2 2 7" xfId="5857"/>
    <cellStyle name="Note 2 2 7 2" xfId="60453"/>
    <cellStyle name="Note 2 2 8" xfId="5858"/>
    <cellStyle name="Note 2 2 8 2" xfId="60454"/>
    <cellStyle name="Note 2 2 9" xfId="5859"/>
    <cellStyle name="Note 2 2 9 2" xfId="60455"/>
    <cellStyle name="Note 2 3" xfId="5860"/>
    <cellStyle name="Note 2 3 2" xfId="5861"/>
    <cellStyle name="Note 2 3 2 2" xfId="5862"/>
    <cellStyle name="Note 2 3 2 2 2" xfId="5863"/>
    <cellStyle name="Note 2 3 2 2 2 2" xfId="5864"/>
    <cellStyle name="Note 2 3 2 2 3" xfId="5865"/>
    <cellStyle name="Note 2 3 2 2 4" xfId="60456"/>
    <cellStyle name="Note 2 3 2 3" xfId="5866"/>
    <cellStyle name="Note 2 3 2 3 2" xfId="5867"/>
    <cellStyle name="Note 2 3 2 4" xfId="5868"/>
    <cellStyle name="Note 2 3 2 5" xfId="60457"/>
    <cellStyle name="Note 2 3 3" xfId="5869"/>
    <cellStyle name="Note 2 3 3 2" xfId="5870"/>
    <cellStyle name="Note 2 3 3 2 2" xfId="5871"/>
    <cellStyle name="Note 2 3 3 3" xfId="5872"/>
    <cellStyle name="Note 2 3 3 4" xfId="60458"/>
    <cellStyle name="Note 2 3 3 5" xfId="60459"/>
    <cellStyle name="Note 2 3 4" xfId="5873"/>
    <cellStyle name="Note 2 3 4 2" xfId="5874"/>
    <cellStyle name="Note 2 3 5" xfId="5875"/>
    <cellStyle name="Note 2 3 6" xfId="5876"/>
    <cellStyle name="Note 2 3 7" xfId="60460"/>
    <cellStyle name="Note 2 4" xfId="5877"/>
    <cellStyle name="Note 2 4 2" xfId="5878"/>
    <cellStyle name="Note 2 4 2 2" xfId="5879"/>
    <cellStyle name="Note 2 4 2 2 2" xfId="5880"/>
    <cellStyle name="Note 2 4 2 2 3" xfId="60461"/>
    <cellStyle name="Note 2 4 2 3" xfId="5881"/>
    <cellStyle name="Note 2 4 2 4" xfId="60462"/>
    <cellStyle name="Note 2 4 2 5" xfId="60463"/>
    <cellStyle name="Note 2 4 3" xfId="5882"/>
    <cellStyle name="Note 2 4 3 2" xfId="5883"/>
    <cellStyle name="Note 2 4 3 3" xfId="60464"/>
    <cellStyle name="Note 2 4 4" xfId="5884"/>
    <cellStyle name="Note 2 4 4 2" xfId="60465"/>
    <cellStyle name="Note 2 4 5" xfId="5885"/>
    <cellStyle name="Note 2 4 6" xfId="60466"/>
    <cellStyle name="Note 2 4 7" xfId="60467"/>
    <cellStyle name="Note 2 5" xfId="5886"/>
    <cellStyle name="Note 2 5 2" xfId="5887"/>
    <cellStyle name="Note 2 5 2 2" xfId="5888"/>
    <cellStyle name="Note 2 5 2 3" xfId="60468"/>
    <cellStyle name="Note 2 5 2 4" xfId="60469"/>
    <cellStyle name="Note 2 5 2 5" xfId="60470"/>
    <cellStyle name="Note 2 5 3" xfId="5889"/>
    <cellStyle name="Note 2 5 4" xfId="5890"/>
    <cellStyle name="Note 2 5 5" xfId="60471"/>
    <cellStyle name="Note 2 6" xfId="5891"/>
    <cellStyle name="Note 2 6 2" xfId="5892"/>
    <cellStyle name="Note 2 6 2 2" xfId="60472"/>
    <cellStyle name="Note 2 6 2 3" xfId="60473"/>
    <cellStyle name="Note 2 6 2 4" xfId="60474"/>
    <cellStyle name="Note 2 6 3" xfId="5893"/>
    <cellStyle name="Note 2 6 4" xfId="60475"/>
    <cellStyle name="Note 2 6 5" xfId="60476"/>
    <cellStyle name="Note 2 7" xfId="5894"/>
    <cellStyle name="Note 2 7 2" xfId="5895"/>
    <cellStyle name="Note 2 7 2 2" xfId="60477"/>
    <cellStyle name="Note 2 7 2 3" xfId="60478"/>
    <cellStyle name="Note 2 7 2 4" xfId="60479"/>
    <cellStyle name="Note 2 7 3" xfId="60480"/>
    <cellStyle name="Note 2 7 4" xfId="60481"/>
    <cellStyle name="Note 2 7 5" xfId="60482"/>
    <cellStyle name="Note 2 8" xfId="5896"/>
    <cellStyle name="Note 2 8 2" xfId="60483"/>
    <cellStyle name="Note 2 9" xfId="5897"/>
    <cellStyle name="Note 2 9 2" xfId="60484"/>
    <cellStyle name="Note 20" xfId="5898"/>
    <cellStyle name="Note 20 10" xfId="5899"/>
    <cellStyle name="Note 20 10 2" xfId="60485"/>
    <cellStyle name="Note 20 11" xfId="5900"/>
    <cellStyle name="Note 20 2" xfId="5901"/>
    <cellStyle name="Note 20 2 10" xfId="5902"/>
    <cellStyle name="Note 20 2 2" xfId="5903"/>
    <cellStyle name="Note 20 2 2 2" xfId="60486"/>
    <cellStyle name="Note 20 2 3" xfId="5904"/>
    <cellStyle name="Note 20 2 3 2" xfId="60487"/>
    <cellStyle name="Note 20 2 4" xfId="5905"/>
    <cellStyle name="Note 20 2 4 2" xfId="60488"/>
    <cellStyle name="Note 20 2 5" xfId="5906"/>
    <cellStyle name="Note 20 2 5 2" xfId="60489"/>
    <cellStyle name="Note 20 2 6" xfId="5907"/>
    <cellStyle name="Note 20 2 6 2" xfId="60490"/>
    <cellStyle name="Note 20 2 7" xfId="5908"/>
    <cellStyle name="Note 20 2 7 2" xfId="60491"/>
    <cellStyle name="Note 20 2 8" xfId="5909"/>
    <cellStyle name="Note 20 2 8 2" xfId="60492"/>
    <cellStyle name="Note 20 2 9" xfId="5910"/>
    <cellStyle name="Note 20 2 9 2" xfId="60493"/>
    <cellStyle name="Note 20 3" xfId="5911"/>
    <cellStyle name="Note 20 3 2" xfId="60494"/>
    <cellStyle name="Note 20 4" xfId="5912"/>
    <cellStyle name="Note 20 4 2" xfId="60495"/>
    <cellStyle name="Note 20 5" xfId="5913"/>
    <cellStyle name="Note 20 5 2" xfId="60496"/>
    <cellStyle name="Note 20 6" xfId="5914"/>
    <cellStyle name="Note 20 6 2" xfId="60497"/>
    <cellStyle name="Note 20 7" xfId="5915"/>
    <cellStyle name="Note 20 7 2" xfId="60498"/>
    <cellStyle name="Note 20 8" xfId="5916"/>
    <cellStyle name="Note 20 8 2" xfId="60499"/>
    <cellStyle name="Note 20 9" xfId="5917"/>
    <cellStyle name="Note 20 9 2" xfId="60500"/>
    <cellStyle name="Note 21" xfId="5918"/>
    <cellStyle name="Note 21 10" xfId="5919"/>
    <cellStyle name="Note 21 10 2" xfId="60501"/>
    <cellStyle name="Note 21 11" xfId="5920"/>
    <cellStyle name="Note 21 2" xfId="5921"/>
    <cellStyle name="Note 21 2 10" xfId="5922"/>
    <cellStyle name="Note 21 2 2" xfId="5923"/>
    <cellStyle name="Note 21 2 2 2" xfId="60502"/>
    <cellStyle name="Note 21 2 3" xfId="5924"/>
    <cellStyle name="Note 21 2 3 2" xfId="60503"/>
    <cellStyle name="Note 21 2 4" xfId="5925"/>
    <cellStyle name="Note 21 2 4 2" xfId="60504"/>
    <cellStyle name="Note 21 2 5" xfId="5926"/>
    <cellStyle name="Note 21 2 5 2" xfId="60505"/>
    <cellStyle name="Note 21 2 6" xfId="5927"/>
    <cellStyle name="Note 21 2 6 2" xfId="60506"/>
    <cellStyle name="Note 21 2 7" xfId="5928"/>
    <cellStyle name="Note 21 2 7 2" xfId="60507"/>
    <cellStyle name="Note 21 2 8" xfId="5929"/>
    <cellStyle name="Note 21 2 8 2" xfId="60508"/>
    <cellStyle name="Note 21 2 9" xfId="5930"/>
    <cellStyle name="Note 21 2 9 2" xfId="60509"/>
    <cellStyle name="Note 21 3" xfId="5931"/>
    <cellStyle name="Note 21 3 2" xfId="60510"/>
    <cellStyle name="Note 21 4" xfId="5932"/>
    <cellStyle name="Note 21 4 2" xfId="60511"/>
    <cellStyle name="Note 21 5" xfId="5933"/>
    <cellStyle name="Note 21 5 2" xfId="60512"/>
    <cellStyle name="Note 21 6" xfId="5934"/>
    <cellStyle name="Note 21 6 2" xfId="60513"/>
    <cellStyle name="Note 21 7" xfId="5935"/>
    <cellStyle name="Note 21 7 2" xfId="60514"/>
    <cellStyle name="Note 21 8" xfId="5936"/>
    <cellStyle name="Note 21 8 2" xfId="60515"/>
    <cellStyle name="Note 21 9" xfId="5937"/>
    <cellStyle name="Note 21 9 2" xfId="60516"/>
    <cellStyle name="Note 22" xfId="5938"/>
    <cellStyle name="Note 22 10" xfId="5939"/>
    <cellStyle name="Note 22 2" xfId="5940"/>
    <cellStyle name="Note 22 2 2" xfId="60517"/>
    <cellStyle name="Note 22 3" xfId="5941"/>
    <cellStyle name="Note 22 3 2" xfId="60518"/>
    <cellStyle name="Note 22 4" xfId="5942"/>
    <cellStyle name="Note 22 4 2" xfId="60519"/>
    <cellStyle name="Note 22 5" xfId="5943"/>
    <cellStyle name="Note 22 5 2" xfId="60520"/>
    <cellStyle name="Note 22 6" xfId="5944"/>
    <cellStyle name="Note 22 6 2" xfId="60521"/>
    <cellStyle name="Note 22 7" xfId="5945"/>
    <cellStyle name="Note 22 7 2" xfId="60522"/>
    <cellStyle name="Note 22 8" xfId="5946"/>
    <cellStyle name="Note 22 8 2" xfId="60523"/>
    <cellStyle name="Note 22 9" xfId="5947"/>
    <cellStyle name="Note 22 9 2" xfId="60524"/>
    <cellStyle name="Note 23" xfId="5948"/>
    <cellStyle name="Note 23 2" xfId="60525"/>
    <cellStyle name="Note 23 2 2" xfId="60526"/>
    <cellStyle name="Note 23 3" xfId="60527"/>
    <cellStyle name="Note 23 4" xfId="60528"/>
    <cellStyle name="Note 24" xfId="9331"/>
    <cellStyle name="Note 3" xfId="5949"/>
    <cellStyle name="Note 3 10" xfId="5950"/>
    <cellStyle name="Note 3 10 2" xfId="60529"/>
    <cellStyle name="Note 3 11" xfId="5951"/>
    <cellStyle name="Note 3 12" xfId="5952"/>
    <cellStyle name="Note 3 13" xfId="9332"/>
    <cellStyle name="Note 3 2" xfId="5953"/>
    <cellStyle name="Note 3 2 10" xfId="5954"/>
    <cellStyle name="Note 3 2 11" xfId="5955"/>
    <cellStyle name="Note 3 2 12" xfId="57983"/>
    <cellStyle name="Note 3 2 2" xfId="5956"/>
    <cellStyle name="Note 3 2 2 2" xfId="5957"/>
    <cellStyle name="Note 3 2 2 2 2" xfId="5958"/>
    <cellStyle name="Note 3 2 2 2 2 2" xfId="5959"/>
    <cellStyle name="Note 3 2 2 2 2 2 2" xfId="5960"/>
    <cellStyle name="Note 3 2 2 2 2 3" xfId="5961"/>
    <cellStyle name="Note 3 2 2 2 3" xfId="5962"/>
    <cellStyle name="Note 3 2 2 2 3 2" xfId="5963"/>
    <cellStyle name="Note 3 2 2 2 4" xfId="5964"/>
    <cellStyle name="Note 3 2 2 3" xfId="5965"/>
    <cellStyle name="Note 3 2 2 3 2" xfId="5966"/>
    <cellStyle name="Note 3 2 2 3 2 2" xfId="5967"/>
    <cellStyle name="Note 3 2 2 3 3" xfId="5968"/>
    <cellStyle name="Note 3 2 2 4" xfId="5969"/>
    <cellStyle name="Note 3 2 2 4 2" xfId="5970"/>
    <cellStyle name="Note 3 2 2 5" xfId="5971"/>
    <cellStyle name="Note 3 2 2 6" xfId="5972"/>
    <cellStyle name="Note 3 2 3" xfId="5973"/>
    <cellStyle name="Note 3 2 3 2" xfId="5974"/>
    <cellStyle name="Note 3 2 3 2 2" xfId="5975"/>
    <cellStyle name="Note 3 2 3 2 2 2" xfId="5976"/>
    <cellStyle name="Note 3 2 3 2 3" xfId="5977"/>
    <cellStyle name="Note 3 2 3 3" xfId="5978"/>
    <cellStyle name="Note 3 2 3 3 2" xfId="5979"/>
    <cellStyle name="Note 3 2 3 4" xfId="5980"/>
    <cellStyle name="Note 3 2 3 5" xfId="5981"/>
    <cellStyle name="Note 3 2 4" xfId="5982"/>
    <cellStyle name="Note 3 2 4 2" xfId="5983"/>
    <cellStyle name="Note 3 2 4 2 2" xfId="5984"/>
    <cellStyle name="Note 3 2 4 3" xfId="5985"/>
    <cellStyle name="Note 3 2 4 4" xfId="5986"/>
    <cellStyle name="Note 3 2 5" xfId="5987"/>
    <cellStyle name="Note 3 2 5 2" xfId="5988"/>
    <cellStyle name="Note 3 2 5 3" xfId="5989"/>
    <cellStyle name="Note 3 2 6" xfId="5990"/>
    <cellStyle name="Note 3 2 6 2" xfId="5991"/>
    <cellStyle name="Note 3 2 7" xfId="5992"/>
    <cellStyle name="Note 3 2 7 2" xfId="60530"/>
    <cellStyle name="Note 3 2 8" xfId="5993"/>
    <cellStyle name="Note 3 2 8 2" xfId="60531"/>
    <cellStyle name="Note 3 2 9" xfId="5994"/>
    <cellStyle name="Note 3 2 9 2" xfId="60532"/>
    <cellStyle name="Note 3 3" xfId="5995"/>
    <cellStyle name="Note 3 3 2" xfId="5996"/>
    <cellStyle name="Note 3 3 2 2" xfId="5997"/>
    <cellStyle name="Note 3 3 2 2 2" xfId="5998"/>
    <cellStyle name="Note 3 3 2 2 2 2" xfId="5999"/>
    <cellStyle name="Note 3 3 2 2 3" xfId="6000"/>
    <cellStyle name="Note 3 3 2 3" xfId="6001"/>
    <cellStyle name="Note 3 3 2 3 2" xfId="6002"/>
    <cellStyle name="Note 3 3 2 4" xfId="6003"/>
    <cellStyle name="Note 3 3 3" xfId="6004"/>
    <cellStyle name="Note 3 3 3 2" xfId="6005"/>
    <cellStyle name="Note 3 3 3 2 2" xfId="6006"/>
    <cellStyle name="Note 3 3 3 3" xfId="6007"/>
    <cellStyle name="Note 3 3 4" xfId="6008"/>
    <cellStyle name="Note 3 3 4 2" xfId="6009"/>
    <cellStyle name="Note 3 3 5" xfId="6010"/>
    <cellStyle name="Note 3 3 6" xfId="6011"/>
    <cellStyle name="Note 3 3 7" xfId="60533"/>
    <cellStyle name="Note 3 4" xfId="6012"/>
    <cellStyle name="Note 3 4 2" xfId="6013"/>
    <cellStyle name="Note 3 4 2 2" xfId="6014"/>
    <cellStyle name="Note 3 4 2 2 2" xfId="6015"/>
    <cellStyle name="Note 3 4 2 3" xfId="6016"/>
    <cellStyle name="Note 3 4 2 4" xfId="60534"/>
    <cellStyle name="Note 3 4 3" xfId="6017"/>
    <cellStyle name="Note 3 4 3 2" xfId="6018"/>
    <cellStyle name="Note 3 4 4" xfId="6019"/>
    <cellStyle name="Note 3 4 5" xfId="6020"/>
    <cellStyle name="Note 3 5" xfId="6021"/>
    <cellStyle name="Note 3 5 2" xfId="6022"/>
    <cellStyle name="Note 3 5 2 2" xfId="6023"/>
    <cellStyle name="Note 3 5 3" xfId="6024"/>
    <cellStyle name="Note 3 5 4" xfId="6025"/>
    <cellStyle name="Note 3 6" xfId="6026"/>
    <cellStyle name="Note 3 6 2" xfId="6027"/>
    <cellStyle name="Note 3 6 3" xfId="6028"/>
    <cellStyle name="Note 3 7" xfId="6029"/>
    <cellStyle name="Note 3 7 2" xfId="6030"/>
    <cellStyle name="Note 3 8" xfId="6031"/>
    <cellStyle name="Note 3 8 2" xfId="60535"/>
    <cellStyle name="Note 3 9" xfId="6032"/>
    <cellStyle name="Note 3 9 2" xfId="60536"/>
    <cellStyle name="Note 4" xfId="6033"/>
    <cellStyle name="Note 4 10" xfId="6034"/>
    <cellStyle name="Note 4 10 2" xfId="60537"/>
    <cellStyle name="Note 4 11" xfId="6035"/>
    <cellStyle name="Note 4 12" xfId="6036"/>
    <cellStyle name="Note 4 13" xfId="9333"/>
    <cellStyle name="Note 4 2" xfId="6037"/>
    <cellStyle name="Note 4 2 10" xfId="6038"/>
    <cellStyle name="Note 4 2 11" xfId="6039"/>
    <cellStyle name="Note 4 2 12" xfId="9334"/>
    <cellStyle name="Note 4 2 2" xfId="6040"/>
    <cellStyle name="Note 4 2 2 2" xfId="6041"/>
    <cellStyle name="Note 4 2 2 2 2" xfId="6042"/>
    <cellStyle name="Note 4 2 2 2 2 2" xfId="6043"/>
    <cellStyle name="Note 4 2 2 2 2 2 2" xfId="6044"/>
    <cellStyle name="Note 4 2 2 2 2 3" xfId="6045"/>
    <cellStyle name="Note 4 2 2 2 3" xfId="6046"/>
    <cellStyle name="Note 4 2 2 2 3 2" xfId="6047"/>
    <cellStyle name="Note 4 2 2 2 4" xfId="6048"/>
    <cellStyle name="Note 4 2 2 2 5" xfId="9335"/>
    <cellStyle name="Note 4 2 2 3" xfId="6049"/>
    <cellStyle name="Note 4 2 2 3 2" xfId="6050"/>
    <cellStyle name="Note 4 2 2 3 2 2" xfId="6051"/>
    <cellStyle name="Note 4 2 2 3 3" xfId="6052"/>
    <cellStyle name="Note 4 2 2 4" xfId="6053"/>
    <cellStyle name="Note 4 2 2 4 2" xfId="6054"/>
    <cellStyle name="Note 4 2 2 5" xfId="6055"/>
    <cellStyle name="Note 4 2 2 6" xfId="6056"/>
    <cellStyle name="Note 4 2 2 7" xfId="9336"/>
    <cellStyle name="Note 4 2 3" xfId="6057"/>
    <cellStyle name="Note 4 2 3 2" xfId="6058"/>
    <cellStyle name="Note 4 2 3 2 2" xfId="6059"/>
    <cellStyle name="Note 4 2 3 2 2 2" xfId="6060"/>
    <cellStyle name="Note 4 2 3 2 3" xfId="6061"/>
    <cellStyle name="Note 4 2 3 3" xfId="6062"/>
    <cellStyle name="Note 4 2 3 3 2" xfId="6063"/>
    <cellStyle name="Note 4 2 3 4" xfId="6064"/>
    <cellStyle name="Note 4 2 3 5" xfId="6065"/>
    <cellStyle name="Note 4 2 3 6" xfId="9337"/>
    <cellStyle name="Note 4 2 4" xfId="6066"/>
    <cellStyle name="Note 4 2 4 2" xfId="6067"/>
    <cellStyle name="Note 4 2 4 2 2" xfId="6068"/>
    <cellStyle name="Note 4 2 4 3" xfId="6069"/>
    <cellStyle name="Note 4 2 4 4" xfId="6070"/>
    <cellStyle name="Note 4 2 5" xfId="6071"/>
    <cellStyle name="Note 4 2 5 2" xfId="6072"/>
    <cellStyle name="Note 4 2 5 3" xfId="6073"/>
    <cellStyle name="Note 4 2 6" xfId="6074"/>
    <cellStyle name="Note 4 2 6 2" xfId="6075"/>
    <cellStyle name="Note 4 2 7" xfId="6076"/>
    <cellStyle name="Note 4 2 7 2" xfId="60538"/>
    <cellStyle name="Note 4 2 8" xfId="6077"/>
    <cellStyle name="Note 4 2 8 2" xfId="60539"/>
    <cellStyle name="Note 4 2 9" xfId="6078"/>
    <cellStyle name="Note 4 2 9 2" xfId="60540"/>
    <cellStyle name="Note 4 3" xfId="6079"/>
    <cellStyle name="Note 4 3 2" xfId="6080"/>
    <cellStyle name="Note 4 3 2 2" xfId="6081"/>
    <cellStyle name="Note 4 3 2 2 2" xfId="6082"/>
    <cellStyle name="Note 4 3 2 2 2 2" xfId="6083"/>
    <cellStyle name="Note 4 3 2 2 3" xfId="6084"/>
    <cellStyle name="Note 4 3 2 3" xfId="6085"/>
    <cellStyle name="Note 4 3 2 3 2" xfId="6086"/>
    <cellStyle name="Note 4 3 2 4" xfId="6087"/>
    <cellStyle name="Note 4 3 2 5" xfId="9338"/>
    <cellStyle name="Note 4 3 3" xfId="6088"/>
    <cellStyle name="Note 4 3 3 2" xfId="6089"/>
    <cellStyle name="Note 4 3 3 2 2" xfId="6090"/>
    <cellStyle name="Note 4 3 3 3" xfId="6091"/>
    <cellStyle name="Note 4 3 4" xfId="6092"/>
    <cellStyle name="Note 4 3 4 2" xfId="6093"/>
    <cellStyle name="Note 4 3 5" xfId="6094"/>
    <cellStyle name="Note 4 3 6" xfId="6095"/>
    <cellStyle name="Note 4 3 7" xfId="9339"/>
    <cellStyle name="Note 4 4" xfId="6096"/>
    <cellStyle name="Note 4 4 2" xfId="6097"/>
    <cellStyle name="Note 4 4 2 2" xfId="6098"/>
    <cellStyle name="Note 4 4 2 2 2" xfId="6099"/>
    <cellStyle name="Note 4 4 2 3" xfId="6100"/>
    <cellStyle name="Note 4 4 3" xfId="6101"/>
    <cellStyle name="Note 4 4 3 2" xfId="6102"/>
    <cellStyle name="Note 4 4 4" xfId="6103"/>
    <cellStyle name="Note 4 4 5" xfId="6104"/>
    <cellStyle name="Note 4 4 6" xfId="9340"/>
    <cellStyle name="Note 4 5" xfId="6105"/>
    <cellStyle name="Note 4 5 2" xfId="6106"/>
    <cellStyle name="Note 4 5 2 2" xfId="6107"/>
    <cellStyle name="Note 4 5 3" xfId="6108"/>
    <cellStyle name="Note 4 5 4" xfId="6109"/>
    <cellStyle name="Note 4 6" xfId="6110"/>
    <cellStyle name="Note 4 6 2" xfId="6111"/>
    <cellStyle name="Note 4 6 3" xfId="6112"/>
    <cellStyle name="Note 4 7" xfId="6113"/>
    <cellStyle name="Note 4 7 2" xfId="6114"/>
    <cellStyle name="Note 4 8" xfId="6115"/>
    <cellStyle name="Note 4 8 2" xfId="60541"/>
    <cellStyle name="Note 4 9" xfId="6116"/>
    <cellStyle name="Note 4 9 2" xfId="60542"/>
    <cellStyle name="Note 5" xfId="6117"/>
    <cellStyle name="Note 5 10" xfId="6118"/>
    <cellStyle name="Note 5 10 2" xfId="56006"/>
    <cellStyle name="Note 5 10 2 2" xfId="56007"/>
    <cellStyle name="Note 5 10 2 3" xfId="56008"/>
    <cellStyle name="Note 5 10 3" xfId="56009"/>
    <cellStyle name="Note 5 10 3 2" xfId="56010"/>
    <cellStyle name="Note 5 10 4" xfId="56011"/>
    <cellStyle name="Note 5 10 5" xfId="56012"/>
    <cellStyle name="Note 5 11" xfId="6119"/>
    <cellStyle name="Note 5 11 2" xfId="56013"/>
    <cellStyle name="Note 5 11 3" xfId="56014"/>
    <cellStyle name="Note 5 12" xfId="6120"/>
    <cellStyle name="Note 5 12 2" xfId="56015"/>
    <cellStyle name="Note 5 12 3" xfId="56016"/>
    <cellStyle name="Note 5 13" xfId="9341"/>
    <cellStyle name="Note 5 13 2" xfId="56017"/>
    <cellStyle name="Note 5 14" xfId="56018"/>
    <cellStyle name="Note 5 15" xfId="56019"/>
    <cellStyle name="Note 5 16" xfId="56020"/>
    <cellStyle name="Note 5 2" xfId="6121"/>
    <cellStyle name="Note 5 2 10" xfId="6122"/>
    <cellStyle name="Note 5 2 10 2" xfId="56021"/>
    <cellStyle name="Note 5 2 10 3" xfId="56022"/>
    <cellStyle name="Note 5 2 11" xfId="6123"/>
    <cellStyle name="Note 5 2 11 2" xfId="56023"/>
    <cellStyle name="Note 5 2 11 3" xfId="56024"/>
    <cellStyle name="Note 5 2 12" xfId="9342"/>
    <cellStyle name="Note 5 2 12 2" xfId="56025"/>
    <cellStyle name="Note 5 2 13" xfId="56026"/>
    <cellStyle name="Note 5 2 14" xfId="56027"/>
    <cellStyle name="Note 5 2 15" xfId="56028"/>
    <cellStyle name="Note 5 2 2" xfId="6124"/>
    <cellStyle name="Note 5 2 2 10" xfId="56029"/>
    <cellStyle name="Note 5 2 2 10 2" xfId="56030"/>
    <cellStyle name="Note 5 2 2 10 3" xfId="56031"/>
    <cellStyle name="Note 5 2 2 11" xfId="56032"/>
    <cellStyle name="Note 5 2 2 11 2" xfId="56033"/>
    <cellStyle name="Note 5 2 2 12" xfId="56034"/>
    <cellStyle name="Note 5 2 2 13" xfId="56035"/>
    <cellStyle name="Note 5 2 2 2" xfId="6125"/>
    <cellStyle name="Note 5 2 2 2 10" xfId="56036"/>
    <cellStyle name="Note 5 2 2 2 10 2" xfId="56037"/>
    <cellStyle name="Note 5 2 2 2 11" xfId="56038"/>
    <cellStyle name="Note 5 2 2 2 12" xfId="56039"/>
    <cellStyle name="Note 5 2 2 2 2" xfId="9343"/>
    <cellStyle name="Note 5 2 2 2 2 10" xfId="56040"/>
    <cellStyle name="Note 5 2 2 2 2 2" xfId="56041"/>
    <cellStyle name="Note 5 2 2 2 2 2 2" xfId="56042"/>
    <cellStyle name="Note 5 2 2 2 2 2 2 2" xfId="56043"/>
    <cellStyle name="Note 5 2 2 2 2 2 2 2 2" xfId="56044"/>
    <cellStyle name="Note 5 2 2 2 2 2 2 2 3" xfId="56045"/>
    <cellStyle name="Note 5 2 2 2 2 2 2 3" xfId="56046"/>
    <cellStyle name="Note 5 2 2 2 2 2 2 3 2" xfId="56047"/>
    <cellStyle name="Note 5 2 2 2 2 2 2 3 3" xfId="56048"/>
    <cellStyle name="Note 5 2 2 2 2 2 2 4" xfId="56049"/>
    <cellStyle name="Note 5 2 2 2 2 2 2 4 2" xfId="56050"/>
    <cellStyle name="Note 5 2 2 2 2 2 2 5" xfId="56051"/>
    <cellStyle name="Note 5 2 2 2 2 2 2 6" xfId="56052"/>
    <cellStyle name="Note 5 2 2 2 2 2 3" xfId="56053"/>
    <cellStyle name="Note 5 2 2 2 2 2 3 2" xfId="56054"/>
    <cellStyle name="Note 5 2 2 2 2 2 3 2 2" xfId="56055"/>
    <cellStyle name="Note 5 2 2 2 2 2 3 2 3" xfId="56056"/>
    <cellStyle name="Note 5 2 2 2 2 2 3 3" xfId="56057"/>
    <cellStyle name="Note 5 2 2 2 2 2 3 3 2" xfId="56058"/>
    <cellStyle name="Note 5 2 2 2 2 2 3 3 3" xfId="56059"/>
    <cellStyle name="Note 5 2 2 2 2 2 3 4" xfId="56060"/>
    <cellStyle name="Note 5 2 2 2 2 2 3 4 2" xfId="56061"/>
    <cellStyle name="Note 5 2 2 2 2 2 3 5" xfId="56062"/>
    <cellStyle name="Note 5 2 2 2 2 2 3 6" xfId="56063"/>
    <cellStyle name="Note 5 2 2 2 2 2 4" xfId="56064"/>
    <cellStyle name="Note 5 2 2 2 2 2 4 2" xfId="56065"/>
    <cellStyle name="Note 5 2 2 2 2 2 4 2 2" xfId="56066"/>
    <cellStyle name="Note 5 2 2 2 2 2 4 2 3" xfId="56067"/>
    <cellStyle name="Note 5 2 2 2 2 2 4 3" xfId="56068"/>
    <cellStyle name="Note 5 2 2 2 2 2 4 3 2" xfId="56069"/>
    <cellStyle name="Note 5 2 2 2 2 2 4 4" xfId="56070"/>
    <cellStyle name="Note 5 2 2 2 2 2 4 5" xfId="56071"/>
    <cellStyle name="Note 5 2 2 2 2 2 5" xfId="56072"/>
    <cellStyle name="Note 5 2 2 2 2 2 5 2" xfId="56073"/>
    <cellStyle name="Note 5 2 2 2 2 2 5 3" xfId="56074"/>
    <cellStyle name="Note 5 2 2 2 2 2 6" xfId="56075"/>
    <cellStyle name="Note 5 2 2 2 2 2 6 2" xfId="56076"/>
    <cellStyle name="Note 5 2 2 2 2 2 6 3" xfId="56077"/>
    <cellStyle name="Note 5 2 2 2 2 2 7" xfId="56078"/>
    <cellStyle name="Note 5 2 2 2 2 2 7 2" xfId="56079"/>
    <cellStyle name="Note 5 2 2 2 2 2 8" xfId="56080"/>
    <cellStyle name="Note 5 2 2 2 2 2 9" xfId="56081"/>
    <cellStyle name="Note 5 2 2 2 2 3" xfId="56082"/>
    <cellStyle name="Note 5 2 2 2 2 3 2" xfId="56083"/>
    <cellStyle name="Note 5 2 2 2 2 3 2 2" xfId="56084"/>
    <cellStyle name="Note 5 2 2 2 2 3 2 3" xfId="56085"/>
    <cellStyle name="Note 5 2 2 2 2 3 3" xfId="56086"/>
    <cellStyle name="Note 5 2 2 2 2 3 3 2" xfId="56087"/>
    <cellStyle name="Note 5 2 2 2 2 3 3 3" xfId="56088"/>
    <cellStyle name="Note 5 2 2 2 2 3 4" xfId="56089"/>
    <cellStyle name="Note 5 2 2 2 2 3 4 2" xfId="56090"/>
    <cellStyle name="Note 5 2 2 2 2 3 5" xfId="56091"/>
    <cellStyle name="Note 5 2 2 2 2 3 6" xfId="56092"/>
    <cellStyle name="Note 5 2 2 2 2 4" xfId="56093"/>
    <cellStyle name="Note 5 2 2 2 2 4 2" xfId="56094"/>
    <cellStyle name="Note 5 2 2 2 2 4 2 2" xfId="56095"/>
    <cellStyle name="Note 5 2 2 2 2 4 2 3" xfId="56096"/>
    <cellStyle name="Note 5 2 2 2 2 4 3" xfId="56097"/>
    <cellStyle name="Note 5 2 2 2 2 4 3 2" xfId="56098"/>
    <cellStyle name="Note 5 2 2 2 2 4 3 3" xfId="56099"/>
    <cellStyle name="Note 5 2 2 2 2 4 4" xfId="56100"/>
    <cellStyle name="Note 5 2 2 2 2 4 4 2" xfId="56101"/>
    <cellStyle name="Note 5 2 2 2 2 4 5" xfId="56102"/>
    <cellStyle name="Note 5 2 2 2 2 4 6" xfId="56103"/>
    <cellStyle name="Note 5 2 2 2 2 5" xfId="56104"/>
    <cellStyle name="Note 5 2 2 2 2 5 2" xfId="56105"/>
    <cellStyle name="Note 5 2 2 2 2 5 2 2" xfId="56106"/>
    <cellStyle name="Note 5 2 2 2 2 5 2 3" xfId="56107"/>
    <cellStyle name="Note 5 2 2 2 2 5 3" xfId="56108"/>
    <cellStyle name="Note 5 2 2 2 2 5 3 2" xfId="56109"/>
    <cellStyle name="Note 5 2 2 2 2 5 4" xfId="56110"/>
    <cellStyle name="Note 5 2 2 2 2 5 5" xfId="56111"/>
    <cellStyle name="Note 5 2 2 2 2 6" xfId="56112"/>
    <cellStyle name="Note 5 2 2 2 2 6 2" xfId="56113"/>
    <cellStyle name="Note 5 2 2 2 2 6 3" xfId="56114"/>
    <cellStyle name="Note 5 2 2 2 2 7" xfId="56115"/>
    <cellStyle name="Note 5 2 2 2 2 7 2" xfId="56116"/>
    <cellStyle name="Note 5 2 2 2 2 7 3" xfId="56117"/>
    <cellStyle name="Note 5 2 2 2 2 8" xfId="56118"/>
    <cellStyle name="Note 5 2 2 2 2 8 2" xfId="56119"/>
    <cellStyle name="Note 5 2 2 2 2 9" xfId="56120"/>
    <cellStyle name="Note 5 2 2 2 3" xfId="56121"/>
    <cellStyle name="Note 5 2 2 2 3 2" xfId="56122"/>
    <cellStyle name="Note 5 2 2 2 3 2 2" xfId="56123"/>
    <cellStyle name="Note 5 2 2 2 3 2 2 2" xfId="56124"/>
    <cellStyle name="Note 5 2 2 2 3 2 2 3" xfId="56125"/>
    <cellStyle name="Note 5 2 2 2 3 2 3" xfId="56126"/>
    <cellStyle name="Note 5 2 2 2 3 2 3 2" xfId="56127"/>
    <cellStyle name="Note 5 2 2 2 3 2 3 3" xfId="56128"/>
    <cellStyle name="Note 5 2 2 2 3 2 4" xfId="56129"/>
    <cellStyle name="Note 5 2 2 2 3 2 4 2" xfId="56130"/>
    <cellStyle name="Note 5 2 2 2 3 2 5" xfId="56131"/>
    <cellStyle name="Note 5 2 2 2 3 2 6" xfId="56132"/>
    <cellStyle name="Note 5 2 2 2 3 3" xfId="56133"/>
    <cellStyle name="Note 5 2 2 2 3 3 2" xfId="56134"/>
    <cellStyle name="Note 5 2 2 2 3 3 2 2" xfId="56135"/>
    <cellStyle name="Note 5 2 2 2 3 3 2 3" xfId="56136"/>
    <cellStyle name="Note 5 2 2 2 3 3 3" xfId="56137"/>
    <cellStyle name="Note 5 2 2 2 3 3 3 2" xfId="56138"/>
    <cellStyle name="Note 5 2 2 2 3 3 3 3" xfId="56139"/>
    <cellStyle name="Note 5 2 2 2 3 3 4" xfId="56140"/>
    <cellStyle name="Note 5 2 2 2 3 3 4 2" xfId="56141"/>
    <cellStyle name="Note 5 2 2 2 3 3 5" xfId="56142"/>
    <cellStyle name="Note 5 2 2 2 3 3 6" xfId="56143"/>
    <cellStyle name="Note 5 2 2 2 3 4" xfId="56144"/>
    <cellStyle name="Note 5 2 2 2 3 4 2" xfId="56145"/>
    <cellStyle name="Note 5 2 2 2 3 4 2 2" xfId="56146"/>
    <cellStyle name="Note 5 2 2 2 3 4 2 3" xfId="56147"/>
    <cellStyle name="Note 5 2 2 2 3 4 3" xfId="56148"/>
    <cellStyle name="Note 5 2 2 2 3 4 3 2" xfId="56149"/>
    <cellStyle name="Note 5 2 2 2 3 4 4" xfId="56150"/>
    <cellStyle name="Note 5 2 2 2 3 4 5" xfId="56151"/>
    <cellStyle name="Note 5 2 2 2 3 5" xfId="56152"/>
    <cellStyle name="Note 5 2 2 2 3 5 2" xfId="56153"/>
    <cellStyle name="Note 5 2 2 2 3 5 3" xfId="56154"/>
    <cellStyle name="Note 5 2 2 2 3 6" xfId="56155"/>
    <cellStyle name="Note 5 2 2 2 3 6 2" xfId="56156"/>
    <cellStyle name="Note 5 2 2 2 3 6 3" xfId="56157"/>
    <cellStyle name="Note 5 2 2 2 3 7" xfId="56158"/>
    <cellStyle name="Note 5 2 2 2 3 7 2" xfId="56159"/>
    <cellStyle name="Note 5 2 2 2 3 8" xfId="56160"/>
    <cellStyle name="Note 5 2 2 2 3 9" xfId="56161"/>
    <cellStyle name="Note 5 2 2 2 4" xfId="56162"/>
    <cellStyle name="Note 5 2 2 2 4 2" xfId="56163"/>
    <cellStyle name="Note 5 2 2 2 4 2 2" xfId="56164"/>
    <cellStyle name="Note 5 2 2 2 4 2 2 2" xfId="56165"/>
    <cellStyle name="Note 5 2 2 2 4 2 2 3" xfId="56166"/>
    <cellStyle name="Note 5 2 2 2 4 2 3" xfId="56167"/>
    <cellStyle name="Note 5 2 2 2 4 2 3 2" xfId="56168"/>
    <cellStyle name="Note 5 2 2 2 4 2 3 3" xfId="56169"/>
    <cellStyle name="Note 5 2 2 2 4 2 4" xfId="56170"/>
    <cellStyle name="Note 5 2 2 2 4 2 4 2" xfId="56171"/>
    <cellStyle name="Note 5 2 2 2 4 2 5" xfId="56172"/>
    <cellStyle name="Note 5 2 2 2 4 2 6" xfId="56173"/>
    <cellStyle name="Note 5 2 2 2 4 3" xfId="56174"/>
    <cellStyle name="Note 5 2 2 2 4 3 2" xfId="56175"/>
    <cellStyle name="Note 5 2 2 2 4 3 2 2" xfId="56176"/>
    <cellStyle name="Note 5 2 2 2 4 3 2 3" xfId="56177"/>
    <cellStyle name="Note 5 2 2 2 4 3 3" xfId="56178"/>
    <cellStyle name="Note 5 2 2 2 4 3 3 2" xfId="56179"/>
    <cellStyle name="Note 5 2 2 2 4 3 3 3" xfId="56180"/>
    <cellStyle name="Note 5 2 2 2 4 3 4" xfId="56181"/>
    <cellStyle name="Note 5 2 2 2 4 3 4 2" xfId="56182"/>
    <cellStyle name="Note 5 2 2 2 4 3 5" xfId="56183"/>
    <cellStyle name="Note 5 2 2 2 4 3 6" xfId="56184"/>
    <cellStyle name="Note 5 2 2 2 4 4" xfId="56185"/>
    <cellStyle name="Note 5 2 2 2 4 4 2" xfId="56186"/>
    <cellStyle name="Note 5 2 2 2 4 4 2 2" xfId="56187"/>
    <cellStyle name="Note 5 2 2 2 4 4 2 3" xfId="56188"/>
    <cellStyle name="Note 5 2 2 2 4 4 3" xfId="56189"/>
    <cellStyle name="Note 5 2 2 2 4 4 3 2" xfId="56190"/>
    <cellStyle name="Note 5 2 2 2 4 4 4" xfId="56191"/>
    <cellStyle name="Note 5 2 2 2 4 4 5" xfId="56192"/>
    <cellStyle name="Note 5 2 2 2 4 5" xfId="56193"/>
    <cellStyle name="Note 5 2 2 2 4 5 2" xfId="56194"/>
    <cellStyle name="Note 5 2 2 2 4 5 3" xfId="56195"/>
    <cellStyle name="Note 5 2 2 2 4 6" xfId="56196"/>
    <cellStyle name="Note 5 2 2 2 4 6 2" xfId="56197"/>
    <cellStyle name="Note 5 2 2 2 4 6 3" xfId="56198"/>
    <cellStyle name="Note 5 2 2 2 4 7" xfId="56199"/>
    <cellStyle name="Note 5 2 2 2 4 7 2" xfId="56200"/>
    <cellStyle name="Note 5 2 2 2 4 8" xfId="56201"/>
    <cellStyle name="Note 5 2 2 2 4 9" xfId="56202"/>
    <cellStyle name="Note 5 2 2 2 5" xfId="56203"/>
    <cellStyle name="Note 5 2 2 2 5 2" xfId="56204"/>
    <cellStyle name="Note 5 2 2 2 5 2 2" xfId="56205"/>
    <cellStyle name="Note 5 2 2 2 5 2 3" xfId="56206"/>
    <cellStyle name="Note 5 2 2 2 5 3" xfId="56207"/>
    <cellStyle name="Note 5 2 2 2 5 3 2" xfId="56208"/>
    <cellStyle name="Note 5 2 2 2 5 3 3" xfId="56209"/>
    <cellStyle name="Note 5 2 2 2 5 4" xfId="56210"/>
    <cellStyle name="Note 5 2 2 2 5 4 2" xfId="56211"/>
    <cellStyle name="Note 5 2 2 2 5 5" xfId="56212"/>
    <cellStyle name="Note 5 2 2 2 5 6" xfId="56213"/>
    <cellStyle name="Note 5 2 2 2 6" xfId="56214"/>
    <cellStyle name="Note 5 2 2 2 6 2" xfId="56215"/>
    <cellStyle name="Note 5 2 2 2 6 2 2" xfId="56216"/>
    <cellStyle name="Note 5 2 2 2 6 2 3" xfId="56217"/>
    <cellStyle name="Note 5 2 2 2 6 3" xfId="56218"/>
    <cellStyle name="Note 5 2 2 2 6 3 2" xfId="56219"/>
    <cellStyle name="Note 5 2 2 2 6 3 3" xfId="56220"/>
    <cellStyle name="Note 5 2 2 2 6 4" xfId="56221"/>
    <cellStyle name="Note 5 2 2 2 6 4 2" xfId="56222"/>
    <cellStyle name="Note 5 2 2 2 6 5" xfId="56223"/>
    <cellStyle name="Note 5 2 2 2 6 6" xfId="56224"/>
    <cellStyle name="Note 5 2 2 2 7" xfId="56225"/>
    <cellStyle name="Note 5 2 2 2 7 2" xfId="56226"/>
    <cellStyle name="Note 5 2 2 2 7 2 2" xfId="56227"/>
    <cellStyle name="Note 5 2 2 2 7 2 3" xfId="56228"/>
    <cellStyle name="Note 5 2 2 2 7 3" xfId="56229"/>
    <cellStyle name="Note 5 2 2 2 7 3 2" xfId="56230"/>
    <cellStyle name="Note 5 2 2 2 7 4" xfId="56231"/>
    <cellStyle name="Note 5 2 2 2 7 5" xfId="56232"/>
    <cellStyle name="Note 5 2 2 2 8" xfId="56233"/>
    <cellStyle name="Note 5 2 2 2 8 2" xfId="56234"/>
    <cellStyle name="Note 5 2 2 2 8 3" xfId="56235"/>
    <cellStyle name="Note 5 2 2 2 9" xfId="56236"/>
    <cellStyle name="Note 5 2 2 2 9 2" xfId="56237"/>
    <cellStyle name="Note 5 2 2 2 9 3" xfId="56238"/>
    <cellStyle name="Note 5 2 2 3" xfId="6126"/>
    <cellStyle name="Note 5 2 2 3 10" xfId="56239"/>
    <cellStyle name="Note 5 2 2 3 2" xfId="56240"/>
    <cellStyle name="Note 5 2 2 3 2 2" xfId="56241"/>
    <cellStyle name="Note 5 2 2 3 2 2 2" xfId="56242"/>
    <cellStyle name="Note 5 2 2 3 2 2 2 2" xfId="56243"/>
    <cellStyle name="Note 5 2 2 3 2 2 2 3" xfId="56244"/>
    <cellStyle name="Note 5 2 2 3 2 2 3" xfId="56245"/>
    <cellStyle name="Note 5 2 2 3 2 2 3 2" xfId="56246"/>
    <cellStyle name="Note 5 2 2 3 2 2 3 3" xfId="56247"/>
    <cellStyle name="Note 5 2 2 3 2 2 4" xfId="56248"/>
    <cellStyle name="Note 5 2 2 3 2 2 4 2" xfId="56249"/>
    <cellStyle name="Note 5 2 2 3 2 2 5" xfId="56250"/>
    <cellStyle name="Note 5 2 2 3 2 2 6" xfId="56251"/>
    <cellStyle name="Note 5 2 2 3 2 3" xfId="56252"/>
    <cellStyle name="Note 5 2 2 3 2 3 2" xfId="56253"/>
    <cellStyle name="Note 5 2 2 3 2 3 2 2" xfId="56254"/>
    <cellStyle name="Note 5 2 2 3 2 3 2 3" xfId="56255"/>
    <cellStyle name="Note 5 2 2 3 2 3 3" xfId="56256"/>
    <cellStyle name="Note 5 2 2 3 2 3 3 2" xfId="56257"/>
    <cellStyle name="Note 5 2 2 3 2 3 3 3" xfId="56258"/>
    <cellStyle name="Note 5 2 2 3 2 3 4" xfId="56259"/>
    <cellStyle name="Note 5 2 2 3 2 3 4 2" xfId="56260"/>
    <cellStyle name="Note 5 2 2 3 2 3 5" xfId="56261"/>
    <cellStyle name="Note 5 2 2 3 2 3 6" xfId="56262"/>
    <cellStyle name="Note 5 2 2 3 2 4" xfId="56263"/>
    <cellStyle name="Note 5 2 2 3 2 4 2" xfId="56264"/>
    <cellStyle name="Note 5 2 2 3 2 4 2 2" xfId="56265"/>
    <cellStyle name="Note 5 2 2 3 2 4 2 3" xfId="56266"/>
    <cellStyle name="Note 5 2 2 3 2 4 3" xfId="56267"/>
    <cellStyle name="Note 5 2 2 3 2 4 3 2" xfId="56268"/>
    <cellStyle name="Note 5 2 2 3 2 4 4" xfId="56269"/>
    <cellStyle name="Note 5 2 2 3 2 4 5" xfId="56270"/>
    <cellStyle name="Note 5 2 2 3 2 5" xfId="56271"/>
    <cellStyle name="Note 5 2 2 3 2 5 2" xfId="56272"/>
    <cellStyle name="Note 5 2 2 3 2 5 3" xfId="56273"/>
    <cellStyle name="Note 5 2 2 3 2 6" xfId="56274"/>
    <cellStyle name="Note 5 2 2 3 2 6 2" xfId="56275"/>
    <cellStyle name="Note 5 2 2 3 2 6 3" xfId="56276"/>
    <cellStyle name="Note 5 2 2 3 2 7" xfId="56277"/>
    <cellStyle name="Note 5 2 2 3 2 7 2" xfId="56278"/>
    <cellStyle name="Note 5 2 2 3 2 8" xfId="56279"/>
    <cellStyle name="Note 5 2 2 3 2 9" xfId="56280"/>
    <cellStyle name="Note 5 2 2 3 3" xfId="56281"/>
    <cellStyle name="Note 5 2 2 3 3 2" xfId="56282"/>
    <cellStyle name="Note 5 2 2 3 3 2 2" xfId="56283"/>
    <cellStyle name="Note 5 2 2 3 3 2 3" xfId="56284"/>
    <cellStyle name="Note 5 2 2 3 3 3" xfId="56285"/>
    <cellStyle name="Note 5 2 2 3 3 3 2" xfId="56286"/>
    <cellStyle name="Note 5 2 2 3 3 3 3" xfId="56287"/>
    <cellStyle name="Note 5 2 2 3 3 4" xfId="56288"/>
    <cellStyle name="Note 5 2 2 3 3 4 2" xfId="56289"/>
    <cellStyle name="Note 5 2 2 3 3 5" xfId="56290"/>
    <cellStyle name="Note 5 2 2 3 3 6" xfId="56291"/>
    <cellStyle name="Note 5 2 2 3 4" xfId="56292"/>
    <cellStyle name="Note 5 2 2 3 4 2" xfId="56293"/>
    <cellStyle name="Note 5 2 2 3 4 2 2" xfId="56294"/>
    <cellStyle name="Note 5 2 2 3 4 2 3" xfId="56295"/>
    <cellStyle name="Note 5 2 2 3 4 3" xfId="56296"/>
    <cellStyle name="Note 5 2 2 3 4 3 2" xfId="56297"/>
    <cellStyle name="Note 5 2 2 3 4 3 3" xfId="56298"/>
    <cellStyle name="Note 5 2 2 3 4 4" xfId="56299"/>
    <cellStyle name="Note 5 2 2 3 4 4 2" xfId="56300"/>
    <cellStyle name="Note 5 2 2 3 4 5" xfId="56301"/>
    <cellStyle name="Note 5 2 2 3 4 6" xfId="56302"/>
    <cellStyle name="Note 5 2 2 3 5" xfId="56303"/>
    <cellStyle name="Note 5 2 2 3 5 2" xfId="56304"/>
    <cellStyle name="Note 5 2 2 3 5 2 2" xfId="56305"/>
    <cellStyle name="Note 5 2 2 3 5 2 3" xfId="56306"/>
    <cellStyle name="Note 5 2 2 3 5 3" xfId="56307"/>
    <cellStyle name="Note 5 2 2 3 5 3 2" xfId="56308"/>
    <cellStyle name="Note 5 2 2 3 5 4" xfId="56309"/>
    <cellStyle name="Note 5 2 2 3 5 5" xfId="56310"/>
    <cellStyle name="Note 5 2 2 3 6" xfId="56311"/>
    <cellStyle name="Note 5 2 2 3 6 2" xfId="56312"/>
    <cellStyle name="Note 5 2 2 3 6 3" xfId="56313"/>
    <cellStyle name="Note 5 2 2 3 7" xfId="56314"/>
    <cellStyle name="Note 5 2 2 3 7 2" xfId="56315"/>
    <cellStyle name="Note 5 2 2 3 7 3" xfId="56316"/>
    <cellStyle name="Note 5 2 2 3 8" xfId="56317"/>
    <cellStyle name="Note 5 2 2 3 8 2" xfId="56318"/>
    <cellStyle name="Note 5 2 2 3 9" xfId="56319"/>
    <cellStyle name="Note 5 2 2 4" xfId="9344"/>
    <cellStyle name="Note 5 2 2 4 2" xfId="56320"/>
    <cellStyle name="Note 5 2 2 4 2 2" xfId="56321"/>
    <cellStyle name="Note 5 2 2 4 2 2 2" xfId="56322"/>
    <cellStyle name="Note 5 2 2 4 2 2 3" xfId="56323"/>
    <cellStyle name="Note 5 2 2 4 2 3" xfId="56324"/>
    <cellStyle name="Note 5 2 2 4 2 3 2" xfId="56325"/>
    <cellStyle name="Note 5 2 2 4 2 3 3" xfId="56326"/>
    <cellStyle name="Note 5 2 2 4 2 4" xfId="56327"/>
    <cellStyle name="Note 5 2 2 4 2 4 2" xfId="56328"/>
    <cellStyle name="Note 5 2 2 4 2 5" xfId="56329"/>
    <cellStyle name="Note 5 2 2 4 2 6" xfId="56330"/>
    <cellStyle name="Note 5 2 2 4 3" xfId="56331"/>
    <cellStyle name="Note 5 2 2 4 3 2" xfId="56332"/>
    <cellStyle name="Note 5 2 2 4 3 2 2" xfId="56333"/>
    <cellStyle name="Note 5 2 2 4 3 2 3" xfId="56334"/>
    <cellStyle name="Note 5 2 2 4 3 3" xfId="56335"/>
    <cellStyle name="Note 5 2 2 4 3 3 2" xfId="56336"/>
    <cellStyle name="Note 5 2 2 4 3 3 3" xfId="56337"/>
    <cellStyle name="Note 5 2 2 4 3 4" xfId="56338"/>
    <cellStyle name="Note 5 2 2 4 3 4 2" xfId="56339"/>
    <cellStyle name="Note 5 2 2 4 3 5" xfId="56340"/>
    <cellStyle name="Note 5 2 2 4 3 6" xfId="56341"/>
    <cellStyle name="Note 5 2 2 4 4" xfId="56342"/>
    <cellStyle name="Note 5 2 2 4 4 2" xfId="56343"/>
    <cellStyle name="Note 5 2 2 4 4 2 2" xfId="56344"/>
    <cellStyle name="Note 5 2 2 4 4 2 3" xfId="56345"/>
    <cellStyle name="Note 5 2 2 4 4 3" xfId="56346"/>
    <cellStyle name="Note 5 2 2 4 4 3 2" xfId="56347"/>
    <cellStyle name="Note 5 2 2 4 4 4" xfId="56348"/>
    <cellStyle name="Note 5 2 2 4 4 5" xfId="56349"/>
    <cellStyle name="Note 5 2 2 4 5" xfId="56350"/>
    <cellStyle name="Note 5 2 2 4 5 2" xfId="56351"/>
    <cellStyle name="Note 5 2 2 4 5 3" xfId="56352"/>
    <cellStyle name="Note 5 2 2 4 6" xfId="56353"/>
    <cellStyle name="Note 5 2 2 4 6 2" xfId="56354"/>
    <cellStyle name="Note 5 2 2 4 6 3" xfId="56355"/>
    <cellStyle name="Note 5 2 2 4 7" xfId="56356"/>
    <cellStyle name="Note 5 2 2 4 7 2" xfId="56357"/>
    <cellStyle name="Note 5 2 2 4 8" xfId="56358"/>
    <cellStyle name="Note 5 2 2 4 9" xfId="56359"/>
    <cellStyle name="Note 5 2 2 5" xfId="56360"/>
    <cellStyle name="Note 5 2 2 5 2" xfId="56361"/>
    <cellStyle name="Note 5 2 2 5 2 2" xfId="56362"/>
    <cellStyle name="Note 5 2 2 5 2 2 2" xfId="56363"/>
    <cellStyle name="Note 5 2 2 5 2 2 3" xfId="56364"/>
    <cellStyle name="Note 5 2 2 5 2 3" xfId="56365"/>
    <cellStyle name="Note 5 2 2 5 2 3 2" xfId="56366"/>
    <cellStyle name="Note 5 2 2 5 2 3 3" xfId="56367"/>
    <cellStyle name="Note 5 2 2 5 2 4" xfId="56368"/>
    <cellStyle name="Note 5 2 2 5 2 4 2" xfId="56369"/>
    <cellStyle name="Note 5 2 2 5 2 5" xfId="56370"/>
    <cellStyle name="Note 5 2 2 5 2 6" xfId="56371"/>
    <cellStyle name="Note 5 2 2 5 3" xfId="56372"/>
    <cellStyle name="Note 5 2 2 5 3 2" xfId="56373"/>
    <cellStyle name="Note 5 2 2 5 3 2 2" xfId="56374"/>
    <cellStyle name="Note 5 2 2 5 3 2 3" xfId="56375"/>
    <cellStyle name="Note 5 2 2 5 3 3" xfId="56376"/>
    <cellStyle name="Note 5 2 2 5 3 3 2" xfId="56377"/>
    <cellStyle name="Note 5 2 2 5 3 3 3" xfId="56378"/>
    <cellStyle name="Note 5 2 2 5 3 4" xfId="56379"/>
    <cellStyle name="Note 5 2 2 5 3 4 2" xfId="56380"/>
    <cellStyle name="Note 5 2 2 5 3 5" xfId="56381"/>
    <cellStyle name="Note 5 2 2 5 3 6" xfId="56382"/>
    <cellStyle name="Note 5 2 2 5 4" xfId="56383"/>
    <cellStyle name="Note 5 2 2 5 4 2" xfId="56384"/>
    <cellStyle name="Note 5 2 2 5 4 2 2" xfId="56385"/>
    <cellStyle name="Note 5 2 2 5 4 2 3" xfId="56386"/>
    <cellStyle name="Note 5 2 2 5 4 3" xfId="56387"/>
    <cellStyle name="Note 5 2 2 5 4 3 2" xfId="56388"/>
    <cellStyle name="Note 5 2 2 5 4 4" xfId="56389"/>
    <cellStyle name="Note 5 2 2 5 4 5" xfId="56390"/>
    <cellStyle name="Note 5 2 2 5 5" xfId="56391"/>
    <cellStyle name="Note 5 2 2 5 5 2" xfId="56392"/>
    <cellStyle name="Note 5 2 2 5 5 3" xfId="56393"/>
    <cellStyle name="Note 5 2 2 5 6" xfId="56394"/>
    <cellStyle name="Note 5 2 2 5 6 2" xfId="56395"/>
    <cellStyle name="Note 5 2 2 5 6 3" xfId="56396"/>
    <cellStyle name="Note 5 2 2 5 7" xfId="56397"/>
    <cellStyle name="Note 5 2 2 5 7 2" xfId="56398"/>
    <cellStyle name="Note 5 2 2 5 8" xfId="56399"/>
    <cellStyle name="Note 5 2 2 5 9" xfId="56400"/>
    <cellStyle name="Note 5 2 2 6" xfId="56401"/>
    <cellStyle name="Note 5 2 2 6 2" xfId="56402"/>
    <cellStyle name="Note 5 2 2 6 2 2" xfId="56403"/>
    <cellStyle name="Note 5 2 2 6 2 3" xfId="56404"/>
    <cellStyle name="Note 5 2 2 6 3" xfId="56405"/>
    <cellStyle name="Note 5 2 2 6 3 2" xfId="56406"/>
    <cellStyle name="Note 5 2 2 6 3 3" xfId="56407"/>
    <cellStyle name="Note 5 2 2 6 4" xfId="56408"/>
    <cellStyle name="Note 5 2 2 6 4 2" xfId="56409"/>
    <cellStyle name="Note 5 2 2 6 5" xfId="56410"/>
    <cellStyle name="Note 5 2 2 6 6" xfId="56411"/>
    <cellStyle name="Note 5 2 2 7" xfId="56412"/>
    <cellStyle name="Note 5 2 2 7 2" xfId="56413"/>
    <cellStyle name="Note 5 2 2 7 2 2" xfId="56414"/>
    <cellStyle name="Note 5 2 2 7 2 3" xfId="56415"/>
    <cellStyle name="Note 5 2 2 7 3" xfId="56416"/>
    <cellStyle name="Note 5 2 2 7 3 2" xfId="56417"/>
    <cellStyle name="Note 5 2 2 7 3 3" xfId="56418"/>
    <cellStyle name="Note 5 2 2 7 4" xfId="56419"/>
    <cellStyle name="Note 5 2 2 7 4 2" xfId="56420"/>
    <cellStyle name="Note 5 2 2 7 5" xfId="56421"/>
    <cellStyle name="Note 5 2 2 7 6" xfId="56422"/>
    <cellStyle name="Note 5 2 2 8" xfId="56423"/>
    <cellStyle name="Note 5 2 2 8 2" xfId="56424"/>
    <cellStyle name="Note 5 2 2 8 2 2" xfId="56425"/>
    <cellStyle name="Note 5 2 2 8 2 3" xfId="56426"/>
    <cellStyle name="Note 5 2 2 8 3" xfId="56427"/>
    <cellStyle name="Note 5 2 2 8 3 2" xfId="56428"/>
    <cellStyle name="Note 5 2 2 8 4" xfId="56429"/>
    <cellStyle name="Note 5 2 2 8 5" xfId="56430"/>
    <cellStyle name="Note 5 2 2 9" xfId="56431"/>
    <cellStyle name="Note 5 2 2 9 2" xfId="56432"/>
    <cellStyle name="Note 5 2 2 9 3" xfId="56433"/>
    <cellStyle name="Note 5 2 3" xfId="6127"/>
    <cellStyle name="Note 5 2 3 10" xfId="56434"/>
    <cellStyle name="Note 5 2 3 10 2" xfId="56435"/>
    <cellStyle name="Note 5 2 3 11" xfId="56436"/>
    <cellStyle name="Note 5 2 3 12" xfId="56437"/>
    <cellStyle name="Note 5 2 3 2" xfId="6128"/>
    <cellStyle name="Note 5 2 3 2 10" xfId="56438"/>
    <cellStyle name="Note 5 2 3 2 2" xfId="56439"/>
    <cellStyle name="Note 5 2 3 2 2 2" xfId="56440"/>
    <cellStyle name="Note 5 2 3 2 2 2 2" xfId="56441"/>
    <cellStyle name="Note 5 2 3 2 2 2 2 2" xfId="56442"/>
    <cellStyle name="Note 5 2 3 2 2 2 2 3" xfId="56443"/>
    <cellStyle name="Note 5 2 3 2 2 2 3" xfId="56444"/>
    <cellStyle name="Note 5 2 3 2 2 2 3 2" xfId="56445"/>
    <cellStyle name="Note 5 2 3 2 2 2 3 3" xfId="56446"/>
    <cellStyle name="Note 5 2 3 2 2 2 4" xfId="56447"/>
    <cellStyle name="Note 5 2 3 2 2 2 4 2" xfId="56448"/>
    <cellStyle name="Note 5 2 3 2 2 2 5" xfId="56449"/>
    <cellStyle name="Note 5 2 3 2 2 2 6" xfId="56450"/>
    <cellStyle name="Note 5 2 3 2 2 3" xfId="56451"/>
    <cellStyle name="Note 5 2 3 2 2 3 2" xfId="56452"/>
    <cellStyle name="Note 5 2 3 2 2 3 2 2" xfId="56453"/>
    <cellStyle name="Note 5 2 3 2 2 3 2 3" xfId="56454"/>
    <cellStyle name="Note 5 2 3 2 2 3 3" xfId="56455"/>
    <cellStyle name="Note 5 2 3 2 2 3 3 2" xfId="56456"/>
    <cellStyle name="Note 5 2 3 2 2 3 3 3" xfId="56457"/>
    <cellStyle name="Note 5 2 3 2 2 3 4" xfId="56458"/>
    <cellStyle name="Note 5 2 3 2 2 3 4 2" xfId="56459"/>
    <cellStyle name="Note 5 2 3 2 2 3 5" xfId="56460"/>
    <cellStyle name="Note 5 2 3 2 2 3 6" xfId="56461"/>
    <cellStyle name="Note 5 2 3 2 2 4" xfId="56462"/>
    <cellStyle name="Note 5 2 3 2 2 4 2" xfId="56463"/>
    <cellStyle name="Note 5 2 3 2 2 4 2 2" xfId="56464"/>
    <cellStyle name="Note 5 2 3 2 2 4 2 3" xfId="56465"/>
    <cellStyle name="Note 5 2 3 2 2 4 3" xfId="56466"/>
    <cellStyle name="Note 5 2 3 2 2 4 3 2" xfId="56467"/>
    <cellStyle name="Note 5 2 3 2 2 4 4" xfId="56468"/>
    <cellStyle name="Note 5 2 3 2 2 4 5" xfId="56469"/>
    <cellStyle name="Note 5 2 3 2 2 5" xfId="56470"/>
    <cellStyle name="Note 5 2 3 2 2 5 2" xfId="56471"/>
    <cellStyle name="Note 5 2 3 2 2 5 3" xfId="56472"/>
    <cellStyle name="Note 5 2 3 2 2 6" xfId="56473"/>
    <cellStyle name="Note 5 2 3 2 2 6 2" xfId="56474"/>
    <cellStyle name="Note 5 2 3 2 2 6 3" xfId="56475"/>
    <cellStyle name="Note 5 2 3 2 2 7" xfId="56476"/>
    <cellStyle name="Note 5 2 3 2 2 7 2" xfId="56477"/>
    <cellStyle name="Note 5 2 3 2 2 8" xfId="56478"/>
    <cellStyle name="Note 5 2 3 2 2 9" xfId="56479"/>
    <cellStyle name="Note 5 2 3 2 3" xfId="56480"/>
    <cellStyle name="Note 5 2 3 2 3 2" xfId="56481"/>
    <cellStyle name="Note 5 2 3 2 3 2 2" xfId="56482"/>
    <cellStyle name="Note 5 2 3 2 3 2 3" xfId="56483"/>
    <cellStyle name="Note 5 2 3 2 3 3" xfId="56484"/>
    <cellStyle name="Note 5 2 3 2 3 3 2" xfId="56485"/>
    <cellStyle name="Note 5 2 3 2 3 3 3" xfId="56486"/>
    <cellStyle name="Note 5 2 3 2 3 4" xfId="56487"/>
    <cellStyle name="Note 5 2 3 2 3 4 2" xfId="56488"/>
    <cellStyle name="Note 5 2 3 2 3 5" xfId="56489"/>
    <cellStyle name="Note 5 2 3 2 3 6" xfId="56490"/>
    <cellStyle name="Note 5 2 3 2 4" xfId="56491"/>
    <cellStyle name="Note 5 2 3 2 4 2" xfId="56492"/>
    <cellStyle name="Note 5 2 3 2 4 2 2" xfId="56493"/>
    <cellStyle name="Note 5 2 3 2 4 2 3" xfId="56494"/>
    <cellStyle name="Note 5 2 3 2 4 3" xfId="56495"/>
    <cellStyle name="Note 5 2 3 2 4 3 2" xfId="56496"/>
    <cellStyle name="Note 5 2 3 2 4 3 3" xfId="56497"/>
    <cellStyle name="Note 5 2 3 2 4 4" xfId="56498"/>
    <cellStyle name="Note 5 2 3 2 4 4 2" xfId="56499"/>
    <cellStyle name="Note 5 2 3 2 4 5" xfId="56500"/>
    <cellStyle name="Note 5 2 3 2 4 6" xfId="56501"/>
    <cellStyle name="Note 5 2 3 2 5" xfId="56502"/>
    <cellStyle name="Note 5 2 3 2 5 2" xfId="56503"/>
    <cellStyle name="Note 5 2 3 2 5 2 2" xfId="56504"/>
    <cellStyle name="Note 5 2 3 2 5 2 3" xfId="56505"/>
    <cellStyle name="Note 5 2 3 2 5 3" xfId="56506"/>
    <cellStyle name="Note 5 2 3 2 5 3 2" xfId="56507"/>
    <cellStyle name="Note 5 2 3 2 5 4" xfId="56508"/>
    <cellStyle name="Note 5 2 3 2 5 5" xfId="56509"/>
    <cellStyle name="Note 5 2 3 2 6" xfId="56510"/>
    <cellStyle name="Note 5 2 3 2 6 2" xfId="56511"/>
    <cellStyle name="Note 5 2 3 2 6 3" xfId="56512"/>
    <cellStyle name="Note 5 2 3 2 7" xfId="56513"/>
    <cellStyle name="Note 5 2 3 2 7 2" xfId="56514"/>
    <cellStyle name="Note 5 2 3 2 7 3" xfId="56515"/>
    <cellStyle name="Note 5 2 3 2 8" xfId="56516"/>
    <cellStyle name="Note 5 2 3 2 8 2" xfId="56517"/>
    <cellStyle name="Note 5 2 3 2 9" xfId="56518"/>
    <cellStyle name="Note 5 2 3 3" xfId="9345"/>
    <cellStyle name="Note 5 2 3 3 2" xfId="56519"/>
    <cellStyle name="Note 5 2 3 3 2 2" xfId="56520"/>
    <cellStyle name="Note 5 2 3 3 2 2 2" xfId="56521"/>
    <cellStyle name="Note 5 2 3 3 2 2 3" xfId="56522"/>
    <cellStyle name="Note 5 2 3 3 2 3" xfId="56523"/>
    <cellStyle name="Note 5 2 3 3 2 3 2" xfId="56524"/>
    <cellStyle name="Note 5 2 3 3 2 3 3" xfId="56525"/>
    <cellStyle name="Note 5 2 3 3 2 4" xfId="56526"/>
    <cellStyle name="Note 5 2 3 3 2 4 2" xfId="56527"/>
    <cellStyle name="Note 5 2 3 3 2 5" xfId="56528"/>
    <cellStyle name="Note 5 2 3 3 2 6" xfId="56529"/>
    <cellStyle name="Note 5 2 3 3 3" xfId="56530"/>
    <cellStyle name="Note 5 2 3 3 3 2" xfId="56531"/>
    <cellStyle name="Note 5 2 3 3 3 2 2" xfId="56532"/>
    <cellStyle name="Note 5 2 3 3 3 2 3" xfId="56533"/>
    <cellStyle name="Note 5 2 3 3 3 3" xfId="56534"/>
    <cellStyle name="Note 5 2 3 3 3 3 2" xfId="56535"/>
    <cellStyle name="Note 5 2 3 3 3 3 3" xfId="56536"/>
    <cellStyle name="Note 5 2 3 3 3 4" xfId="56537"/>
    <cellStyle name="Note 5 2 3 3 3 4 2" xfId="56538"/>
    <cellStyle name="Note 5 2 3 3 3 5" xfId="56539"/>
    <cellStyle name="Note 5 2 3 3 3 6" xfId="56540"/>
    <cellStyle name="Note 5 2 3 3 4" xfId="56541"/>
    <cellStyle name="Note 5 2 3 3 4 2" xfId="56542"/>
    <cellStyle name="Note 5 2 3 3 4 2 2" xfId="56543"/>
    <cellStyle name="Note 5 2 3 3 4 2 3" xfId="56544"/>
    <cellStyle name="Note 5 2 3 3 4 3" xfId="56545"/>
    <cellStyle name="Note 5 2 3 3 4 3 2" xfId="56546"/>
    <cellStyle name="Note 5 2 3 3 4 4" xfId="56547"/>
    <cellStyle name="Note 5 2 3 3 4 5" xfId="56548"/>
    <cellStyle name="Note 5 2 3 3 5" xfId="56549"/>
    <cellStyle name="Note 5 2 3 3 5 2" xfId="56550"/>
    <cellStyle name="Note 5 2 3 3 5 3" xfId="56551"/>
    <cellStyle name="Note 5 2 3 3 6" xfId="56552"/>
    <cellStyle name="Note 5 2 3 3 6 2" xfId="56553"/>
    <cellStyle name="Note 5 2 3 3 6 3" xfId="56554"/>
    <cellStyle name="Note 5 2 3 3 7" xfId="56555"/>
    <cellStyle name="Note 5 2 3 3 7 2" xfId="56556"/>
    <cellStyle name="Note 5 2 3 3 8" xfId="56557"/>
    <cellStyle name="Note 5 2 3 3 9" xfId="56558"/>
    <cellStyle name="Note 5 2 3 4" xfId="56559"/>
    <cellStyle name="Note 5 2 3 4 2" xfId="56560"/>
    <cellStyle name="Note 5 2 3 4 2 2" xfId="56561"/>
    <cellStyle name="Note 5 2 3 4 2 2 2" xfId="56562"/>
    <cellStyle name="Note 5 2 3 4 2 2 3" xfId="56563"/>
    <cellStyle name="Note 5 2 3 4 2 3" xfId="56564"/>
    <cellStyle name="Note 5 2 3 4 2 3 2" xfId="56565"/>
    <cellStyle name="Note 5 2 3 4 2 3 3" xfId="56566"/>
    <cellStyle name="Note 5 2 3 4 2 4" xfId="56567"/>
    <cellStyle name="Note 5 2 3 4 2 4 2" xfId="56568"/>
    <cellStyle name="Note 5 2 3 4 2 5" xfId="56569"/>
    <cellStyle name="Note 5 2 3 4 2 6" xfId="56570"/>
    <cellStyle name="Note 5 2 3 4 3" xfId="56571"/>
    <cellStyle name="Note 5 2 3 4 3 2" xfId="56572"/>
    <cellStyle name="Note 5 2 3 4 3 2 2" xfId="56573"/>
    <cellStyle name="Note 5 2 3 4 3 2 3" xfId="56574"/>
    <cellStyle name="Note 5 2 3 4 3 3" xfId="56575"/>
    <cellStyle name="Note 5 2 3 4 3 3 2" xfId="56576"/>
    <cellStyle name="Note 5 2 3 4 3 3 3" xfId="56577"/>
    <cellStyle name="Note 5 2 3 4 3 4" xfId="56578"/>
    <cellStyle name="Note 5 2 3 4 3 4 2" xfId="56579"/>
    <cellStyle name="Note 5 2 3 4 3 5" xfId="56580"/>
    <cellStyle name="Note 5 2 3 4 3 6" xfId="56581"/>
    <cellStyle name="Note 5 2 3 4 4" xfId="56582"/>
    <cellStyle name="Note 5 2 3 4 4 2" xfId="56583"/>
    <cellStyle name="Note 5 2 3 4 4 2 2" xfId="56584"/>
    <cellStyle name="Note 5 2 3 4 4 2 3" xfId="56585"/>
    <cellStyle name="Note 5 2 3 4 4 3" xfId="56586"/>
    <cellStyle name="Note 5 2 3 4 4 3 2" xfId="56587"/>
    <cellStyle name="Note 5 2 3 4 4 4" xfId="56588"/>
    <cellStyle name="Note 5 2 3 4 4 5" xfId="56589"/>
    <cellStyle name="Note 5 2 3 4 5" xfId="56590"/>
    <cellStyle name="Note 5 2 3 4 5 2" xfId="56591"/>
    <cellStyle name="Note 5 2 3 4 5 3" xfId="56592"/>
    <cellStyle name="Note 5 2 3 4 6" xfId="56593"/>
    <cellStyle name="Note 5 2 3 4 6 2" xfId="56594"/>
    <cellStyle name="Note 5 2 3 4 6 3" xfId="56595"/>
    <cellStyle name="Note 5 2 3 4 7" xfId="56596"/>
    <cellStyle name="Note 5 2 3 4 7 2" xfId="56597"/>
    <cellStyle name="Note 5 2 3 4 8" xfId="56598"/>
    <cellStyle name="Note 5 2 3 4 9" xfId="56599"/>
    <cellStyle name="Note 5 2 3 5" xfId="56600"/>
    <cellStyle name="Note 5 2 3 5 2" xfId="56601"/>
    <cellStyle name="Note 5 2 3 5 2 2" xfId="56602"/>
    <cellStyle name="Note 5 2 3 5 2 3" xfId="56603"/>
    <cellStyle name="Note 5 2 3 5 3" xfId="56604"/>
    <cellStyle name="Note 5 2 3 5 3 2" xfId="56605"/>
    <cellStyle name="Note 5 2 3 5 3 3" xfId="56606"/>
    <cellStyle name="Note 5 2 3 5 4" xfId="56607"/>
    <cellStyle name="Note 5 2 3 5 4 2" xfId="56608"/>
    <cellStyle name="Note 5 2 3 5 5" xfId="56609"/>
    <cellStyle name="Note 5 2 3 5 6" xfId="56610"/>
    <cellStyle name="Note 5 2 3 6" xfId="56611"/>
    <cellStyle name="Note 5 2 3 6 2" xfId="56612"/>
    <cellStyle name="Note 5 2 3 6 2 2" xfId="56613"/>
    <cellStyle name="Note 5 2 3 6 2 3" xfId="56614"/>
    <cellStyle name="Note 5 2 3 6 3" xfId="56615"/>
    <cellStyle name="Note 5 2 3 6 3 2" xfId="56616"/>
    <cellStyle name="Note 5 2 3 6 3 3" xfId="56617"/>
    <cellStyle name="Note 5 2 3 6 4" xfId="56618"/>
    <cellStyle name="Note 5 2 3 6 4 2" xfId="56619"/>
    <cellStyle name="Note 5 2 3 6 5" xfId="56620"/>
    <cellStyle name="Note 5 2 3 6 6" xfId="56621"/>
    <cellStyle name="Note 5 2 3 7" xfId="56622"/>
    <cellStyle name="Note 5 2 3 7 2" xfId="56623"/>
    <cellStyle name="Note 5 2 3 7 2 2" xfId="56624"/>
    <cellStyle name="Note 5 2 3 7 2 3" xfId="56625"/>
    <cellStyle name="Note 5 2 3 7 3" xfId="56626"/>
    <cellStyle name="Note 5 2 3 7 3 2" xfId="56627"/>
    <cellStyle name="Note 5 2 3 7 4" xfId="56628"/>
    <cellStyle name="Note 5 2 3 7 5" xfId="56629"/>
    <cellStyle name="Note 5 2 3 8" xfId="56630"/>
    <cellStyle name="Note 5 2 3 8 2" xfId="56631"/>
    <cellStyle name="Note 5 2 3 8 3" xfId="56632"/>
    <cellStyle name="Note 5 2 3 9" xfId="56633"/>
    <cellStyle name="Note 5 2 3 9 2" xfId="56634"/>
    <cellStyle name="Note 5 2 3 9 3" xfId="56635"/>
    <cellStyle name="Note 5 2 4" xfId="6129"/>
    <cellStyle name="Note 5 2 4 10" xfId="56636"/>
    <cellStyle name="Note 5 2 4 2" xfId="56637"/>
    <cellStyle name="Note 5 2 4 2 2" xfId="56638"/>
    <cellStyle name="Note 5 2 4 2 2 2" xfId="56639"/>
    <cellStyle name="Note 5 2 4 2 2 2 2" xfId="56640"/>
    <cellStyle name="Note 5 2 4 2 2 2 3" xfId="56641"/>
    <cellStyle name="Note 5 2 4 2 2 3" xfId="56642"/>
    <cellStyle name="Note 5 2 4 2 2 3 2" xfId="56643"/>
    <cellStyle name="Note 5 2 4 2 2 3 3" xfId="56644"/>
    <cellStyle name="Note 5 2 4 2 2 4" xfId="56645"/>
    <cellStyle name="Note 5 2 4 2 2 4 2" xfId="56646"/>
    <cellStyle name="Note 5 2 4 2 2 5" xfId="56647"/>
    <cellStyle name="Note 5 2 4 2 2 6" xfId="56648"/>
    <cellStyle name="Note 5 2 4 2 3" xfId="56649"/>
    <cellStyle name="Note 5 2 4 2 3 2" xfId="56650"/>
    <cellStyle name="Note 5 2 4 2 3 2 2" xfId="56651"/>
    <cellStyle name="Note 5 2 4 2 3 2 3" xfId="56652"/>
    <cellStyle name="Note 5 2 4 2 3 3" xfId="56653"/>
    <cellStyle name="Note 5 2 4 2 3 3 2" xfId="56654"/>
    <cellStyle name="Note 5 2 4 2 3 3 3" xfId="56655"/>
    <cellStyle name="Note 5 2 4 2 3 4" xfId="56656"/>
    <cellStyle name="Note 5 2 4 2 3 4 2" xfId="56657"/>
    <cellStyle name="Note 5 2 4 2 3 5" xfId="56658"/>
    <cellStyle name="Note 5 2 4 2 3 6" xfId="56659"/>
    <cellStyle name="Note 5 2 4 2 4" xfId="56660"/>
    <cellStyle name="Note 5 2 4 2 4 2" xfId="56661"/>
    <cellStyle name="Note 5 2 4 2 4 2 2" xfId="56662"/>
    <cellStyle name="Note 5 2 4 2 4 2 3" xfId="56663"/>
    <cellStyle name="Note 5 2 4 2 4 3" xfId="56664"/>
    <cellStyle name="Note 5 2 4 2 4 3 2" xfId="56665"/>
    <cellStyle name="Note 5 2 4 2 4 4" xfId="56666"/>
    <cellStyle name="Note 5 2 4 2 4 5" xfId="56667"/>
    <cellStyle name="Note 5 2 4 2 5" xfId="56668"/>
    <cellStyle name="Note 5 2 4 2 5 2" xfId="56669"/>
    <cellStyle name="Note 5 2 4 2 5 3" xfId="56670"/>
    <cellStyle name="Note 5 2 4 2 6" xfId="56671"/>
    <cellStyle name="Note 5 2 4 2 6 2" xfId="56672"/>
    <cellStyle name="Note 5 2 4 2 6 3" xfId="56673"/>
    <cellStyle name="Note 5 2 4 2 7" xfId="56674"/>
    <cellStyle name="Note 5 2 4 2 7 2" xfId="56675"/>
    <cellStyle name="Note 5 2 4 2 8" xfId="56676"/>
    <cellStyle name="Note 5 2 4 2 9" xfId="56677"/>
    <cellStyle name="Note 5 2 4 3" xfId="56678"/>
    <cellStyle name="Note 5 2 4 3 2" xfId="56679"/>
    <cellStyle name="Note 5 2 4 3 2 2" xfId="56680"/>
    <cellStyle name="Note 5 2 4 3 2 3" xfId="56681"/>
    <cellStyle name="Note 5 2 4 3 3" xfId="56682"/>
    <cellStyle name="Note 5 2 4 3 3 2" xfId="56683"/>
    <cellStyle name="Note 5 2 4 3 3 3" xfId="56684"/>
    <cellStyle name="Note 5 2 4 3 4" xfId="56685"/>
    <cellStyle name="Note 5 2 4 3 4 2" xfId="56686"/>
    <cellStyle name="Note 5 2 4 3 5" xfId="56687"/>
    <cellStyle name="Note 5 2 4 3 6" xfId="56688"/>
    <cellStyle name="Note 5 2 4 4" xfId="56689"/>
    <cellStyle name="Note 5 2 4 4 2" xfId="56690"/>
    <cellStyle name="Note 5 2 4 4 2 2" xfId="56691"/>
    <cellStyle name="Note 5 2 4 4 2 3" xfId="56692"/>
    <cellStyle name="Note 5 2 4 4 3" xfId="56693"/>
    <cellStyle name="Note 5 2 4 4 3 2" xfId="56694"/>
    <cellStyle name="Note 5 2 4 4 3 3" xfId="56695"/>
    <cellStyle name="Note 5 2 4 4 4" xfId="56696"/>
    <cellStyle name="Note 5 2 4 4 4 2" xfId="56697"/>
    <cellStyle name="Note 5 2 4 4 5" xfId="56698"/>
    <cellStyle name="Note 5 2 4 4 6" xfId="56699"/>
    <cellStyle name="Note 5 2 4 5" xfId="56700"/>
    <cellStyle name="Note 5 2 4 5 2" xfId="56701"/>
    <cellStyle name="Note 5 2 4 5 2 2" xfId="56702"/>
    <cellStyle name="Note 5 2 4 5 2 3" xfId="56703"/>
    <cellStyle name="Note 5 2 4 5 3" xfId="56704"/>
    <cellStyle name="Note 5 2 4 5 3 2" xfId="56705"/>
    <cellStyle name="Note 5 2 4 5 4" xfId="56706"/>
    <cellStyle name="Note 5 2 4 5 5" xfId="56707"/>
    <cellStyle name="Note 5 2 4 6" xfId="56708"/>
    <cellStyle name="Note 5 2 4 6 2" xfId="56709"/>
    <cellStyle name="Note 5 2 4 6 3" xfId="56710"/>
    <cellStyle name="Note 5 2 4 7" xfId="56711"/>
    <cellStyle name="Note 5 2 4 7 2" xfId="56712"/>
    <cellStyle name="Note 5 2 4 7 3" xfId="56713"/>
    <cellStyle name="Note 5 2 4 8" xfId="56714"/>
    <cellStyle name="Note 5 2 4 8 2" xfId="56715"/>
    <cellStyle name="Note 5 2 4 9" xfId="56716"/>
    <cellStyle name="Note 5 2 5" xfId="6130"/>
    <cellStyle name="Note 5 2 5 2" xfId="56717"/>
    <cellStyle name="Note 5 2 5 2 2" xfId="56718"/>
    <cellStyle name="Note 5 2 5 2 2 2" xfId="56719"/>
    <cellStyle name="Note 5 2 5 2 2 3" xfId="56720"/>
    <cellStyle name="Note 5 2 5 2 3" xfId="56721"/>
    <cellStyle name="Note 5 2 5 2 3 2" xfId="56722"/>
    <cellStyle name="Note 5 2 5 2 3 3" xfId="56723"/>
    <cellStyle name="Note 5 2 5 2 4" xfId="56724"/>
    <cellStyle name="Note 5 2 5 2 4 2" xfId="56725"/>
    <cellStyle name="Note 5 2 5 2 5" xfId="56726"/>
    <cellStyle name="Note 5 2 5 2 6" xfId="56727"/>
    <cellStyle name="Note 5 2 5 3" xfId="56728"/>
    <cellStyle name="Note 5 2 5 3 2" xfId="56729"/>
    <cellStyle name="Note 5 2 5 3 2 2" xfId="56730"/>
    <cellStyle name="Note 5 2 5 3 2 3" xfId="56731"/>
    <cellStyle name="Note 5 2 5 3 3" xfId="56732"/>
    <cellStyle name="Note 5 2 5 3 3 2" xfId="56733"/>
    <cellStyle name="Note 5 2 5 3 3 3" xfId="56734"/>
    <cellStyle name="Note 5 2 5 3 4" xfId="56735"/>
    <cellStyle name="Note 5 2 5 3 4 2" xfId="56736"/>
    <cellStyle name="Note 5 2 5 3 5" xfId="56737"/>
    <cellStyle name="Note 5 2 5 3 6" xfId="56738"/>
    <cellStyle name="Note 5 2 5 4" xfId="56739"/>
    <cellStyle name="Note 5 2 5 4 2" xfId="56740"/>
    <cellStyle name="Note 5 2 5 4 2 2" xfId="56741"/>
    <cellStyle name="Note 5 2 5 4 2 3" xfId="56742"/>
    <cellStyle name="Note 5 2 5 4 3" xfId="56743"/>
    <cellStyle name="Note 5 2 5 4 3 2" xfId="56744"/>
    <cellStyle name="Note 5 2 5 4 4" xfId="56745"/>
    <cellStyle name="Note 5 2 5 4 5" xfId="56746"/>
    <cellStyle name="Note 5 2 5 5" xfId="56747"/>
    <cellStyle name="Note 5 2 5 5 2" xfId="56748"/>
    <cellStyle name="Note 5 2 5 5 3" xfId="56749"/>
    <cellStyle name="Note 5 2 5 6" xfId="56750"/>
    <cellStyle name="Note 5 2 5 6 2" xfId="56751"/>
    <cellStyle name="Note 5 2 5 6 3" xfId="56752"/>
    <cellStyle name="Note 5 2 5 7" xfId="56753"/>
    <cellStyle name="Note 5 2 5 7 2" xfId="56754"/>
    <cellStyle name="Note 5 2 5 8" xfId="56755"/>
    <cellStyle name="Note 5 2 5 9" xfId="56756"/>
    <cellStyle name="Note 5 2 6" xfId="6131"/>
    <cellStyle name="Note 5 2 6 2" xfId="56757"/>
    <cellStyle name="Note 5 2 6 2 2" xfId="56758"/>
    <cellStyle name="Note 5 2 6 2 2 2" xfId="56759"/>
    <cellStyle name="Note 5 2 6 2 2 3" xfId="56760"/>
    <cellStyle name="Note 5 2 6 2 3" xfId="56761"/>
    <cellStyle name="Note 5 2 6 2 3 2" xfId="56762"/>
    <cellStyle name="Note 5 2 6 2 3 3" xfId="56763"/>
    <cellStyle name="Note 5 2 6 2 4" xfId="56764"/>
    <cellStyle name="Note 5 2 6 2 4 2" xfId="56765"/>
    <cellStyle name="Note 5 2 6 2 5" xfId="56766"/>
    <cellStyle name="Note 5 2 6 2 6" xfId="56767"/>
    <cellStyle name="Note 5 2 6 3" xfId="56768"/>
    <cellStyle name="Note 5 2 6 3 2" xfId="56769"/>
    <cellStyle name="Note 5 2 6 3 2 2" xfId="56770"/>
    <cellStyle name="Note 5 2 6 3 2 3" xfId="56771"/>
    <cellStyle name="Note 5 2 6 3 3" xfId="56772"/>
    <cellStyle name="Note 5 2 6 3 3 2" xfId="56773"/>
    <cellStyle name="Note 5 2 6 3 3 3" xfId="56774"/>
    <cellStyle name="Note 5 2 6 3 4" xfId="56775"/>
    <cellStyle name="Note 5 2 6 3 4 2" xfId="56776"/>
    <cellStyle name="Note 5 2 6 3 5" xfId="56777"/>
    <cellStyle name="Note 5 2 6 3 6" xfId="56778"/>
    <cellStyle name="Note 5 2 6 4" xfId="56779"/>
    <cellStyle name="Note 5 2 6 4 2" xfId="56780"/>
    <cellStyle name="Note 5 2 6 4 2 2" xfId="56781"/>
    <cellStyle name="Note 5 2 6 4 2 3" xfId="56782"/>
    <cellStyle name="Note 5 2 6 4 3" xfId="56783"/>
    <cellStyle name="Note 5 2 6 4 3 2" xfId="56784"/>
    <cellStyle name="Note 5 2 6 4 4" xfId="56785"/>
    <cellStyle name="Note 5 2 6 4 5" xfId="56786"/>
    <cellStyle name="Note 5 2 6 5" xfId="56787"/>
    <cellStyle name="Note 5 2 6 5 2" xfId="56788"/>
    <cellStyle name="Note 5 2 6 5 3" xfId="56789"/>
    <cellStyle name="Note 5 2 6 6" xfId="56790"/>
    <cellStyle name="Note 5 2 6 6 2" xfId="56791"/>
    <cellStyle name="Note 5 2 6 6 3" xfId="56792"/>
    <cellStyle name="Note 5 2 6 7" xfId="56793"/>
    <cellStyle name="Note 5 2 6 7 2" xfId="56794"/>
    <cellStyle name="Note 5 2 6 8" xfId="56795"/>
    <cellStyle name="Note 5 2 6 9" xfId="56796"/>
    <cellStyle name="Note 5 2 7" xfId="6132"/>
    <cellStyle name="Note 5 2 7 2" xfId="56797"/>
    <cellStyle name="Note 5 2 7 2 2" xfId="56798"/>
    <cellStyle name="Note 5 2 7 2 3" xfId="56799"/>
    <cellStyle name="Note 5 2 7 3" xfId="56800"/>
    <cellStyle name="Note 5 2 7 3 2" xfId="56801"/>
    <cellStyle name="Note 5 2 7 3 3" xfId="56802"/>
    <cellStyle name="Note 5 2 7 4" xfId="56803"/>
    <cellStyle name="Note 5 2 7 4 2" xfId="56804"/>
    <cellStyle name="Note 5 2 7 5" xfId="56805"/>
    <cellStyle name="Note 5 2 7 6" xfId="56806"/>
    <cellStyle name="Note 5 2 8" xfId="6133"/>
    <cellStyle name="Note 5 2 8 2" xfId="56807"/>
    <cellStyle name="Note 5 2 8 2 2" xfId="56808"/>
    <cellStyle name="Note 5 2 8 2 3" xfId="56809"/>
    <cellStyle name="Note 5 2 8 3" xfId="56810"/>
    <cellStyle name="Note 5 2 8 3 2" xfId="56811"/>
    <cellStyle name="Note 5 2 8 3 3" xfId="56812"/>
    <cellStyle name="Note 5 2 8 4" xfId="56813"/>
    <cellStyle name="Note 5 2 8 4 2" xfId="56814"/>
    <cellStyle name="Note 5 2 8 5" xfId="56815"/>
    <cellStyle name="Note 5 2 8 6" xfId="56816"/>
    <cellStyle name="Note 5 2 9" xfId="6134"/>
    <cellStyle name="Note 5 2 9 2" xfId="56817"/>
    <cellStyle name="Note 5 2 9 2 2" xfId="56818"/>
    <cellStyle name="Note 5 2 9 2 3" xfId="56819"/>
    <cellStyle name="Note 5 2 9 3" xfId="56820"/>
    <cellStyle name="Note 5 2 9 3 2" xfId="56821"/>
    <cellStyle name="Note 5 2 9 4" xfId="56822"/>
    <cellStyle name="Note 5 2 9 5" xfId="56823"/>
    <cellStyle name="Note 5 3" xfId="6135"/>
    <cellStyle name="Note 5 3 10" xfId="56824"/>
    <cellStyle name="Note 5 3 10 2" xfId="56825"/>
    <cellStyle name="Note 5 3 10 3" xfId="56826"/>
    <cellStyle name="Note 5 3 11" xfId="56827"/>
    <cellStyle name="Note 5 3 11 2" xfId="56828"/>
    <cellStyle name="Note 5 3 12" xfId="56829"/>
    <cellStyle name="Note 5 3 13" xfId="56830"/>
    <cellStyle name="Note 5 3 14" xfId="56831"/>
    <cellStyle name="Note 5 3 2" xfId="6136"/>
    <cellStyle name="Note 5 3 2 10" xfId="56832"/>
    <cellStyle name="Note 5 3 2 10 2" xfId="56833"/>
    <cellStyle name="Note 5 3 2 11" xfId="56834"/>
    <cellStyle name="Note 5 3 2 12" xfId="56835"/>
    <cellStyle name="Note 5 3 2 2" xfId="9346"/>
    <cellStyle name="Note 5 3 2 2 10" xfId="56836"/>
    <cellStyle name="Note 5 3 2 2 2" xfId="56837"/>
    <cellStyle name="Note 5 3 2 2 2 2" xfId="56838"/>
    <cellStyle name="Note 5 3 2 2 2 2 2" xfId="56839"/>
    <cellStyle name="Note 5 3 2 2 2 2 2 2" xfId="56840"/>
    <cellStyle name="Note 5 3 2 2 2 2 2 3" xfId="56841"/>
    <cellStyle name="Note 5 3 2 2 2 2 3" xfId="56842"/>
    <cellStyle name="Note 5 3 2 2 2 2 3 2" xfId="56843"/>
    <cellStyle name="Note 5 3 2 2 2 2 3 3" xfId="56844"/>
    <cellStyle name="Note 5 3 2 2 2 2 4" xfId="56845"/>
    <cellStyle name="Note 5 3 2 2 2 2 4 2" xfId="56846"/>
    <cellStyle name="Note 5 3 2 2 2 2 5" xfId="56847"/>
    <cellStyle name="Note 5 3 2 2 2 2 6" xfId="56848"/>
    <cellStyle name="Note 5 3 2 2 2 3" xfId="56849"/>
    <cellStyle name="Note 5 3 2 2 2 3 2" xfId="56850"/>
    <cellStyle name="Note 5 3 2 2 2 3 2 2" xfId="56851"/>
    <cellStyle name="Note 5 3 2 2 2 3 2 3" xfId="56852"/>
    <cellStyle name="Note 5 3 2 2 2 3 3" xfId="56853"/>
    <cellStyle name="Note 5 3 2 2 2 3 3 2" xfId="56854"/>
    <cellStyle name="Note 5 3 2 2 2 3 3 3" xfId="56855"/>
    <cellStyle name="Note 5 3 2 2 2 3 4" xfId="56856"/>
    <cellStyle name="Note 5 3 2 2 2 3 4 2" xfId="56857"/>
    <cellStyle name="Note 5 3 2 2 2 3 5" xfId="56858"/>
    <cellStyle name="Note 5 3 2 2 2 3 6" xfId="56859"/>
    <cellStyle name="Note 5 3 2 2 2 4" xfId="56860"/>
    <cellStyle name="Note 5 3 2 2 2 4 2" xfId="56861"/>
    <cellStyle name="Note 5 3 2 2 2 4 2 2" xfId="56862"/>
    <cellStyle name="Note 5 3 2 2 2 4 2 3" xfId="56863"/>
    <cellStyle name="Note 5 3 2 2 2 4 3" xfId="56864"/>
    <cellStyle name="Note 5 3 2 2 2 4 3 2" xfId="56865"/>
    <cellStyle name="Note 5 3 2 2 2 4 4" xfId="56866"/>
    <cellStyle name="Note 5 3 2 2 2 4 5" xfId="56867"/>
    <cellStyle name="Note 5 3 2 2 2 5" xfId="56868"/>
    <cellStyle name="Note 5 3 2 2 2 5 2" xfId="56869"/>
    <cellStyle name="Note 5 3 2 2 2 5 3" xfId="56870"/>
    <cellStyle name="Note 5 3 2 2 2 6" xfId="56871"/>
    <cellStyle name="Note 5 3 2 2 2 6 2" xfId="56872"/>
    <cellStyle name="Note 5 3 2 2 2 6 3" xfId="56873"/>
    <cellStyle name="Note 5 3 2 2 2 7" xfId="56874"/>
    <cellStyle name="Note 5 3 2 2 2 7 2" xfId="56875"/>
    <cellStyle name="Note 5 3 2 2 2 8" xfId="56876"/>
    <cellStyle name="Note 5 3 2 2 2 9" xfId="56877"/>
    <cellStyle name="Note 5 3 2 2 3" xfId="56878"/>
    <cellStyle name="Note 5 3 2 2 3 2" xfId="56879"/>
    <cellStyle name="Note 5 3 2 2 3 2 2" xfId="56880"/>
    <cellStyle name="Note 5 3 2 2 3 2 3" xfId="56881"/>
    <cellStyle name="Note 5 3 2 2 3 3" xfId="56882"/>
    <cellStyle name="Note 5 3 2 2 3 3 2" xfId="56883"/>
    <cellStyle name="Note 5 3 2 2 3 3 3" xfId="56884"/>
    <cellStyle name="Note 5 3 2 2 3 4" xfId="56885"/>
    <cellStyle name="Note 5 3 2 2 3 4 2" xfId="56886"/>
    <cellStyle name="Note 5 3 2 2 3 5" xfId="56887"/>
    <cellStyle name="Note 5 3 2 2 3 6" xfId="56888"/>
    <cellStyle name="Note 5 3 2 2 4" xfId="56889"/>
    <cellStyle name="Note 5 3 2 2 4 2" xfId="56890"/>
    <cellStyle name="Note 5 3 2 2 4 2 2" xfId="56891"/>
    <cellStyle name="Note 5 3 2 2 4 2 3" xfId="56892"/>
    <cellStyle name="Note 5 3 2 2 4 3" xfId="56893"/>
    <cellStyle name="Note 5 3 2 2 4 3 2" xfId="56894"/>
    <cellStyle name="Note 5 3 2 2 4 3 3" xfId="56895"/>
    <cellStyle name="Note 5 3 2 2 4 4" xfId="56896"/>
    <cellStyle name="Note 5 3 2 2 4 4 2" xfId="56897"/>
    <cellStyle name="Note 5 3 2 2 4 5" xfId="56898"/>
    <cellStyle name="Note 5 3 2 2 4 6" xfId="56899"/>
    <cellStyle name="Note 5 3 2 2 5" xfId="56900"/>
    <cellStyle name="Note 5 3 2 2 5 2" xfId="56901"/>
    <cellStyle name="Note 5 3 2 2 5 2 2" xfId="56902"/>
    <cellStyle name="Note 5 3 2 2 5 2 3" xfId="56903"/>
    <cellStyle name="Note 5 3 2 2 5 3" xfId="56904"/>
    <cellStyle name="Note 5 3 2 2 5 3 2" xfId="56905"/>
    <cellStyle name="Note 5 3 2 2 5 4" xfId="56906"/>
    <cellStyle name="Note 5 3 2 2 5 5" xfId="56907"/>
    <cellStyle name="Note 5 3 2 2 6" xfId="56908"/>
    <cellStyle name="Note 5 3 2 2 6 2" xfId="56909"/>
    <cellStyle name="Note 5 3 2 2 6 3" xfId="56910"/>
    <cellStyle name="Note 5 3 2 2 7" xfId="56911"/>
    <cellStyle name="Note 5 3 2 2 7 2" xfId="56912"/>
    <cellStyle name="Note 5 3 2 2 7 3" xfId="56913"/>
    <cellStyle name="Note 5 3 2 2 8" xfId="56914"/>
    <cellStyle name="Note 5 3 2 2 8 2" xfId="56915"/>
    <cellStyle name="Note 5 3 2 2 9" xfId="56916"/>
    <cellStyle name="Note 5 3 2 3" xfId="56917"/>
    <cellStyle name="Note 5 3 2 3 2" xfId="56918"/>
    <cellStyle name="Note 5 3 2 3 2 2" xfId="56919"/>
    <cellStyle name="Note 5 3 2 3 2 2 2" xfId="56920"/>
    <cellStyle name="Note 5 3 2 3 2 2 3" xfId="56921"/>
    <cellStyle name="Note 5 3 2 3 2 3" xfId="56922"/>
    <cellStyle name="Note 5 3 2 3 2 3 2" xfId="56923"/>
    <cellStyle name="Note 5 3 2 3 2 3 3" xfId="56924"/>
    <cellStyle name="Note 5 3 2 3 2 4" xfId="56925"/>
    <cellStyle name="Note 5 3 2 3 2 4 2" xfId="56926"/>
    <cellStyle name="Note 5 3 2 3 2 5" xfId="56927"/>
    <cellStyle name="Note 5 3 2 3 2 6" xfId="56928"/>
    <cellStyle name="Note 5 3 2 3 3" xfId="56929"/>
    <cellStyle name="Note 5 3 2 3 3 2" xfId="56930"/>
    <cellStyle name="Note 5 3 2 3 3 2 2" xfId="56931"/>
    <cellStyle name="Note 5 3 2 3 3 2 3" xfId="56932"/>
    <cellStyle name="Note 5 3 2 3 3 3" xfId="56933"/>
    <cellStyle name="Note 5 3 2 3 3 3 2" xfId="56934"/>
    <cellStyle name="Note 5 3 2 3 3 3 3" xfId="56935"/>
    <cellStyle name="Note 5 3 2 3 3 4" xfId="56936"/>
    <cellStyle name="Note 5 3 2 3 3 4 2" xfId="56937"/>
    <cellStyle name="Note 5 3 2 3 3 5" xfId="56938"/>
    <cellStyle name="Note 5 3 2 3 3 6" xfId="56939"/>
    <cellStyle name="Note 5 3 2 3 4" xfId="56940"/>
    <cellStyle name="Note 5 3 2 3 4 2" xfId="56941"/>
    <cellStyle name="Note 5 3 2 3 4 2 2" xfId="56942"/>
    <cellStyle name="Note 5 3 2 3 4 2 3" xfId="56943"/>
    <cellStyle name="Note 5 3 2 3 4 3" xfId="56944"/>
    <cellStyle name="Note 5 3 2 3 4 3 2" xfId="56945"/>
    <cellStyle name="Note 5 3 2 3 4 4" xfId="56946"/>
    <cellStyle name="Note 5 3 2 3 4 5" xfId="56947"/>
    <cellStyle name="Note 5 3 2 3 5" xfId="56948"/>
    <cellStyle name="Note 5 3 2 3 5 2" xfId="56949"/>
    <cellStyle name="Note 5 3 2 3 5 3" xfId="56950"/>
    <cellStyle name="Note 5 3 2 3 6" xfId="56951"/>
    <cellStyle name="Note 5 3 2 3 6 2" xfId="56952"/>
    <cellStyle name="Note 5 3 2 3 6 3" xfId="56953"/>
    <cellStyle name="Note 5 3 2 3 7" xfId="56954"/>
    <cellStyle name="Note 5 3 2 3 7 2" xfId="56955"/>
    <cellStyle name="Note 5 3 2 3 8" xfId="56956"/>
    <cellStyle name="Note 5 3 2 3 9" xfId="56957"/>
    <cellStyle name="Note 5 3 2 4" xfId="56958"/>
    <cellStyle name="Note 5 3 2 4 2" xfId="56959"/>
    <cellStyle name="Note 5 3 2 4 2 2" xfId="56960"/>
    <cellStyle name="Note 5 3 2 4 2 2 2" xfId="56961"/>
    <cellStyle name="Note 5 3 2 4 2 2 3" xfId="56962"/>
    <cellStyle name="Note 5 3 2 4 2 3" xfId="56963"/>
    <cellStyle name="Note 5 3 2 4 2 3 2" xfId="56964"/>
    <cellStyle name="Note 5 3 2 4 2 3 3" xfId="56965"/>
    <cellStyle name="Note 5 3 2 4 2 4" xfId="56966"/>
    <cellStyle name="Note 5 3 2 4 2 4 2" xfId="56967"/>
    <cellStyle name="Note 5 3 2 4 2 5" xfId="56968"/>
    <cellStyle name="Note 5 3 2 4 2 6" xfId="56969"/>
    <cellStyle name="Note 5 3 2 4 3" xfId="56970"/>
    <cellStyle name="Note 5 3 2 4 3 2" xfId="56971"/>
    <cellStyle name="Note 5 3 2 4 3 2 2" xfId="56972"/>
    <cellStyle name="Note 5 3 2 4 3 2 3" xfId="56973"/>
    <cellStyle name="Note 5 3 2 4 3 3" xfId="56974"/>
    <cellStyle name="Note 5 3 2 4 3 3 2" xfId="56975"/>
    <cellStyle name="Note 5 3 2 4 3 3 3" xfId="56976"/>
    <cellStyle name="Note 5 3 2 4 3 4" xfId="56977"/>
    <cellStyle name="Note 5 3 2 4 3 4 2" xfId="56978"/>
    <cellStyle name="Note 5 3 2 4 3 5" xfId="56979"/>
    <cellStyle name="Note 5 3 2 4 3 6" xfId="56980"/>
    <cellStyle name="Note 5 3 2 4 4" xfId="56981"/>
    <cellStyle name="Note 5 3 2 4 4 2" xfId="56982"/>
    <cellStyle name="Note 5 3 2 4 4 2 2" xfId="56983"/>
    <cellStyle name="Note 5 3 2 4 4 2 3" xfId="56984"/>
    <cellStyle name="Note 5 3 2 4 4 3" xfId="56985"/>
    <cellStyle name="Note 5 3 2 4 4 3 2" xfId="56986"/>
    <cellStyle name="Note 5 3 2 4 4 4" xfId="56987"/>
    <cellStyle name="Note 5 3 2 4 4 5" xfId="56988"/>
    <cellStyle name="Note 5 3 2 4 5" xfId="56989"/>
    <cellStyle name="Note 5 3 2 4 5 2" xfId="56990"/>
    <cellStyle name="Note 5 3 2 4 5 3" xfId="56991"/>
    <cellStyle name="Note 5 3 2 4 6" xfId="56992"/>
    <cellStyle name="Note 5 3 2 4 6 2" xfId="56993"/>
    <cellStyle name="Note 5 3 2 4 6 3" xfId="56994"/>
    <cellStyle name="Note 5 3 2 4 7" xfId="56995"/>
    <cellStyle name="Note 5 3 2 4 7 2" xfId="56996"/>
    <cellStyle name="Note 5 3 2 4 8" xfId="56997"/>
    <cellStyle name="Note 5 3 2 4 9" xfId="56998"/>
    <cellStyle name="Note 5 3 2 5" xfId="56999"/>
    <cellStyle name="Note 5 3 2 5 2" xfId="57000"/>
    <cellStyle name="Note 5 3 2 5 2 2" xfId="57001"/>
    <cellStyle name="Note 5 3 2 5 2 3" xfId="57002"/>
    <cellStyle name="Note 5 3 2 5 3" xfId="57003"/>
    <cellStyle name="Note 5 3 2 5 3 2" xfId="57004"/>
    <cellStyle name="Note 5 3 2 5 3 3" xfId="57005"/>
    <cellStyle name="Note 5 3 2 5 4" xfId="57006"/>
    <cellStyle name="Note 5 3 2 5 4 2" xfId="57007"/>
    <cellStyle name="Note 5 3 2 5 5" xfId="57008"/>
    <cellStyle name="Note 5 3 2 5 6" xfId="57009"/>
    <cellStyle name="Note 5 3 2 6" xfId="57010"/>
    <cellStyle name="Note 5 3 2 6 2" xfId="57011"/>
    <cellStyle name="Note 5 3 2 6 2 2" xfId="57012"/>
    <cellStyle name="Note 5 3 2 6 2 3" xfId="57013"/>
    <cellStyle name="Note 5 3 2 6 3" xfId="57014"/>
    <cellStyle name="Note 5 3 2 6 3 2" xfId="57015"/>
    <cellStyle name="Note 5 3 2 6 3 3" xfId="57016"/>
    <cellStyle name="Note 5 3 2 6 4" xfId="57017"/>
    <cellStyle name="Note 5 3 2 6 4 2" xfId="57018"/>
    <cellStyle name="Note 5 3 2 6 5" xfId="57019"/>
    <cellStyle name="Note 5 3 2 6 6" xfId="57020"/>
    <cellStyle name="Note 5 3 2 7" xfId="57021"/>
    <cellStyle name="Note 5 3 2 7 2" xfId="57022"/>
    <cellStyle name="Note 5 3 2 7 2 2" xfId="57023"/>
    <cellStyle name="Note 5 3 2 7 2 3" xfId="57024"/>
    <cellStyle name="Note 5 3 2 7 3" xfId="57025"/>
    <cellStyle name="Note 5 3 2 7 3 2" xfId="57026"/>
    <cellStyle name="Note 5 3 2 7 4" xfId="57027"/>
    <cellStyle name="Note 5 3 2 7 5" xfId="57028"/>
    <cellStyle name="Note 5 3 2 8" xfId="57029"/>
    <cellStyle name="Note 5 3 2 8 2" xfId="57030"/>
    <cellStyle name="Note 5 3 2 8 3" xfId="57031"/>
    <cellStyle name="Note 5 3 2 9" xfId="57032"/>
    <cellStyle name="Note 5 3 2 9 2" xfId="57033"/>
    <cellStyle name="Note 5 3 2 9 3" xfId="57034"/>
    <cellStyle name="Note 5 3 3" xfId="6137"/>
    <cellStyle name="Note 5 3 3 10" xfId="57035"/>
    <cellStyle name="Note 5 3 3 2" xfId="57036"/>
    <cellStyle name="Note 5 3 3 2 2" xfId="57037"/>
    <cellStyle name="Note 5 3 3 2 2 2" xfId="57038"/>
    <cellStyle name="Note 5 3 3 2 2 2 2" xfId="57039"/>
    <cellStyle name="Note 5 3 3 2 2 2 3" xfId="57040"/>
    <cellStyle name="Note 5 3 3 2 2 3" xfId="57041"/>
    <cellStyle name="Note 5 3 3 2 2 3 2" xfId="57042"/>
    <cellStyle name="Note 5 3 3 2 2 3 3" xfId="57043"/>
    <cellStyle name="Note 5 3 3 2 2 4" xfId="57044"/>
    <cellStyle name="Note 5 3 3 2 2 4 2" xfId="57045"/>
    <cellStyle name="Note 5 3 3 2 2 5" xfId="57046"/>
    <cellStyle name="Note 5 3 3 2 2 6" xfId="57047"/>
    <cellStyle name="Note 5 3 3 2 3" xfId="57048"/>
    <cellStyle name="Note 5 3 3 2 3 2" xfId="57049"/>
    <cellStyle name="Note 5 3 3 2 3 2 2" xfId="57050"/>
    <cellStyle name="Note 5 3 3 2 3 2 3" xfId="57051"/>
    <cellStyle name="Note 5 3 3 2 3 3" xfId="57052"/>
    <cellStyle name="Note 5 3 3 2 3 3 2" xfId="57053"/>
    <cellStyle name="Note 5 3 3 2 3 3 3" xfId="57054"/>
    <cellStyle name="Note 5 3 3 2 3 4" xfId="57055"/>
    <cellStyle name="Note 5 3 3 2 3 4 2" xfId="57056"/>
    <cellStyle name="Note 5 3 3 2 3 5" xfId="57057"/>
    <cellStyle name="Note 5 3 3 2 3 6" xfId="57058"/>
    <cellStyle name="Note 5 3 3 2 4" xfId="57059"/>
    <cellStyle name="Note 5 3 3 2 4 2" xfId="57060"/>
    <cellStyle name="Note 5 3 3 2 4 2 2" xfId="57061"/>
    <cellStyle name="Note 5 3 3 2 4 2 3" xfId="57062"/>
    <cellStyle name="Note 5 3 3 2 4 3" xfId="57063"/>
    <cellStyle name="Note 5 3 3 2 4 3 2" xfId="57064"/>
    <cellStyle name="Note 5 3 3 2 4 4" xfId="57065"/>
    <cellStyle name="Note 5 3 3 2 4 5" xfId="57066"/>
    <cellStyle name="Note 5 3 3 2 5" xfId="57067"/>
    <cellStyle name="Note 5 3 3 2 5 2" xfId="57068"/>
    <cellStyle name="Note 5 3 3 2 5 3" xfId="57069"/>
    <cellStyle name="Note 5 3 3 2 6" xfId="57070"/>
    <cellStyle name="Note 5 3 3 2 6 2" xfId="57071"/>
    <cellStyle name="Note 5 3 3 2 6 3" xfId="57072"/>
    <cellStyle name="Note 5 3 3 2 7" xfId="57073"/>
    <cellStyle name="Note 5 3 3 2 7 2" xfId="57074"/>
    <cellStyle name="Note 5 3 3 2 8" xfId="57075"/>
    <cellStyle name="Note 5 3 3 2 9" xfId="57076"/>
    <cellStyle name="Note 5 3 3 3" xfId="57077"/>
    <cellStyle name="Note 5 3 3 3 2" xfId="57078"/>
    <cellStyle name="Note 5 3 3 3 2 2" xfId="57079"/>
    <cellStyle name="Note 5 3 3 3 2 3" xfId="57080"/>
    <cellStyle name="Note 5 3 3 3 3" xfId="57081"/>
    <cellStyle name="Note 5 3 3 3 3 2" xfId="57082"/>
    <cellStyle name="Note 5 3 3 3 3 3" xfId="57083"/>
    <cellStyle name="Note 5 3 3 3 4" xfId="57084"/>
    <cellStyle name="Note 5 3 3 3 4 2" xfId="57085"/>
    <cellStyle name="Note 5 3 3 3 5" xfId="57086"/>
    <cellStyle name="Note 5 3 3 3 6" xfId="57087"/>
    <cellStyle name="Note 5 3 3 4" xfId="57088"/>
    <cellStyle name="Note 5 3 3 4 2" xfId="57089"/>
    <cellStyle name="Note 5 3 3 4 2 2" xfId="57090"/>
    <cellStyle name="Note 5 3 3 4 2 3" xfId="57091"/>
    <cellStyle name="Note 5 3 3 4 3" xfId="57092"/>
    <cellStyle name="Note 5 3 3 4 3 2" xfId="57093"/>
    <cellStyle name="Note 5 3 3 4 3 3" xfId="57094"/>
    <cellStyle name="Note 5 3 3 4 4" xfId="57095"/>
    <cellStyle name="Note 5 3 3 4 4 2" xfId="57096"/>
    <cellStyle name="Note 5 3 3 4 5" xfId="57097"/>
    <cellStyle name="Note 5 3 3 4 6" xfId="57098"/>
    <cellStyle name="Note 5 3 3 5" xfId="57099"/>
    <cellStyle name="Note 5 3 3 5 2" xfId="57100"/>
    <cellStyle name="Note 5 3 3 5 2 2" xfId="57101"/>
    <cellStyle name="Note 5 3 3 5 2 3" xfId="57102"/>
    <cellStyle name="Note 5 3 3 5 3" xfId="57103"/>
    <cellStyle name="Note 5 3 3 5 3 2" xfId="57104"/>
    <cellStyle name="Note 5 3 3 5 4" xfId="57105"/>
    <cellStyle name="Note 5 3 3 5 5" xfId="57106"/>
    <cellStyle name="Note 5 3 3 6" xfId="57107"/>
    <cellStyle name="Note 5 3 3 6 2" xfId="57108"/>
    <cellStyle name="Note 5 3 3 6 3" xfId="57109"/>
    <cellStyle name="Note 5 3 3 7" xfId="57110"/>
    <cellStyle name="Note 5 3 3 7 2" xfId="57111"/>
    <cellStyle name="Note 5 3 3 7 3" xfId="57112"/>
    <cellStyle name="Note 5 3 3 8" xfId="57113"/>
    <cellStyle name="Note 5 3 3 8 2" xfId="57114"/>
    <cellStyle name="Note 5 3 3 9" xfId="57115"/>
    <cellStyle name="Note 5 3 4" xfId="9347"/>
    <cellStyle name="Note 5 3 4 2" xfId="57116"/>
    <cellStyle name="Note 5 3 4 2 2" xfId="57117"/>
    <cellStyle name="Note 5 3 4 2 2 2" xfId="57118"/>
    <cellStyle name="Note 5 3 4 2 2 3" xfId="57119"/>
    <cellStyle name="Note 5 3 4 2 3" xfId="57120"/>
    <cellStyle name="Note 5 3 4 2 3 2" xfId="57121"/>
    <cellStyle name="Note 5 3 4 2 3 3" xfId="57122"/>
    <cellStyle name="Note 5 3 4 2 4" xfId="57123"/>
    <cellStyle name="Note 5 3 4 2 4 2" xfId="57124"/>
    <cellStyle name="Note 5 3 4 2 5" xfId="57125"/>
    <cellStyle name="Note 5 3 4 2 6" xfId="57126"/>
    <cellStyle name="Note 5 3 4 3" xfId="57127"/>
    <cellStyle name="Note 5 3 4 3 2" xfId="57128"/>
    <cellStyle name="Note 5 3 4 3 2 2" xfId="57129"/>
    <cellStyle name="Note 5 3 4 3 2 3" xfId="57130"/>
    <cellStyle name="Note 5 3 4 3 3" xfId="57131"/>
    <cellStyle name="Note 5 3 4 3 3 2" xfId="57132"/>
    <cellStyle name="Note 5 3 4 3 3 3" xfId="57133"/>
    <cellStyle name="Note 5 3 4 3 4" xfId="57134"/>
    <cellStyle name="Note 5 3 4 3 4 2" xfId="57135"/>
    <cellStyle name="Note 5 3 4 3 5" xfId="57136"/>
    <cellStyle name="Note 5 3 4 3 6" xfId="57137"/>
    <cellStyle name="Note 5 3 4 4" xfId="57138"/>
    <cellStyle name="Note 5 3 4 4 2" xfId="57139"/>
    <cellStyle name="Note 5 3 4 4 2 2" xfId="57140"/>
    <cellStyle name="Note 5 3 4 4 2 3" xfId="57141"/>
    <cellStyle name="Note 5 3 4 4 3" xfId="57142"/>
    <cellStyle name="Note 5 3 4 4 3 2" xfId="57143"/>
    <cellStyle name="Note 5 3 4 4 4" xfId="57144"/>
    <cellStyle name="Note 5 3 4 4 5" xfId="57145"/>
    <cellStyle name="Note 5 3 4 5" xfId="57146"/>
    <cellStyle name="Note 5 3 4 5 2" xfId="57147"/>
    <cellStyle name="Note 5 3 4 5 3" xfId="57148"/>
    <cellStyle name="Note 5 3 4 6" xfId="57149"/>
    <cellStyle name="Note 5 3 4 6 2" xfId="57150"/>
    <cellStyle name="Note 5 3 4 6 3" xfId="57151"/>
    <cellStyle name="Note 5 3 4 7" xfId="57152"/>
    <cellStyle name="Note 5 3 4 7 2" xfId="57153"/>
    <cellStyle name="Note 5 3 4 8" xfId="57154"/>
    <cellStyle name="Note 5 3 4 9" xfId="57155"/>
    <cellStyle name="Note 5 3 5" xfId="57156"/>
    <cellStyle name="Note 5 3 5 2" xfId="57157"/>
    <cellStyle name="Note 5 3 5 2 2" xfId="57158"/>
    <cellStyle name="Note 5 3 5 2 2 2" xfId="57159"/>
    <cellStyle name="Note 5 3 5 2 2 3" xfId="57160"/>
    <cellStyle name="Note 5 3 5 2 3" xfId="57161"/>
    <cellStyle name="Note 5 3 5 2 3 2" xfId="57162"/>
    <cellStyle name="Note 5 3 5 2 3 3" xfId="57163"/>
    <cellStyle name="Note 5 3 5 2 4" xfId="57164"/>
    <cellStyle name="Note 5 3 5 2 4 2" xfId="57165"/>
    <cellStyle name="Note 5 3 5 2 5" xfId="57166"/>
    <cellStyle name="Note 5 3 5 2 6" xfId="57167"/>
    <cellStyle name="Note 5 3 5 3" xfId="57168"/>
    <cellStyle name="Note 5 3 5 3 2" xfId="57169"/>
    <cellStyle name="Note 5 3 5 3 2 2" xfId="57170"/>
    <cellStyle name="Note 5 3 5 3 2 3" xfId="57171"/>
    <cellStyle name="Note 5 3 5 3 3" xfId="57172"/>
    <cellStyle name="Note 5 3 5 3 3 2" xfId="57173"/>
    <cellStyle name="Note 5 3 5 3 3 3" xfId="57174"/>
    <cellStyle name="Note 5 3 5 3 4" xfId="57175"/>
    <cellStyle name="Note 5 3 5 3 4 2" xfId="57176"/>
    <cellStyle name="Note 5 3 5 3 5" xfId="57177"/>
    <cellStyle name="Note 5 3 5 3 6" xfId="57178"/>
    <cellStyle name="Note 5 3 5 4" xfId="57179"/>
    <cellStyle name="Note 5 3 5 4 2" xfId="57180"/>
    <cellStyle name="Note 5 3 5 4 2 2" xfId="57181"/>
    <cellStyle name="Note 5 3 5 4 2 3" xfId="57182"/>
    <cellStyle name="Note 5 3 5 4 3" xfId="57183"/>
    <cellStyle name="Note 5 3 5 4 3 2" xfId="57184"/>
    <cellStyle name="Note 5 3 5 4 4" xfId="57185"/>
    <cellStyle name="Note 5 3 5 4 5" xfId="57186"/>
    <cellStyle name="Note 5 3 5 5" xfId="57187"/>
    <cellStyle name="Note 5 3 5 5 2" xfId="57188"/>
    <cellStyle name="Note 5 3 5 5 3" xfId="57189"/>
    <cellStyle name="Note 5 3 5 6" xfId="57190"/>
    <cellStyle name="Note 5 3 5 6 2" xfId="57191"/>
    <cellStyle name="Note 5 3 5 6 3" xfId="57192"/>
    <cellStyle name="Note 5 3 5 7" xfId="57193"/>
    <cellStyle name="Note 5 3 5 7 2" xfId="57194"/>
    <cellStyle name="Note 5 3 5 8" xfId="57195"/>
    <cellStyle name="Note 5 3 5 9" xfId="57196"/>
    <cellStyle name="Note 5 3 6" xfId="57197"/>
    <cellStyle name="Note 5 3 6 2" xfId="57198"/>
    <cellStyle name="Note 5 3 6 2 2" xfId="57199"/>
    <cellStyle name="Note 5 3 6 2 3" xfId="57200"/>
    <cellStyle name="Note 5 3 6 3" xfId="57201"/>
    <cellStyle name="Note 5 3 6 3 2" xfId="57202"/>
    <cellStyle name="Note 5 3 6 3 3" xfId="57203"/>
    <cellStyle name="Note 5 3 6 4" xfId="57204"/>
    <cellStyle name="Note 5 3 6 4 2" xfId="57205"/>
    <cellStyle name="Note 5 3 6 5" xfId="57206"/>
    <cellStyle name="Note 5 3 6 6" xfId="57207"/>
    <cellStyle name="Note 5 3 7" xfId="57208"/>
    <cellStyle name="Note 5 3 7 2" xfId="57209"/>
    <cellStyle name="Note 5 3 7 2 2" xfId="57210"/>
    <cellStyle name="Note 5 3 7 2 3" xfId="57211"/>
    <cellStyle name="Note 5 3 7 3" xfId="57212"/>
    <cellStyle name="Note 5 3 7 3 2" xfId="57213"/>
    <cellStyle name="Note 5 3 7 3 3" xfId="57214"/>
    <cellStyle name="Note 5 3 7 4" xfId="57215"/>
    <cellStyle name="Note 5 3 7 4 2" xfId="57216"/>
    <cellStyle name="Note 5 3 7 5" xfId="57217"/>
    <cellStyle name="Note 5 3 7 6" xfId="57218"/>
    <cellStyle name="Note 5 3 8" xfId="57219"/>
    <cellStyle name="Note 5 3 8 2" xfId="57220"/>
    <cellStyle name="Note 5 3 8 2 2" xfId="57221"/>
    <cellStyle name="Note 5 3 8 2 3" xfId="57222"/>
    <cellStyle name="Note 5 3 8 3" xfId="57223"/>
    <cellStyle name="Note 5 3 8 3 2" xfId="57224"/>
    <cellStyle name="Note 5 3 8 4" xfId="57225"/>
    <cellStyle name="Note 5 3 8 5" xfId="57226"/>
    <cellStyle name="Note 5 3 9" xfId="57227"/>
    <cellStyle name="Note 5 3 9 2" xfId="57228"/>
    <cellStyle name="Note 5 3 9 3" xfId="57229"/>
    <cellStyle name="Note 5 4" xfId="6138"/>
    <cellStyle name="Note 5 4 10" xfId="57230"/>
    <cellStyle name="Note 5 4 10 2" xfId="57231"/>
    <cellStyle name="Note 5 4 11" xfId="57232"/>
    <cellStyle name="Note 5 4 12" xfId="57233"/>
    <cellStyle name="Note 5 4 2" xfId="6139"/>
    <cellStyle name="Note 5 4 2 10" xfId="57234"/>
    <cellStyle name="Note 5 4 2 2" xfId="57235"/>
    <cellStyle name="Note 5 4 2 2 2" xfId="57236"/>
    <cellStyle name="Note 5 4 2 2 2 2" xfId="57237"/>
    <cellStyle name="Note 5 4 2 2 2 2 2" xfId="57238"/>
    <cellStyle name="Note 5 4 2 2 2 2 3" xfId="57239"/>
    <cellStyle name="Note 5 4 2 2 2 3" xfId="57240"/>
    <cellStyle name="Note 5 4 2 2 2 3 2" xfId="57241"/>
    <cellStyle name="Note 5 4 2 2 2 3 3" xfId="57242"/>
    <cellStyle name="Note 5 4 2 2 2 4" xfId="57243"/>
    <cellStyle name="Note 5 4 2 2 2 4 2" xfId="57244"/>
    <cellStyle name="Note 5 4 2 2 2 5" xfId="57245"/>
    <cellStyle name="Note 5 4 2 2 2 6" xfId="57246"/>
    <cellStyle name="Note 5 4 2 2 3" xfId="57247"/>
    <cellStyle name="Note 5 4 2 2 3 2" xfId="57248"/>
    <cellStyle name="Note 5 4 2 2 3 2 2" xfId="57249"/>
    <cellStyle name="Note 5 4 2 2 3 2 3" xfId="57250"/>
    <cellStyle name="Note 5 4 2 2 3 3" xfId="57251"/>
    <cellStyle name="Note 5 4 2 2 3 3 2" xfId="57252"/>
    <cellStyle name="Note 5 4 2 2 3 3 3" xfId="57253"/>
    <cellStyle name="Note 5 4 2 2 3 4" xfId="57254"/>
    <cellStyle name="Note 5 4 2 2 3 4 2" xfId="57255"/>
    <cellStyle name="Note 5 4 2 2 3 5" xfId="57256"/>
    <cellStyle name="Note 5 4 2 2 3 6" xfId="57257"/>
    <cellStyle name="Note 5 4 2 2 4" xfId="57258"/>
    <cellStyle name="Note 5 4 2 2 4 2" xfId="57259"/>
    <cellStyle name="Note 5 4 2 2 4 2 2" xfId="57260"/>
    <cellStyle name="Note 5 4 2 2 4 2 3" xfId="57261"/>
    <cellStyle name="Note 5 4 2 2 4 3" xfId="57262"/>
    <cellStyle name="Note 5 4 2 2 4 3 2" xfId="57263"/>
    <cellStyle name="Note 5 4 2 2 4 4" xfId="57264"/>
    <cellStyle name="Note 5 4 2 2 4 5" xfId="57265"/>
    <cellStyle name="Note 5 4 2 2 5" xfId="57266"/>
    <cellStyle name="Note 5 4 2 2 5 2" xfId="57267"/>
    <cellStyle name="Note 5 4 2 2 5 3" xfId="57268"/>
    <cellStyle name="Note 5 4 2 2 6" xfId="57269"/>
    <cellStyle name="Note 5 4 2 2 6 2" xfId="57270"/>
    <cellStyle name="Note 5 4 2 2 6 3" xfId="57271"/>
    <cellStyle name="Note 5 4 2 2 7" xfId="57272"/>
    <cellStyle name="Note 5 4 2 2 7 2" xfId="57273"/>
    <cellStyle name="Note 5 4 2 2 8" xfId="57274"/>
    <cellStyle name="Note 5 4 2 2 9" xfId="57275"/>
    <cellStyle name="Note 5 4 2 3" xfId="57276"/>
    <cellStyle name="Note 5 4 2 3 2" xfId="57277"/>
    <cellStyle name="Note 5 4 2 3 2 2" xfId="57278"/>
    <cellStyle name="Note 5 4 2 3 2 3" xfId="57279"/>
    <cellStyle name="Note 5 4 2 3 3" xfId="57280"/>
    <cellStyle name="Note 5 4 2 3 3 2" xfId="57281"/>
    <cellStyle name="Note 5 4 2 3 3 3" xfId="57282"/>
    <cellStyle name="Note 5 4 2 3 4" xfId="57283"/>
    <cellStyle name="Note 5 4 2 3 4 2" xfId="57284"/>
    <cellStyle name="Note 5 4 2 3 5" xfId="57285"/>
    <cellStyle name="Note 5 4 2 3 6" xfId="57286"/>
    <cellStyle name="Note 5 4 2 4" xfId="57287"/>
    <cellStyle name="Note 5 4 2 4 2" xfId="57288"/>
    <cellStyle name="Note 5 4 2 4 2 2" xfId="57289"/>
    <cellStyle name="Note 5 4 2 4 2 3" xfId="57290"/>
    <cellStyle name="Note 5 4 2 4 3" xfId="57291"/>
    <cellStyle name="Note 5 4 2 4 3 2" xfId="57292"/>
    <cellStyle name="Note 5 4 2 4 3 3" xfId="57293"/>
    <cellStyle name="Note 5 4 2 4 4" xfId="57294"/>
    <cellStyle name="Note 5 4 2 4 4 2" xfId="57295"/>
    <cellStyle name="Note 5 4 2 4 5" xfId="57296"/>
    <cellStyle name="Note 5 4 2 4 6" xfId="57297"/>
    <cellStyle name="Note 5 4 2 5" xfId="57298"/>
    <cellStyle name="Note 5 4 2 5 2" xfId="57299"/>
    <cellStyle name="Note 5 4 2 5 2 2" xfId="57300"/>
    <cellStyle name="Note 5 4 2 5 2 3" xfId="57301"/>
    <cellStyle name="Note 5 4 2 5 3" xfId="57302"/>
    <cellStyle name="Note 5 4 2 5 3 2" xfId="57303"/>
    <cellStyle name="Note 5 4 2 5 4" xfId="57304"/>
    <cellStyle name="Note 5 4 2 5 5" xfId="57305"/>
    <cellStyle name="Note 5 4 2 6" xfId="57306"/>
    <cellStyle name="Note 5 4 2 6 2" xfId="57307"/>
    <cellStyle name="Note 5 4 2 6 3" xfId="57308"/>
    <cellStyle name="Note 5 4 2 7" xfId="57309"/>
    <cellStyle name="Note 5 4 2 7 2" xfId="57310"/>
    <cellStyle name="Note 5 4 2 7 3" xfId="57311"/>
    <cellStyle name="Note 5 4 2 8" xfId="57312"/>
    <cellStyle name="Note 5 4 2 8 2" xfId="57313"/>
    <cellStyle name="Note 5 4 2 9" xfId="57314"/>
    <cellStyle name="Note 5 4 3" xfId="9348"/>
    <cellStyle name="Note 5 4 3 2" xfId="57315"/>
    <cellStyle name="Note 5 4 3 2 2" xfId="57316"/>
    <cellStyle name="Note 5 4 3 2 2 2" xfId="57317"/>
    <cellStyle name="Note 5 4 3 2 2 3" xfId="57318"/>
    <cellStyle name="Note 5 4 3 2 3" xfId="57319"/>
    <cellStyle name="Note 5 4 3 2 3 2" xfId="57320"/>
    <cellStyle name="Note 5 4 3 2 3 3" xfId="57321"/>
    <cellStyle name="Note 5 4 3 2 4" xfId="57322"/>
    <cellStyle name="Note 5 4 3 2 4 2" xfId="57323"/>
    <cellStyle name="Note 5 4 3 2 5" xfId="57324"/>
    <cellStyle name="Note 5 4 3 2 6" xfId="57325"/>
    <cellStyle name="Note 5 4 3 3" xfId="57326"/>
    <cellStyle name="Note 5 4 3 3 2" xfId="57327"/>
    <cellStyle name="Note 5 4 3 3 2 2" xfId="57328"/>
    <cellStyle name="Note 5 4 3 3 2 3" xfId="57329"/>
    <cellStyle name="Note 5 4 3 3 3" xfId="57330"/>
    <cellStyle name="Note 5 4 3 3 3 2" xfId="57331"/>
    <cellStyle name="Note 5 4 3 3 3 3" xfId="57332"/>
    <cellStyle name="Note 5 4 3 3 4" xfId="57333"/>
    <cellStyle name="Note 5 4 3 3 4 2" xfId="57334"/>
    <cellStyle name="Note 5 4 3 3 5" xfId="57335"/>
    <cellStyle name="Note 5 4 3 3 6" xfId="57336"/>
    <cellStyle name="Note 5 4 3 4" xfId="57337"/>
    <cellStyle name="Note 5 4 3 4 2" xfId="57338"/>
    <cellStyle name="Note 5 4 3 4 2 2" xfId="57339"/>
    <cellStyle name="Note 5 4 3 4 2 3" xfId="57340"/>
    <cellStyle name="Note 5 4 3 4 3" xfId="57341"/>
    <cellStyle name="Note 5 4 3 4 3 2" xfId="57342"/>
    <cellStyle name="Note 5 4 3 4 4" xfId="57343"/>
    <cellStyle name="Note 5 4 3 4 5" xfId="57344"/>
    <cellStyle name="Note 5 4 3 5" xfId="57345"/>
    <cellStyle name="Note 5 4 3 5 2" xfId="57346"/>
    <cellStyle name="Note 5 4 3 5 3" xfId="57347"/>
    <cellStyle name="Note 5 4 3 6" xfId="57348"/>
    <cellStyle name="Note 5 4 3 6 2" xfId="57349"/>
    <cellStyle name="Note 5 4 3 6 3" xfId="57350"/>
    <cellStyle name="Note 5 4 3 7" xfId="57351"/>
    <cellStyle name="Note 5 4 3 7 2" xfId="57352"/>
    <cellStyle name="Note 5 4 3 8" xfId="57353"/>
    <cellStyle name="Note 5 4 3 9" xfId="57354"/>
    <cellStyle name="Note 5 4 4" xfId="57355"/>
    <cellStyle name="Note 5 4 4 2" xfId="57356"/>
    <cellStyle name="Note 5 4 4 2 2" xfId="57357"/>
    <cellStyle name="Note 5 4 4 2 2 2" xfId="57358"/>
    <cellStyle name="Note 5 4 4 2 2 3" xfId="57359"/>
    <cellStyle name="Note 5 4 4 2 3" xfId="57360"/>
    <cellStyle name="Note 5 4 4 2 3 2" xfId="57361"/>
    <cellStyle name="Note 5 4 4 2 3 3" xfId="57362"/>
    <cellStyle name="Note 5 4 4 2 4" xfId="57363"/>
    <cellStyle name="Note 5 4 4 2 4 2" xfId="57364"/>
    <cellStyle name="Note 5 4 4 2 5" xfId="57365"/>
    <cellStyle name="Note 5 4 4 2 6" xfId="57366"/>
    <cellStyle name="Note 5 4 4 3" xfId="57367"/>
    <cellStyle name="Note 5 4 4 3 2" xfId="57368"/>
    <cellStyle name="Note 5 4 4 3 2 2" xfId="57369"/>
    <cellStyle name="Note 5 4 4 3 2 3" xfId="57370"/>
    <cellStyle name="Note 5 4 4 3 3" xfId="57371"/>
    <cellStyle name="Note 5 4 4 3 3 2" xfId="57372"/>
    <cellStyle name="Note 5 4 4 3 3 3" xfId="57373"/>
    <cellStyle name="Note 5 4 4 3 4" xfId="57374"/>
    <cellStyle name="Note 5 4 4 3 4 2" xfId="57375"/>
    <cellStyle name="Note 5 4 4 3 5" xfId="57376"/>
    <cellStyle name="Note 5 4 4 3 6" xfId="57377"/>
    <cellStyle name="Note 5 4 4 4" xfId="57378"/>
    <cellStyle name="Note 5 4 4 4 2" xfId="57379"/>
    <cellStyle name="Note 5 4 4 4 2 2" xfId="57380"/>
    <cellStyle name="Note 5 4 4 4 2 3" xfId="57381"/>
    <cellStyle name="Note 5 4 4 4 3" xfId="57382"/>
    <cellStyle name="Note 5 4 4 4 3 2" xfId="57383"/>
    <cellStyle name="Note 5 4 4 4 4" xfId="57384"/>
    <cellStyle name="Note 5 4 4 4 5" xfId="57385"/>
    <cellStyle name="Note 5 4 4 5" xfId="57386"/>
    <cellStyle name="Note 5 4 4 5 2" xfId="57387"/>
    <cellStyle name="Note 5 4 4 5 3" xfId="57388"/>
    <cellStyle name="Note 5 4 4 6" xfId="57389"/>
    <cellStyle name="Note 5 4 4 6 2" xfId="57390"/>
    <cellStyle name="Note 5 4 4 6 3" xfId="57391"/>
    <cellStyle name="Note 5 4 4 7" xfId="57392"/>
    <cellStyle name="Note 5 4 4 7 2" xfId="57393"/>
    <cellStyle name="Note 5 4 4 8" xfId="57394"/>
    <cellStyle name="Note 5 4 4 9" xfId="57395"/>
    <cellStyle name="Note 5 4 5" xfId="57396"/>
    <cellStyle name="Note 5 4 5 2" xfId="57397"/>
    <cellStyle name="Note 5 4 5 2 2" xfId="57398"/>
    <cellStyle name="Note 5 4 5 2 3" xfId="57399"/>
    <cellStyle name="Note 5 4 5 3" xfId="57400"/>
    <cellStyle name="Note 5 4 5 3 2" xfId="57401"/>
    <cellStyle name="Note 5 4 5 3 3" xfId="57402"/>
    <cellStyle name="Note 5 4 5 4" xfId="57403"/>
    <cellStyle name="Note 5 4 5 4 2" xfId="57404"/>
    <cellStyle name="Note 5 4 5 5" xfId="57405"/>
    <cellStyle name="Note 5 4 5 6" xfId="57406"/>
    <cellStyle name="Note 5 4 6" xfId="57407"/>
    <cellStyle name="Note 5 4 6 2" xfId="57408"/>
    <cellStyle name="Note 5 4 6 2 2" xfId="57409"/>
    <cellStyle name="Note 5 4 6 2 3" xfId="57410"/>
    <cellStyle name="Note 5 4 6 3" xfId="57411"/>
    <cellStyle name="Note 5 4 6 3 2" xfId="57412"/>
    <cellStyle name="Note 5 4 6 3 3" xfId="57413"/>
    <cellStyle name="Note 5 4 6 4" xfId="57414"/>
    <cellStyle name="Note 5 4 6 4 2" xfId="57415"/>
    <cellStyle name="Note 5 4 6 5" xfId="57416"/>
    <cellStyle name="Note 5 4 6 6" xfId="57417"/>
    <cellStyle name="Note 5 4 7" xfId="57418"/>
    <cellStyle name="Note 5 4 7 2" xfId="57419"/>
    <cellStyle name="Note 5 4 7 2 2" xfId="57420"/>
    <cellStyle name="Note 5 4 7 2 3" xfId="57421"/>
    <cellStyle name="Note 5 4 7 3" xfId="57422"/>
    <cellStyle name="Note 5 4 7 3 2" xfId="57423"/>
    <cellStyle name="Note 5 4 7 4" xfId="57424"/>
    <cellStyle name="Note 5 4 7 5" xfId="57425"/>
    <cellStyle name="Note 5 4 8" xfId="57426"/>
    <cellStyle name="Note 5 4 8 2" xfId="57427"/>
    <cellStyle name="Note 5 4 8 3" xfId="57428"/>
    <cellStyle name="Note 5 4 9" xfId="57429"/>
    <cellStyle name="Note 5 4 9 2" xfId="57430"/>
    <cellStyle name="Note 5 4 9 3" xfId="57431"/>
    <cellStyle name="Note 5 5" xfId="6140"/>
    <cellStyle name="Note 5 5 10" xfId="57432"/>
    <cellStyle name="Note 5 5 2" xfId="57433"/>
    <cellStyle name="Note 5 5 2 2" xfId="57434"/>
    <cellStyle name="Note 5 5 2 2 2" xfId="57435"/>
    <cellStyle name="Note 5 5 2 2 2 2" xfId="57436"/>
    <cellStyle name="Note 5 5 2 2 2 3" xfId="57437"/>
    <cellStyle name="Note 5 5 2 2 3" xfId="57438"/>
    <cellStyle name="Note 5 5 2 2 3 2" xfId="57439"/>
    <cellStyle name="Note 5 5 2 2 3 3" xfId="57440"/>
    <cellStyle name="Note 5 5 2 2 4" xfId="57441"/>
    <cellStyle name="Note 5 5 2 2 4 2" xfId="57442"/>
    <cellStyle name="Note 5 5 2 2 5" xfId="57443"/>
    <cellStyle name="Note 5 5 2 2 6" xfId="57444"/>
    <cellStyle name="Note 5 5 2 3" xfId="57445"/>
    <cellStyle name="Note 5 5 2 3 2" xfId="57446"/>
    <cellStyle name="Note 5 5 2 3 2 2" xfId="57447"/>
    <cellStyle name="Note 5 5 2 3 2 3" xfId="57448"/>
    <cellStyle name="Note 5 5 2 3 3" xfId="57449"/>
    <cellStyle name="Note 5 5 2 3 3 2" xfId="57450"/>
    <cellStyle name="Note 5 5 2 3 3 3" xfId="57451"/>
    <cellStyle name="Note 5 5 2 3 4" xfId="57452"/>
    <cellStyle name="Note 5 5 2 3 4 2" xfId="57453"/>
    <cellStyle name="Note 5 5 2 3 5" xfId="57454"/>
    <cellStyle name="Note 5 5 2 3 6" xfId="57455"/>
    <cellStyle name="Note 5 5 2 4" xfId="57456"/>
    <cellStyle name="Note 5 5 2 4 2" xfId="57457"/>
    <cellStyle name="Note 5 5 2 4 2 2" xfId="57458"/>
    <cellStyle name="Note 5 5 2 4 2 3" xfId="57459"/>
    <cellStyle name="Note 5 5 2 4 3" xfId="57460"/>
    <cellStyle name="Note 5 5 2 4 3 2" xfId="57461"/>
    <cellStyle name="Note 5 5 2 4 4" xfId="57462"/>
    <cellStyle name="Note 5 5 2 4 5" xfId="57463"/>
    <cellStyle name="Note 5 5 2 5" xfId="57464"/>
    <cellStyle name="Note 5 5 2 5 2" xfId="57465"/>
    <cellStyle name="Note 5 5 2 5 3" xfId="57466"/>
    <cellStyle name="Note 5 5 2 6" xfId="57467"/>
    <cellStyle name="Note 5 5 2 6 2" xfId="57468"/>
    <cellStyle name="Note 5 5 2 6 3" xfId="57469"/>
    <cellStyle name="Note 5 5 2 7" xfId="57470"/>
    <cellStyle name="Note 5 5 2 7 2" xfId="57471"/>
    <cellStyle name="Note 5 5 2 8" xfId="57472"/>
    <cellStyle name="Note 5 5 2 9" xfId="57473"/>
    <cellStyle name="Note 5 5 3" xfId="57474"/>
    <cellStyle name="Note 5 5 3 2" xfId="57475"/>
    <cellStyle name="Note 5 5 3 2 2" xfId="57476"/>
    <cellStyle name="Note 5 5 3 2 3" xfId="57477"/>
    <cellStyle name="Note 5 5 3 3" xfId="57478"/>
    <cellStyle name="Note 5 5 3 3 2" xfId="57479"/>
    <cellStyle name="Note 5 5 3 3 3" xfId="57480"/>
    <cellStyle name="Note 5 5 3 4" xfId="57481"/>
    <cellStyle name="Note 5 5 3 4 2" xfId="57482"/>
    <cellStyle name="Note 5 5 3 5" xfId="57483"/>
    <cellStyle name="Note 5 5 3 6" xfId="57484"/>
    <cellStyle name="Note 5 5 4" xfId="57485"/>
    <cellStyle name="Note 5 5 4 2" xfId="57486"/>
    <cellStyle name="Note 5 5 4 2 2" xfId="57487"/>
    <cellStyle name="Note 5 5 4 2 3" xfId="57488"/>
    <cellStyle name="Note 5 5 4 3" xfId="57489"/>
    <cellStyle name="Note 5 5 4 3 2" xfId="57490"/>
    <cellStyle name="Note 5 5 4 3 3" xfId="57491"/>
    <cellStyle name="Note 5 5 4 4" xfId="57492"/>
    <cellStyle name="Note 5 5 4 4 2" xfId="57493"/>
    <cellStyle name="Note 5 5 4 5" xfId="57494"/>
    <cellStyle name="Note 5 5 4 6" xfId="57495"/>
    <cellStyle name="Note 5 5 5" xfId="57496"/>
    <cellStyle name="Note 5 5 5 2" xfId="57497"/>
    <cellStyle name="Note 5 5 5 2 2" xfId="57498"/>
    <cellStyle name="Note 5 5 5 2 3" xfId="57499"/>
    <cellStyle name="Note 5 5 5 3" xfId="57500"/>
    <cellStyle name="Note 5 5 5 3 2" xfId="57501"/>
    <cellStyle name="Note 5 5 5 4" xfId="57502"/>
    <cellStyle name="Note 5 5 5 5" xfId="57503"/>
    <cellStyle name="Note 5 5 6" xfId="57504"/>
    <cellStyle name="Note 5 5 6 2" xfId="57505"/>
    <cellStyle name="Note 5 5 6 3" xfId="57506"/>
    <cellStyle name="Note 5 5 7" xfId="57507"/>
    <cellStyle name="Note 5 5 7 2" xfId="57508"/>
    <cellStyle name="Note 5 5 7 3" xfId="57509"/>
    <cellStyle name="Note 5 5 8" xfId="57510"/>
    <cellStyle name="Note 5 5 8 2" xfId="57511"/>
    <cellStyle name="Note 5 5 9" xfId="57512"/>
    <cellStyle name="Note 5 6" xfId="6141"/>
    <cellStyle name="Note 5 6 2" xfId="57513"/>
    <cellStyle name="Note 5 6 2 2" xfId="57514"/>
    <cellStyle name="Note 5 6 2 2 2" xfId="57515"/>
    <cellStyle name="Note 5 6 2 2 3" xfId="57516"/>
    <cellStyle name="Note 5 6 2 3" xfId="57517"/>
    <cellStyle name="Note 5 6 2 3 2" xfId="57518"/>
    <cellStyle name="Note 5 6 2 3 3" xfId="57519"/>
    <cellStyle name="Note 5 6 2 4" xfId="57520"/>
    <cellStyle name="Note 5 6 2 4 2" xfId="57521"/>
    <cellStyle name="Note 5 6 2 5" xfId="57522"/>
    <cellStyle name="Note 5 6 2 6" xfId="57523"/>
    <cellStyle name="Note 5 6 3" xfId="57524"/>
    <cellStyle name="Note 5 6 3 2" xfId="57525"/>
    <cellStyle name="Note 5 6 3 2 2" xfId="57526"/>
    <cellStyle name="Note 5 6 3 2 3" xfId="57527"/>
    <cellStyle name="Note 5 6 3 3" xfId="57528"/>
    <cellStyle name="Note 5 6 3 3 2" xfId="57529"/>
    <cellStyle name="Note 5 6 3 3 3" xfId="57530"/>
    <cellStyle name="Note 5 6 3 4" xfId="57531"/>
    <cellStyle name="Note 5 6 3 4 2" xfId="57532"/>
    <cellStyle name="Note 5 6 3 5" xfId="57533"/>
    <cellStyle name="Note 5 6 3 6" xfId="57534"/>
    <cellStyle name="Note 5 6 4" xfId="57535"/>
    <cellStyle name="Note 5 6 4 2" xfId="57536"/>
    <cellStyle name="Note 5 6 4 2 2" xfId="57537"/>
    <cellStyle name="Note 5 6 4 2 3" xfId="57538"/>
    <cellStyle name="Note 5 6 4 3" xfId="57539"/>
    <cellStyle name="Note 5 6 4 3 2" xfId="57540"/>
    <cellStyle name="Note 5 6 4 4" xfId="57541"/>
    <cellStyle name="Note 5 6 4 5" xfId="57542"/>
    <cellStyle name="Note 5 6 5" xfId="57543"/>
    <cellStyle name="Note 5 6 5 2" xfId="57544"/>
    <cellStyle name="Note 5 6 5 3" xfId="57545"/>
    <cellStyle name="Note 5 6 6" xfId="57546"/>
    <cellStyle name="Note 5 6 6 2" xfId="57547"/>
    <cellStyle name="Note 5 6 6 3" xfId="57548"/>
    <cellStyle name="Note 5 6 7" xfId="57549"/>
    <cellStyle name="Note 5 6 7 2" xfId="57550"/>
    <cellStyle name="Note 5 6 8" xfId="57551"/>
    <cellStyle name="Note 5 6 9" xfId="57552"/>
    <cellStyle name="Note 5 7" xfId="6142"/>
    <cellStyle name="Note 5 7 2" xfId="57553"/>
    <cellStyle name="Note 5 7 2 2" xfId="57554"/>
    <cellStyle name="Note 5 7 2 2 2" xfId="57555"/>
    <cellStyle name="Note 5 7 2 2 3" xfId="57556"/>
    <cellStyle name="Note 5 7 2 3" xfId="57557"/>
    <cellStyle name="Note 5 7 2 3 2" xfId="57558"/>
    <cellStyle name="Note 5 7 2 3 3" xfId="57559"/>
    <cellStyle name="Note 5 7 2 4" xfId="57560"/>
    <cellStyle name="Note 5 7 2 4 2" xfId="57561"/>
    <cellStyle name="Note 5 7 2 5" xfId="57562"/>
    <cellStyle name="Note 5 7 2 6" xfId="57563"/>
    <cellStyle name="Note 5 7 3" xfId="57564"/>
    <cellStyle name="Note 5 7 3 2" xfId="57565"/>
    <cellStyle name="Note 5 7 3 2 2" xfId="57566"/>
    <cellStyle name="Note 5 7 3 2 3" xfId="57567"/>
    <cellStyle name="Note 5 7 3 3" xfId="57568"/>
    <cellStyle name="Note 5 7 3 3 2" xfId="57569"/>
    <cellStyle name="Note 5 7 3 3 3" xfId="57570"/>
    <cellStyle name="Note 5 7 3 4" xfId="57571"/>
    <cellStyle name="Note 5 7 3 4 2" xfId="57572"/>
    <cellStyle name="Note 5 7 3 5" xfId="57573"/>
    <cellStyle name="Note 5 7 3 6" xfId="57574"/>
    <cellStyle name="Note 5 7 4" xfId="57575"/>
    <cellStyle name="Note 5 7 4 2" xfId="57576"/>
    <cellStyle name="Note 5 7 4 2 2" xfId="57577"/>
    <cellStyle name="Note 5 7 4 2 3" xfId="57578"/>
    <cellStyle name="Note 5 7 4 3" xfId="57579"/>
    <cellStyle name="Note 5 7 4 3 2" xfId="57580"/>
    <cellStyle name="Note 5 7 4 4" xfId="57581"/>
    <cellStyle name="Note 5 7 4 5" xfId="57582"/>
    <cellStyle name="Note 5 7 5" xfId="57583"/>
    <cellStyle name="Note 5 7 5 2" xfId="57584"/>
    <cellStyle name="Note 5 7 5 3" xfId="57585"/>
    <cellStyle name="Note 5 7 6" xfId="57586"/>
    <cellStyle name="Note 5 7 6 2" xfId="57587"/>
    <cellStyle name="Note 5 7 6 3" xfId="57588"/>
    <cellStyle name="Note 5 7 7" xfId="57589"/>
    <cellStyle name="Note 5 7 7 2" xfId="57590"/>
    <cellStyle name="Note 5 7 8" xfId="57591"/>
    <cellStyle name="Note 5 7 9" xfId="57592"/>
    <cellStyle name="Note 5 8" xfId="6143"/>
    <cellStyle name="Note 5 8 2" xfId="57593"/>
    <cellStyle name="Note 5 8 2 2" xfId="57594"/>
    <cellStyle name="Note 5 8 2 3" xfId="57595"/>
    <cellStyle name="Note 5 8 3" xfId="57596"/>
    <cellStyle name="Note 5 8 3 2" xfId="57597"/>
    <cellStyle name="Note 5 8 3 3" xfId="57598"/>
    <cellStyle name="Note 5 8 4" xfId="57599"/>
    <cellStyle name="Note 5 8 4 2" xfId="57600"/>
    <cellStyle name="Note 5 8 5" xfId="57601"/>
    <cellStyle name="Note 5 8 6" xfId="57602"/>
    <cellStyle name="Note 5 9" xfId="6144"/>
    <cellStyle name="Note 5 9 2" xfId="57603"/>
    <cellStyle name="Note 5 9 2 2" xfId="57604"/>
    <cellStyle name="Note 5 9 2 3" xfId="57605"/>
    <cellStyle name="Note 5 9 3" xfId="57606"/>
    <cellStyle name="Note 5 9 3 2" xfId="57607"/>
    <cellStyle name="Note 5 9 3 3" xfId="57608"/>
    <cellStyle name="Note 5 9 4" xfId="57609"/>
    <cellStyle name="Note 5 9 4 2" xfId="57610"/>
    <cellStyle name="Note 5 9 5" xfId="57611"/>
    <cellStyle name="Note 5 9 6" xfId="57612"/>
    <cellStyle name="Note 6" xfId="6145"/>
    <cellStyle name="Note 6 10" xfId="6146"/>
    <cellStyle name="Note 6 10 2" xfId="60543"/>
    <cellStyle name="Note 6 11" xfId="6147"/>
    <cellStyle name="Note 6 12" xfId="6148"/>
    <cellStyle name="Note 6 13" xfId="9349"/>
    <cellStyle name="Note 6 2" xfId="6149"/>
    <cellStyle name="Note 6 2 10" xfId="6150"/>
    <cellStyle name="Note 6 2 11" xfId="6151"/>
    <cellStyle name="Note 6 2 12" xfId="9350"/>
    <cellStyle name="Note 6 2 2" xfId="6152"/>
    <cellStyle name="Note 6 2 2 2" xfId="6153"/>
    <cellStyle name="Note 6 2 2 3" xfId="6154"/>
    <cellStyle name="Note 6 2 3" xfId="6155"/>
    <cellStyle name="Note 6 2 3 2" xfId="6156"/>
    <cellStyle name="Note 6 2 4" xfId="6157"/>
    <cellStyle name="Note 6 2 4 2" xfId="60544"/>
    <cellStyle name="Note 6 2 5" xfId="6158"/>
    <cellStyle name="Note 6 2 5 2" xfId="60545"/>
    <cellStyle name="Note 6 2 6" xfId="6159"/>
    <cellStyle name="Note 6 2 6 2" xfId="60546"/>
    <cellStyle name="Note 6 2 7" xfId="6160"/>
    <cellStyle name="Note 6 2 7 2" xfId="60547"/>
    <cellStyle name="Note 6 2 8" xfId="6161"/>
    <cellStyle name="Note 6 2 8 2" xfId="60548"/>
    <cellStyle name="Note 6 2 9" xfId="6162"/>
    <cellStyle name="Note 6 2 9 2" xfId="60549"/>
    <cellStyle name="Note 6 3" xfId="6163"/>
    <cellStyle name="Note 6 3 2" xfId="6164"/>
    <cellStyle name="Note 6 3 3" xfId="6165"/>
    <cellStyle name="Note 6 3 4" xfId="60550"/>
    <cellStyle name="Note 6 4" xfId="6166"/>
    <cellStyle name="Note 6 4 2" xfId="6167"/>
    <cellStyle name="Note 6 5" xfId="6168"/>
    <cellStyle name="Note 6 5 2" xfId="60551"/>
    <cellStyle name="Note 6 6" xfId="6169"/>
    <cellStyle name="Note 6 6 2" xfId="60552"/>
    <cellStyle name="Note 6 7" xfId="6170"/>
    <cellStyle name="Note 6 7 2" xfId="60553"/>
    <cellStyle name="Note 6 8" xfId="6171"/>
    <cellStyle name="Note 6 8 2" xfId="60554"/>
    <cellStyle name="Note 6 9" xfId="6172"/>
    <cellStyle name="Note 6 9 2" xfId="60555"/>
    <cellStyle name="Note 7" xfId="6173"/>
    <cellStyle name="Note 7 10" xfId="6174"/>
    <cellStyle name="Note 7 10 2" xfId="60556"/>
    <cellStyle name="Note 7 11" xfId="6175"/>
    <cellStyle name="Note 7 12" xfId="6176"/>
    <cellStyle name="Note 7 13" xfId="9351"/>
    <cellStyle name="Note 7 2" xfId="6177"/>
    <cellStyle name="Note 7 2 10" xfId="6178"/>
    <cellStyle name="Note 7 2 11" xfId="6179"/>
    <cellStyle name="Note 7 2 12" xfId="60557"/>
    <cellStyle name="Note 7 2 2" xfId="6180"/>
    <cellStyle name="Note 7 2 2 2" xfId="6181"/>
    <cellStyle name="Note 7 2 3" xfId="6182"/>
    <cellStyle name="Note 7 2 3 2" xfId="60558"/>
    <cellStyle name="Note 7 2 4" xfId="6183"/>
    <cellStyle name="Note 7 2 4 2" xfId="60559"/>
    <cellStyle name="Note 7 2 5" xfId="6184"/>
    <cellStyle name="Note 7 2 5 2" xfId="60560"/>
    <cellStyle name="Note 7 2 6" xfId="6185"/>
    <cellStyle name="Note 7 2 6 2" xfId="60561"/>
    <cellStyle name="Note 7 2 7" xfId="6186"/>
    <cellStyle name="Note 7 2 7 2" xfId="60562"/>
    <cellStyle name="Note 7 2 8" xfId="6187"/>
    <cellStyle name="Note 7 2 8 2" xfId="60563"/>
    <cellStyle name="Note 7 2 9" xfId="6188"/>
    <cellStyle name="Note 7 2 9 2" xfId="60564"/>
    <cellStyle name="Note 7 3" xfId="6189"/>
    <cellStyle name="Note 7 3 2" xfId="6190"/>
    <cellStyle name="Note 7 3 3" xfId="60565"/>
    <cellStyle name="Note 7 4" xfId="6191"/>
    <cellStyle name="Note 7 4 2" xfId="60566"/>
    <cellStyle name="Note 7 5" xfId="6192"/>
    <cellStyle name="Note 7 5 2" xfId="60567"/>
    <cellStyle name="Note 7 6" xfId="6193"/>
    <cellStyle name="Note 7 6 2" xfId="60568"/>
    <cellStyle name="Note 7 7" xfId="6194"/>
    <cellStyle name="Note 7 7 2" xfId="60569"/>
    <cellStyle name="Note 7 8" xfId="6195"/>
    <cellStyle name="Note 7 8 2" xfId="60570"/>
    <cellStyle name="Note 7 9" xfId="6196"/>
    <cellStyle name="Note 7 9 2" xfId="60571"/>
    <cellStyle name="Note 8" xfId="6197"/>
    <cellStyle name="Note 8 10" xfId="6198"/>
    <cellStyle name="Note 8 10 2" xfId="60572"/>
    <cellStyle name="Note 8 11" xfId="6199"/>
    <cellStyle name="Note 8 12" xfId="6200"/>
    <cellStyle name="Note 8 13" xfId="9352"/>
    <cellStyle name="Note 8 2" xfId="6201"/>
    <cellStyle name="Note 8 2 10" xfId="6202"/>
    <cellStyle name="Note 8 2 11" xfId="6203"/>
    <cellStyle name="Note 8 2 12" xfId="60573"/>
    <cellStyle name="Note 8 2 2" xfId="6204"/>
    <cellStyle name="Note 8 2 2 2" xfId="6205"/>
    <cellStyle name="Note 8 2 3" xfId="6206"/>
    <cellStyle name="Note 8 2 3 2" xfId="60574"/>
    <cellStyle name="Note 8 2 4" xfId="6207"/>
    <cellStyle name="Note 8 2 4 2" xfId="60575"/>
    <cellStyle name="Note 8 2 5" xfId="6208"/>
    <cellStyle name="Note 8 2 5 2" xfId="60576"/>
    <cellStyle name="Note 8 2 6" xfId="6209"/>
    <cellStyle name="Note 8 2 6 2" xfId="60577"/>
    <cellStyle name="Note 8 2 7" xfId="6210"/>
    <cellStyle name="Note 8 2 7 2" xfId="60578"/>
    <cellStyle name="Note 8 2 8" xfId="6211"/>
    <cellStyle name="Note 8 2 8 2" xfId="60579"/>
    <cellStyle name="Note 8 2 9" xfId="6212"/>
    <cellStyle name="Note 8 2 9 2" xfId="60580"/>
    <cellStyle name="Note 8 3" xfId="6213"/>
    <cellStyle name="Note 8 3 2" xfId="6214"/>
    <cellStyle name="Note 8 3 3" xfId="60581"/>
    <cellStyle name="Note 8 4" xfId="6215"/>
    <cellStyle name="Note 8 4 2" xfId="60582"/>
    <cellStyle name="Note 8 5" xfId="6216"/>
    <cellStyle name="Note 8 5 2" xfId="60583"/>
    <cellStyle name="Note 8 6" xfId="6217"/>
    <cellStyle name="Note 8 6 2" xfId="60584"/>
    <cellStyle name="Note 8 7" xfId="6218"/>
    <cellStyle name="Note 8 7 2" xfId="60585"/>
    <cellStyle name="Note 8 8" xfId="6219"/>
    <cellStyle name="Note 8 8 2" xfId="60586"/>
    <cellStyle name="Note 8 9" xfId="6220"/>
    <cellStyle name="Note 8 9 2" xfId="60587"/>
    <cellStyle name="Note 9" xfId="6221"/>
    <cellStyle name="Note 9 10" xfId="6222"/>
    <cellStyle name="Note 9 10 2" xfId="60588"/>
    <cellStyle name="Note 9 11" xfId="6223"/>
    <cellStyle name="Note 9 12" xfId="6224"/>
    <cellStyle name="Note 9 13" xfId="57984"/>
    <cellStyle name="Note 9 2" xfId="6225"/>
    <cellStyle name="Note 9 2 10" xfId="6226"/>
    <cellStyle name="Note 9 2 11" xfId="6227"/>
    <cellStyle name="Note 9 2 2" xfId="6228"/>
    <cellStyle name="Note 9 2 2 2" xfId="6229"/>
    <cellStyle name="Note 9 2 3" xfId="6230"/>
    <cellStyle name="Note 9 2 3 2" xfId="60589"/>
    <cellStyle name="Note 9 2 4" xfId="6231"/>
    <cellStyle name="Note 9 2 4 2" xfId="60590"/>
    <cellStyle name="Note 9 2 5" xfId="6232"/>
    <cellStyle name="Note 9 2 5 2" xfId="60591"/>
    <cellStyle name="Note 9 2 6" xfId="6233"/>
    <cellStyle name="Note 9 2 6 2" xfId="60592"/>
    <cellStyle name="Note 9 2 7" xfId="6234"/>
    <cellStyle name="Note 9 2 7 2" xfId="60593"/>
    <cellStyle name="Note 9 2 8" xfId="6235"/>
    <cellStyle name="Note 9 2 8 2" xfId="60594"/>
    <cellStyle name="Note 9 2 9" xfId="6236"/>
    <cellStyle name="Note 9 2 9 2" xfId="60595"/>
    <cellStyle name="Note 9 3" xfId="6237"/>
    <cellStyle name="Note 9 3 2" xfId="6238"/>
    <cellStyle name="Note 9 4" xfId="6239"/>
    <cellStyle name="Note 9 4 2" xfId="60596"/>
    <cellStyle name="Note 9 5" xfId="6240"/>
    <cellStyle name="Note 9 5 2" xfId="60597"/>
    <cellStyle name="Note 9 6" xfId="6241"/>
    <cellStyle name="Note 9 6 2" xfId="60598"/>
    <cellStyle name="Note 9 7" xfId="6242"/>
    <cellStyle name="Note 9 7 2" xfId="60599"/>
    <cellStyle name="Note 9 8" xfId="6243"/>
    <cellStyle name="Note 9 8 2" xfId="60600"/>
    <cellStyle name="Note 9 9" xfId="6244"/>
    <cellStyle name="Note 9 9 2" xfId="60601"/>
    <cellStyle name="Output 10" xfId="57613"/>
    <cellStyle name="Output 11" xfId="57614"/>
    <cellStyle name="Output 12" xfId="57615"/>
    <cellStyle name="Output 13" xfId="57616"/>
    <cellStyle name="Output 14" xfId="57617"/>
    <cellStyle name="Output 15" xfId="57618"/>
    <cellStyle name="Output 16" xfId="57619"/>
    <cellStyle name="Output 17" xfId="57620"/>
    <cellStyle name="Output 17 2" xfId="60602"/>
    <cellStyle name="Output 2" xfId="6245"/>
    <cellStyle name="Output 2 2" xfId="6246"/>
    <cellStyle name="Output 2 2 2" xfId="6247"/>
    <cellStyle name="Output 2 2 3" xfId="60603"/>
    <cellStyle name="Output 2 3" xfId="6248"/>
    <cellStyle name="Output 2 3 2" xfId="60604"/>
    <cellStyle name="Output 2 4" xfId="6249"/>
    <cellStyle name="Output 2 4 2" xfId="60605"/>
    <cellStyle name="Output 2 5" xfId="6250"/>
    <cellStyle name="Output 2 5 2" xfId="60606"/>
    <cellStyle name="Output 2 6" xfId="6251"/>
    <cellStyle name="Output 2 6 2" xfId="60607"/>
    <cellStyle name="Output 2 7" xfId="6252"/>
    <cellStyle name="Output 2 8" xfId="6253"/>
    <cellStyle name="Output 2 9" xfId="60608"/>
    <cellStyle name="Output 3" xfId="6254"/>
    <cellStyle name="Output 3 2" xfId="6255"/>
    <cellStyle name="Output 3 3" xfId="9353"/>
    <cellStyle name="Output 4" xfId="9354"/>
    <cellStyle name="Output 4 2" xfId="57621"/>
    <cellStyle name="Output 5" xfId="57622"/>
    <cellStyle name="Output 5 2" xfId="57623"/>
    <cellStyle name="Output 6" xfId="57624"/>
    <cellStyle name="Output 6 2" xfId="57625"/>
    <cellStyle name="Output 7" xfId="57626"/>
    <cellStyle name="Output 7 2" xfId="57627"/>
    <cellStyle name="Output 8" xfId="57628"/>
    <cellStyle name="Output 9" xfId="57629"/>
    <cellStyle name="OUTPUT AMOUNTS" xfId="6256"/>
    <cellStyle name="Output Amounts 10" xfId="57985"/>
    <cellStyle name="Output Amounts 11" xfId="60609"/>
    <cellStyle name="Output Amounts 2" xfId="6257"/>
    <cellStyle name="Output Amounts 2 10" xfId="60610"/>
    <cellStyle name="OUTPUT AMOUNTS 2 11" xfId="60611"/>
    <cellStyle name="OUTPUT AMOUNTS 2 2" xfId="57630"/>
    <cellStyle name="Output Amounts 2 3" xfId="57631"/>
    <cellStyle name="Output Amounts 2 3 2" xfId="60612"/>
    <cellStyle name="Output Amounts 2 4" xfId="60613"/>
    <cellStyle name="Output Amounts 2 5" xfId="60614"/>
    <cellStyle name="Output Amounts 2 6" xfId="60615"/>
    <cellStyle name="Output Amounts 2 7" xfId="60616"/>
    <cellStyle name="Output Amounts 2 8" xfId="60617"/>
    <cellStyle name="Output Amounts 2 9" xfId="60618"/>
    <cellStyle name="Output Amounts 3" xfId="6258"/>
    <cellStyle name="Output Amounts 3 2" xfId="9355"/>
    <cellStyle name="Output Amounts 3 3" xfId="60619"/>
    <cellStyle name="Output Amounts 3 4" xfId="60620"/>
    <cellStyle name="Output Amounts 3 5" xfId="60621"/>
    <cellStyle name="Output Amounts 3 6" xfId="60622"/>
    <cellStyle name="Output Amounts 3 7" xfId="60623"/>
    <cellStyle name="Output Amounts 3 8" xfId="60624"/>
    <cellStyle name="Output Amounts 3 9" xfId="60625"/>
    <cellStyle name="Output Amounts 4" xfId="6259"/>
    <cellStyle name="OUTPUT AMOUNTS 5" xfId="9356"/>
    <cellStyle name="OUTPUT AMOUNTS 6" xfId="57632"/>
    <cellStyle name="OUTPUT AMOUNTS 7" xfId="57633"/>
    <cellStyle name="OUTPUT AMOUNTS 8" xfId="57634"/>
    <cellStyle name="Output Amounts 9" xfId="57986"/>
    <cellStyle name="Output Amounts_d1" xfId="6260"/>
    <cellStyle name="OUTPUT COLUMN HEADINGS" xfId="6261"/>
    <cellStyle name="Output Column Headings 10" xfId="57635"/>
    <cellStyle name="OUTPUT COLUMN HEADINGS 10 2" xfId="60626"/>
    <cellStyle name="OUTPUT COLUMN HEADINGS 10 3" xfId="60627"/>
    <cellStyle name="Output Column Headings 11" xfId="60628"/>
    <cellStyle name="Output Column Headings 2" xfId="6262"/>
    <cellStyle name="Output Column Headings 2 2" xfId="6263"/>
    <cellStyle name="OUTPUT COLUMN HEADINGS 2 2 2" xfId="60629"/>
    <cellStyle name="Output Column Headings 2 2 3" xfId="60630"/>
    <cellStyle name="Output Column Headings 2 2 4" xfId="60631"/>
    <cellStyle name="Output Column Headings 2 2 5" xfId="60632"/>
    <cellStyle name="Output Column Headings 2 2 6" xfId="60633"/>
    <cellStyle name="Output Column Headings 2 2 7" xfId="60634"/>
    <cellStyle name="OUTPUT COLUMN HEADINGS 2 3" xfId="57636"/>
    <cellStyle name="OUTPUT COLUMN HEADINGS 2 3 2" xfId="60635"/>
    <cellStyle name="Output Column Headings 2 4" xfId="60636"/>
    <cellStyle name="Output Column Headings 2 5" xfId="60637"/>
    <cellStyle name="Output Column Headings 2 6" xfId="60638"/>
    <cellStyle name="Output Column Headings 3" xfId="6264"/>
    <cellStyle name="Output Column Headings 3 2" xfId="9357"/>
    <cellStyle name="Output Column Headings 4" xfId="6265"/>
    <cellStyle name="Output Column Headings 4 2" xfId="60639"/>
    <cellStyle name="OUTPUT COLUMN HEADINGS 5" xfId="9358"/>
    <cellStyle name="OUTPUT COLUMN HEADINGS 6" xfId="57637"/>
    <cellStyle name="OUTPUT COLUMN HEADINGS 7" xfId="57638"/>
    <cellStyle name="OUTPUT COLUMN HEADINGS 8" xfId="57639"/>
    <cellStyle name="Output Column Headings 9" xfId="57640"/>
    <cellStyle name="Output Column Headings_d1" xfId="6266"/>
    <cellStyle name="OUTPUT LINE ITEMS" xfId="6267"/>
    <cellStyle name="Output Line Items 10" xfId="57641"/>
    <cellStyle name="OUTPUT LINE ITEMS 10 2" xfId="60640"/>
    <cellStyle name="OUTPUT LINE ITEMS 10 3" xfId="60641"/>
    <cellStyle name="Output Line Items 11" xfId="60642"/>
    <cellStyle name="Output Line Items 2" xfId="6268"/>
    <cellStyle name="Output Line Items 2 2" xfId="6269"/>
    <cellStyle name="Output Line Items 2 2 2" xfId="57642"/>
    <cellStyle name="Output Line Items 2 2 3" xfId="60643"/>
    <cellStyle name="Output Line Items 2 3" xfId="6270"/>
    <cellStyle name="OUTPUT LINE ITEMS 2 3 2" xfId="60644"/>
    <cellStyle name="Output Line Items 2 3 3" xfId="60645"/>
    <cellStyle name="Output Line Items 2 3 4" xfId="60646"/>
    <cellStyle name="Output Line Items 2 3 5" xfId="60647"/>
    <cellStyle name="Output Line Items 2 3 6" xfId="60648"/>
    <cellStyle name="Output Line Items 2 3 7" xfId="60649"/>
    <cellStyle name="OUTPUT LINE ITEMS 2 4" xfId="57643"/>
    <cellStyle name="Output Line Items 2 5" xfId="60650"/>
    <cellStyle name="Output Line Items 2 6" xfId="60651"/>
    <cellStyle name="Output Line Items 2 7" xfId="60652"/>
    <cellStyle name="Output Line Items 3" xfId="6271"/>
    <cellStyle name="Output Line Items 3 2" xfId="9359"/>
    <cellStyle name="Output Line Items 4" xfId="6272"/>
    <cellStyle name="Output Line Items 4 2" xfId="57644"/>
    <cellStyle name="OUTPUT LINE ITEMS 5" xfId="9360"/>
    <cellStyle name="OUTPUT LINE ITEMS 6" xfId="57645"/>
    <cellStyle name="OUTPUT LINE ITEMS 7" xfId="57646"/>
    <cellStyle name="OUTPUT LINE ITEMS 8" xfId="57647"/>
    <cellStyle name="Output Line Items 9" xfId="57648"/>
    <cellStyle name="Output Line Items_d1" xfId="6273"/>
    <cellStyle name="OUTPUT REPORT HEADING" xfId="6274"/>
    <cellStyle name="Output Report Heading 10" xfId="57649"/>
    <cellStyle name="OUTPUT REPORT HEADING 10 2" xfId="60653"/>
    <cellStyle name="OUTPUT REPORT HEADING 10 3" xfId="60654"/>
    <cellStyle name="Output Report Heading 11" xfId="60655"/>
    <cellStyle name="Output Report Heading 2" xfId="6275"/>
    <cellStyle name="Output Report Heading 2 2" xfId="6276"/>
    <cellStyle name="OUTPUT REPORT HEADING 2 2 2" xfId="60656"/>
    <cellStyle name="Output Report Heading 2 2 3" xfId="60657"/>
    <cellStyle name="Output Report Heading 2 2 4" xfId="60658"/>
    <cellStyle name="Output Report Heading 2 2 5" xfId="60659"/>
    <cellStyle name="Output Report Heading 2 2 6" xfId="60660"/>
    <cellStyle name="Output Report Heading 2 2 7" xfId="60661"/>
    <cellStyle name="OUTPUT REPORT HEADING 2 3" xfId="57650"/>
    <cellStyle name="OUTPUT REPORT HEADING 2 3 2" xfId="60662"/>
    <cellStyle name="Output Report Heading 2 4" xfId="60663"/>
    <cellStyle name="Output Report Heading 2 5" xfId="60664"/>
    <cellStyle name="Output Report Heading 2 6" xfId="60665"/>
    <cellStyle name="Output Report Heading 3" xfId="6277"/>
    <cellStyle name="Output Report Heading 3 2" xfId="9361"/>
    <cellStyle name="Output Report Heading 4" xfId="6278"/>
    <cellStyle name="Output Report Heading 4 2" xfId="60666"/>
    <cellStyle name="OUTPUT REPORT HEADING 5" xfId="9362"/>
    <cellStyle name="OUTPUT REPORT HEADING 6" xfId="57651"/>
    <cellStyle name="OUTPUT REPORT HEADING 7" xfId="57652"/>
    <cellStyle name="OUTPUT REPORT HEADING 8" xfId="57653"/>
    <cellStyle name="Output Report Heading 9" xfId="57654"/>
    <cellStyle name="Output Report Heading_d1" xfId="6279"/>
    <cellStyle name="OUTPUT REPORT TITLE" xfId="6280"/>
    <cellStyle name="Output Report Title 10" xfId="57655"/>
    <cellStyle name="OUTPUT REPORT TITLE 10 2" xfId="60667"/>
    <cellStyle name="OUTPUT REPORT TITLE 10 3" xfId="60668"/>
    <cellStyle name="OUTPUT REPORT TITLE 11" xfId="60669"/>
    <cellStyle name="Output Report Title 12" xfId="60670"/>
    <cellStyle name="Output Report Title 2" xfId="6281"/>
    <cellStyle name="Output Report Title 2 2" xfId="6282"/>
    <cellStyle name="OUTPUT REPORT TITLE 2 2 2" xfId="60671"/>
    <cellStyle name="Output Report Title 2 2 3" xfId="60672"/>
    <cellStyle name="Output Report Title 2 2 4" xfId="60673"/>
    <cellStyle name="Output Report Title 2 2 5" xfId="60674"/>
    <cellStyle name="Output Report Title 2 2 6" xfId="60675"/>
    <cellStyle name="Output Report Title 2 2 7" xfId="60676"/>
    <cellStyle name="OUTPUT REPORT TITLE 2 3" xfId="57656"/>
    <cellStyle name="OUTPUT REPORT TITLE 2 3 2" xfId="60677"/>
    <cellStyle name="Output Report Title 2 4" xfId="60678"/>
    <cellStyle name="Output Report Title 2 5" xfId="60679"/>
    <cellStyle name="Output Report Title 2 6" xfId="60680"/>
    <cellStyle name="Output Report Title 3" xfId="6283"/>
    <cellStyle name="Output Report Title 3 2" xfId="9363"/>
    <cellStyle name="Output Report Title 4" xfId="6284"/>
    <cellStyle name="Output Report Title 4 2" xfId="60681"/>
    <cellStyle name="OUTPUT REPORT TITLE 5" xfId="9364"/>
    <cellStyle name="OUTPUT REPORT TITLE 6" xfId="57657"/>
    <cellStyle name="OUTPUT REPORT TITLE 7" xfId="57658"/>
    <cellStyle name="OUTPUT REPORT TITLE 8" xfId="57659"/>
    <cellStyle name="Output Report Title 9" xfId="57660"/>
    <cellStyle name="Output Report Title_d1" xfId="6285"/>
    <cellStyle name="Percent" xfId="8669" builtinId="5"/>
    <cellStyle name="Percent 10" xfId="6286"/>
    <cellStyle name="Percent 10 2" xfId="6287"/>
    <cellStyle name="Percent 10 2 2" xfId="60682"/>
    <cellStyle name="Percent 10 2 3" xfId="60683"/>
    <cellStyle name="Percent 10 3" xfId="60684"/>
    <cellStyle name="Percent 10 3 2" xfId="60685"/>
    <cellStyle name="Percent 10 4" xfId="60686"/>
    <cellStyle name="Percent 10 5" xfId="60687"/>
    <cellStyle name="Percent 10 6" xfId="60688"/>
    <cellStyle name="Percent 11" xfId="6288"/>
    <cellStyle name="Percent 11 2" xfId="6289"/>
    <cellStyle name="Percent 11 3" xfId="6290"/>
    <cellStyle name="Percent 12" xfId="8812"/>
    <cellStyle name="Percent 13" xfId="57811"/>
    <cellStyle name="Percent 13 2" xfId="60689"/>
    <cellStyle name="Percent 14" xfId="60690"/>
    <cellStyle name="Percent 15" xfId="9381"/>
    <cellStyle name="Percent 16" xfId="57661"/>
    <cellStyle name="Percent 17" xfId="60691"/>
    <cellStyle name="Percent 2" xfId="6291"/>
    <cellStyle name="Percent 2 2" xfId="6292"/>
    <cellStyle name="Percent 2 2 2" xfId="6293"/>
    <cellStyle name="Percent 2 2 2 2" xfId="6294"/>
    <cellStyle name="Percent 2 2 2 2 2" xfId="6295"/>
    <cellStyle name="Percent 2 2 2 2 2 2" xfId="6296"/>
    <cellStyle name="Percent 2 2 2 2 2 2 2" xfId="6297"/>
    <cellStyle name="Percent 2 2 2 2 2 3" xfId="6298"/>
    <cellStyle name="Percent 2 2 2 2 3" xfId="6299"/>
    <cellStyle name="Percent 2 2 2 2 3 2" xfId="6300"/>
    <cellStyle name="Percent 2 2 2 2 4" xfId="6301"/>
    <cellStyle name="Percent 2 2 2 3" xfId="6302"/>
    <cellStyle name="Percent 2 2 2 3 2" xfId="6303"/>
    <cellStyle name="Percent 2 2 2 3 2 2" xfId="6304"/>
    <cellStyle name="Percent 2 2 2 3 3" xfId="6305"/>
    <cellStyle name="Percent 2 2 2 4" xfId="6306"/>
    <cellStyle name="Percent 2 2 2 4 2" xfId="6307"/>
    <cellStyle name="Percent 2 2 2 5" xfId="6308"/>
    <cellStyle name="Percent 2 2 3" xfId="6309"/>
    <cellStyle name="Percent 2 2 3 2" xfId="6310"/>
    <cellStyle name="Percent 2 2 3 2 2" xfId="6311"/>
    <cellStyle name="Percent 2 2 3 2 2 2" xfId="6312"/>
    <cellStyle name="Percent 2 2 3 2 3" xfId="6313"/>
    <cellStyle name="Percent 2 2 3 3" xfId="6314"/>
    <cellStyle name="Percent 2 2 3 3 2" xfId="6315"/>
    <cellStyle name="Percent 2 2 3 4" xfId="6316"/>
    <cellStyle name="Percent 2 2 4" xfId="6317"/>
    <cellStyle name="Percent 2 2 4 2" xfId="6318"/>
    <cellStyle name="Percent 2 2 4 2 2" xfId="6319"/>
    <cellStyle name="Percent 2 2 4 3" xfId="6320"/>
    <cellStyle name="Percent 2 2 5" xfId="6321"/>
    <cellStyle name="Percent 2 2 5 2" xfId="6322"/>
    <cellStyle name="Percent 2 2 6" xfId="6323"/>
    <cellStyle name="Percent 2 2 7" xfId="6324"/>
    <cellStyle name="Percent 2 3" xfId="6325"/>
    <cellStyle name="Percent 2 3 2" xfId="6326"/>
    <cellStyle name="Percent 2 3 2 2" xfId="6327"/>
    <cellStyle name="Percent 2 3 2 2 2" xfId="6328"/>
    <cellStyle name="Percent 2 3 2 3" xfId="6329"/>
    <cellStyle name="Percent 2 3 2 4" xfId="60692"/>
    <cellStyle name="Percent 2 3 3" xfId="6330"/>
    <cellStyle name="Percent 2 3 3 2" xfId="6331"/>
    <cellStyle name="Percent 2 3 4" xfId="6332"/>
    <cellStyle name="Percent 2 3 5" xfId="6333"/>
    <cellStyle name="Percent 2 4" xfId="6334"/>
    <cellStyle name="Percent 2 4 2" xfId="57662"/>
    <cellStyle name="Percent 2 4 2 2" xfId="57663"/>
    <cellStyle name="Percent 2 4 3" xfId="57664"/>
    <cellStyle name="Percent 2 5" xfId="57665"/>
    <cellStyle name="Percent 2 5 2" xfId="57666"/>
    <cellStyle name="Percent 2 6" xfId="57667"/>
    <cellStyle name="Percent 2 7" xfId="57987"/>
    <cellStyle name="Percent 3" xfId="6335"/>
    <cellStyle name="Percent 3 10" xfId="6336"/>
    <cellStyle name="Percent 3 2" xfId="6337"/>
    <cellStyle name="Percent 3 2 2" xfId="6338"/>
    <cellStyle name="Percent 3 2 2 2" xfId="6339"/>
    <cellStyle name="Percent 3 2 2 2 2" xfId="6340"/>
    <cellStyle name="Percent 3 2 2 2 2 2" xfId="6341"/>
    <cellStyle name="Percent 3 2 2 2 2 2 2" xfId="6342"/>
    <cellStyle name="Percent 3 2 2 2 2 2 2 2" xfId="6343"/>
    <cellStyle name="Percent 3 2 2 2 2 2 3" xfId="6344"/>
    <cellStyle name="Percent 3 2 2 2 2 3" xfId="6345"/>
    <cellStyle name="Percent 3 2 2 2 2 3 2" xfId="6346"/>
    <cellStyle name="Percent 3 2 2 2 2 4" xfId="6347"/>
    <cellStyle name="Percent 3 2 2 2 3" xfId="6348"/>
    <cellStyle name="Percent 3 2 2 2 3 2" xfId="6349"/>
    <cellStyle name="Percent 3 2 2 2 3 2 2" xfId="6350"/>
    <cellStyle name="Percent 3 2 2 2 3 3" xfId="6351"/>
    <cellStyle name="Percent 3 2 2 2 4" xfId="6352"/>
    <cellStyle name="Percent 3 2 2 2 4 2" xfId="6353"/>
    <cellStyle name="Percent 3 2 2 2 5" xfId="6354"/>
    <cellStyle name="Percent 3 2 2 2 6" xfId="60693"/>
    <cellStyle name="Percent 3 2 2 3" xfId="6355"/>
    <cellStyle name="Percent 3 2 2 3 2" xfId="6356"/>
    <cellStyle name="Percent 3 2 2 3 2 2" xfId="6357"/>
    <cellStyle name="Percent 3 2 2 3 2 2 2" xfId="6358"/>
    <cellStyle name="Percent 3 2 2 3 2 3" xfId="6359"/>
    <cellStyle name="Percent 3 2 2 3 3" xfId="6360"/>
    <cellStyle name="Percent 3 2 2 3 3 2" xfId="6361"/>
    <cellStyle name="Percent 3 2 2 3 4" xfId="6362"/>
    <cellStyle name="Percent 3 2 2 4" xfId="6363"/>
    <cellStyle name="Percent 3 2 2 4 2" xfId="6364"/>
    <cellStyle name="Percent 3 2 2 4 2 2" xfId="6365"/>
    <cellStyle name="Percent 3 2 2 4 3" xfId="6366"/>
    <cellStyle name="Percent 3 2 2 5" xfId="6367"/>
    <cellStyle name="Percent 3 2 2 5 2" xfId="6368"/>
    <cellStyle name="Percent 3 2 2 6" xfId="6369"/>
    <cellStyle name="Percent 3 2 2 7" xfId="60694"/>
    <cellStyle name="Percent 3 2 3" xfId="6370"/>
    <cellStyle name="Percent 3 2 3 2" xfId="6371"/>
    <cellStyle name="Percent 3 2 3 2 2" xfId="6372"/>
    <cellStyle name="Percent 3 2 3 2 2 2" xfId="6373"/>
    <cellStyle name="Percent 3 2 3 2 2 2 2" xfId="6374"/>
    <cellStyle name="Percent 3 2 3 2 2 3" xfId="6375"/>
    <cellStyle name="Percent 3 2 3 2 3" xfId="6376"/>
    <cellStyle name="Percent 3 2 3 2 3 2" xfId="6377"/>
    <cellStyle name="Percent 3 2 3 2 4" xfId="6378"/>
    <cellStyle name="Percent 3 2 3 3" xfId="6379"/>
    <cellStyle name="Percent 3 2 3 3 2" xfId="6380"/>
    <cellStyle name="Percent 3 2 3 3 2 2" xfId="6381"/>
    <cellStyle name="Percent 3 2 3 3 3" xfId="6382"/>
    <cellStyle name="Percent 3 2 3 4" xfId="6383"/>
    <cellStyle name="Percent 3 2 3 4 2" xfId="6384"/>
    <cellStyle name="Percent 3 2 3 5" xfId="6385"/>
    <cellStyle name="Percent 3 2 3 6" xfId="60695"/>
    <cellStyle name="Percent 3 2 4" xfId="6386"/>
    <cellStyle name="Percent 3 2 4 2" xfId="6387"/>
    <cellStyle name="Percent 3 2 4 2 2" xfId="6388"/>
    <cellStyle name="Percent 3 2 4 2 2 2" xfId="6389"/>
    <cellStyle name="Percent 3 2 4 2 2 2 2" xfId="6390"/>
    <cellStyle name="Percent 3 2 4 2 2 3" xfId="6391"/>
    <cellStyle name="Percent 3 2 4 2 3" xfId="6392"/>
    <cellStyle name="Percent 3 2 4 2 3 2" xfId="6393"/>
    <cellStyle name="Percent 3 2 4 2 4" xfId="6394"/>
    <cellStyle name="Percent 3 2 4 3" xfId="6395"/>
    <cellStyle name="Percent 3 2 4 3 2" xfId="6396"/>
    <cellStyle name="Percent 3 2 4 3 2 2" xfId="6397"/>
    <cellStyle name="Percent 3 2 4 3 3" xfId="6398"/>
    <cellStyle name="Percent 3 2 4 4" xfId="6399"/>
    <cellStyle name="Percent 3 2 4 4 2" xfId="6400"/>
    <cellStyle name="Percent 3 2 4 5" xfId="6401"/>
    <cellStyle name="Percent 3 2 5" xfId="6402"/>
    <cellStyle name="Percent 3 2 5 2" xfId="6403"/>
    <cellStyle name="Percent 3 2 5 2 2" xfId="6404"/>
    <cellStyle name="Percent 3 2 5 2 2 2" xfId="6405"/>
    <cellStyle name="Percent 3 2 5 2 3" xfId="6406"/>
    <cellStyle name="Percent 3 2 5 3" xfId="6407"/>
    <cellStyle name="Percent 3 2 5 3 2" xfId="6408"/>
    <cellStyle name="Percent 3 2 5 4" xfId="6409"/>
    <cellStyle name="Percent 3 2 6" xfId="6410"/>
    <cellStyle name="Percent 3 2 6 2" xfId="6411"/>
    <cellStyle name="Percent 3 2 6 2 2" xfId="6412"/>
    <cellStyle name="Percent 3 2 6 3" xfId="6413"/>
    <cellStyle name="Percent 3 2 7" xfId="6414"/>
    <cellStyle name="Percent 3 2 7 2" xfId="6415"/>
    <cellStyle name="Percent 3 2 8" xfId="6416"/>
    <cellStyle name="Percent 3 2 9" xfId="60696"/>
    <cellStyle name="Percent 3 3" xfId="6417"/>
    <cellStyle name="Percent 3 3 2" xfId="6418"/>
    <cellStyle name="Percent 3 3 2 2" xfId="6419"/>
    <cellStyle name="Percent 3 3 2 2 2" xfId="6420"/>
    <cellStyle name="Percent 3 3 2 2 2 2" xfId="6421"/>
    <cellStyle name="Percent 3 3 2 2 2 2 2" xfId="6422"/>
    <cellStyle name="Percent 3 3 2 2 2 3" xfId="6423"/>
    <cellStyle name="Percent 3 3 2 2 3" xfId="6424"/>
    <cellStyle name="Percent 3 3 2 2 3 2" xfId="6425"/>
    <cellStyle name="Percent 3 3 2 2 4" xfId="6426"/>
    <cellStyle name="Percent 3 3 2 3" xfId="6427"/>
    <cellStyle name="Percent 3 3 2 3 2" xfId="6428"/>
    <cellStyle name="Percent 3 3 2 3 2 2" xfId="6429"/>
    <cellStyle name="Percent 3 3 2 3 3" xfId="6430"/>
    <cellStyle name="Percent 3 3 2 4" xfId="6431"/>
    <cellStyle name="Percent 3 3 2 4 2" xfId="6432"/>
    <cellStyle name="Percent 3 3 2 5" xfId="6433"/>
    <cellStyle name="Percent 3 3 3" xfId="6434"/>
    <cellStyle name="Percent 3 3 3 2" xfId="6435"/>
    <cellStyle name="Percent 3 3 3 2 2" xfId="6436"/>
    <cellStyle name="Percent 3 3 3 2 2 2" xfId="6437"/>
    <cellStyle name="Percent 3 3 3 2 3" xfId="6438"/>
    <cellStyle name="Percent 3 3 3 3" xfId="6439"/>
    <cellStyle name="Percent 3 3 3 3 2" xfId="6440"/>
    <cellStyle name="Percent 3 3 3 4" xfId="6441"/>
    <cellStyle name="Percent 3 3 4" xfId="6442"/>
    <cellStyle name="Percent 3 3 4 2" xfId="6443"/>
    <cellStyle name="Percent 3 3 4 2 2" xfId="6444"/>
    <cellStyle name="Percent 3 3 4 3" xfId="6445"/>
    <cellStyle name="Percent 3 3 5" xfId="6446"/>
    <cellStyle name="Percent 3 3 5 2" xfId="6447"/>
    <cellStyle name="Percent 3 3 6" xfId="6448"/>
    <cellStyle name="Percent 3 3 7" xfId="60697"/>
    <cellStyle name="Percent 3 4" xfId="6449"/>
    <cellStyle name="Percent 3 4 2" xfId="6450"/>
    <cellStyle name="Percent 3 4 2 2" xfId="6451"/>
    <cellStyle name="Percent 3 4 2 2 2" xfId="6452"/>
    <cellStyle name="Percent 3 4 2 2 2 2" xfId="6453"/>
    <cellStyle name="Percent 3 4 2 2 3" xfId="6454"/>
    <cellStyle name="Percent 3 4 2 3" xfId="6455"/>
    <cellStyle name="Percent 3 4 2 3 2" xfId="6456"/>
    <cellStyle name="Percent 3 4 2 4" xfId="6457"/>
    <cellStyle name="Percent 3 4 2 5" xfId="60698"/>
    <cellStyle name="Percent 3 4 3" xfId="6458"/>
    <cellStyle name="Percent 3 4 3 2" xfId="6459"/>
    <cellStyle name="Percent 3 4 3 2 2" xfId="6460"/>
    <cellStyle name="Percent 3 4 3 3" xfId="6461"/>
    <cellStyle name="Percent 3 4 4" xfId="6462"/>
    <cellStyle name="Percent 3 4 4 2" xfId="6463"/>
    <cellStyle name="Percent 3 4 5" xfId="6464"/>
    <cellStyle name="Percent 3 4 6" xfId="60699"/>
    <cellStyle name="Percent 3 5" xfId="6465"/>
    <cellStyle name="Percent 3 5 2" xfId="6466"/>
    <cellStyle name="Percent 3 5 2 2" xfId="6467"/>
    <cellStyle name="Percent 3 5 2 2 2" xfId="6468"/>
    <cellStyle name="Percent 3 5 2 2 2 2" xfId="6469"/>
    <cellStyle name="Percent 3 5 2 2 3" xfId="6470"/>
    <cellStyle name="Percent 3 5 2 3" xfId="6471"/>
    <cellStyle name="Percent 3 5 2 3 2" xfId="6472"/>
    <cellStyle name="Percent 3 5 2 4" xfId="6473"/>
    <cellStyle name="Percent 3 5 2 5" xfId="57668"/>
    <cellStyle name="Percent 3 5 3" xfId="6474"/>
    <cellStyle name="Percent 3 5 3 2" xfId="6475"/>
    <cellStyle name="Percent 3 5 3 2 2" xfId="6476"/>
    <cellStyle name="Percent 3 5 3 3" xfId="6477"/>
    <cellStyle name="Percent 3 5 3 3 2" xfId="57669"/>
    <cellStyle name="Percent 3 5 3 4" xfId="57670"/>
    <cellStyle name="Percent 3 5 3 5" xfId="57671"/>
    <cellStyle name="Percent 3 5 4" xfId="6478"/>
    <cellStyle name="Percent 3 5 4 2" xfId="6479"/>
    <cellStyle name="Percent 3 5 4 2 2" xfId="57672"/>
    <cellStyle name="Percent 3 5 4 2 2 2" xfId="57673"/>
    <cellStyle name="Percent 3 5 4 2 2 2 2" xfId="57674"/>
    <cellStyle name="Percent 3 5 4 2 2 2 3" xfId="57675"/>
    <cellStyle name="Percent 3 5 4 2 2 2 4" xfId="57676"/>
    <cellStyle name="Percent 3 5 4 2 2 3" xfId="57677"/>
    <cellStyle name="Percent 3 5 4 2 2 3 2" xfId="57678"/>
    <cellStyle name="Percent 3 5 4 2 2 3 3" xfId="57679"/>
    <cellStyle name="Percent 3 5 4 2 2 4" xfId="57680"/>
    <cellStyle name="Percent 3 5 4 2 2 4 2" xfId="57681"/>
    <cellStyle name="Percent 3 5 4 2 2 5" xfId="57682"/>
    <cellStyle name="Percent 3 5 4 2 2 6" xfId="57683"/>
    <cellStyle name="Percent 3 5 4 2 3" xfId="57684"/>
    <cellStyle name="Percent 3 5 4 2 3 2" xfId="57685"/>
    <cellStyle name="Percent 3 5 4 2 4" xfId="57686"/>
    <cellStyle name="Percent 3 5 4 2 5" xfId="57687"/>
    <cellStyle name="Percent 3 5 4 3" xfId="57688"/>
    <cellStyle name="Percent 3 5 4 3 2" xfId="57689"/>
    <cellStyle name="Percent 3 5 4 4" xfId="57690"/>
    <cellStyle name="Percent 3 5 4 4 2" xfId="57691"/>
    <cellStyle name="Percent 3 5 4 5" xfId="57692"/>
    <cellStyle name="Percent 3 5 4 6" xfId="57693"/>
    <cellStyle name="Percent 3 5 5" xfId="6480"/>
    <cellStyle name="Percent 3 5 5 2" xfId="57694"/>
    <cellStyle name="Percent 3 5 6" xfId="57695"/>
    <cellStyle name="Percent 3 5 6 2" xfId="57696"/>
    <cellStyle name="Percent 3 5 7" xfId="57697"/>
    <cellStyle name="Percent 3 5 8" xfId="57698"/>
    <cellStyle name="Percent 3 6" xfId="6481"/>
    <cellStyle name="Percent 3 6 2" xfId="6482"/>
    <cellStyle name="Percent 3 6 2 2" xfId="6483"/>
    <cellStyle name="Percent 3 6 2 2 2" xfId="6484"/>
    <cellStyle name="Percent 3 6 2 3" xfId="6485"/>
    <cellStyle name="Percent 3 6 3" xfId="6486"/>
    <cellStyle name="Percent 3 6 3 2" xfId="6487"/>
    <cellStyle name="Percent 3 6 4" xfId="6488"/>
    <cellStyle name="Percent 3 7" xfId="6489"/>
    <cellStyle name="Percent 3 7 2" xfId="6490"/>
    <cellStyle name="Percent 3 7 2 2" xfId="6491"/>
    <cellStyle name="Percent 3 7 3" xfId="6492"/>
    <cellStyle name="Percent 3 8" xfId="6493"/>
    <cellStyle name="Percent 3 8 2" xfId="6494"/>
    <cellStyle name="Percent 3 9" xfId="6495"/>
    <cellStyle name="Percent 4" xfId="6496"/>
    <cellStyle name="Percent 4 2" xfId="6497"/>
    <cellStyle name="Percent 4 2 2" xfId="6498"/>
    <cellStyle name="Percent 4 2 2 2" xfId="6499"/>
    <cellStyle name="Percent 4 2 2 2 2" xfId="6500"/>
    <cellStyle name="Percent 4 2 2 2 2 2" xfId="6501"/>
    <cellStyle name="Percent 4 2 2 2 3" xfId="6502"/>
    <cellStyle name="Percent 4 2 2 2 4" xfId="60700"/>
    <cellStyle name="Percent 4 2 2 3" xfId="6503"/>
    <cellStyle name="Percent 4 2 2 3 2" xfId="6504"/>
    <cellStyle name="Percent 4 2 2 4" xfId="6505"/>
    <cellStyle name="Percent 4 2 2 5" xfId="60701"/>
    <cellStyle name="Percent 4 2 3" xfId="6506"/>
    <cellStyle name="Percent 4 2 3 2" xfId="6507"/>
    <cellStyle name="Percent 4 2 3 2 2" xfId="6508"/>
    <cellStyle name="Percent 4 2 3 3" xfId="6509"/>
    <cellStyle name="Percent 4 2 3 4" xfId="60702"/>
    <cellStyle name="Percent 4 2 4" xfId="6510"/>
    <cellStyle name="Percent 4 2 4 2" xfId="6511"/>
    <cellStyle name="Percent 4 2 5" xfId="6512"/>
    <cellStyle name="Percent 4 2 6" xfId="60703"/>
    <cellStyle name="Percent 4 3" xfId="6513"/>
    <cellStyle name="Percent 4 3 2" xfId="6514"/>
    <cellStyle name="Percent 4 3 2 2" xfId="6515"/>
    <cellStyle name="Percent 4 3 2 2 2" xfId="6516"/>
    <cellStyle name="Percent 4 3 2 3" xfId="6517"/>
    <cellStyle name="Percent 4 3 3" xfId="6518"/>
    <cellStyle name="Percent 4 3 3 2" xfId="6519"/>
    <cellStyle name="Percent 4 3 4" xfId="6520"/>
    <cellStyle name="Percent 4 3 5" xfId="60704"/>
    <cellStyle name="Percent 4 4" xfId="6521"/>
    <cellStyle name="Percent 4 4 2" xfId="6522"/>
    <cellStyle name="Percent 4 4 2 2" xfId="6523"/>
    <cellStyle name="Percent 4 4 3" xfId="6524"/>
    <cellStyle name="Percent 4 5" xfId="6525"/>
    <cellStyle name="Percent 4 5 2" xfId="6526"/>
    <cellStyle name="Percent 4 6" xfId="6527"/>
    <cellStyle name="Percent 4 7" xfId="6528"/>
    <cellStyle name="Percent 4 8" xfId="60705"/>
    <cellStyle name="Percent 5" xfId="6529"/>
    <cellStyle name="Percent 5 2" xfId="6530"/>
    <cellStyle name="Percent 5 2 2" xfId="57699"/>
    <cellStyle name="Percent 5 3" xfId="57700"/>
    <cellStyle name="Percent 5 3 2" xfId="57701"/>
    <cellStyle name="Percent 5 4" xfId="57702"/>
    <cellStyle name="Percent 5 5" xfId="57703"/>
    <cellStyle name="Percent 5 6" xfId="57988"/>
    <cellStyle name="Percent 6" xfId="6531"/>
    <cellStyle name="Percent 6 2" xfId="6532"/>
    <cellStyle name="Percent 6 2 2" xfId="57704"/>
    <cellStyle name="Percent 6 3" xfId="57705"/>
    <cellStyle name="Percent 6 3 2" xfId="57706"/>
    <cellStyle name="Percent 6 4" xfId="57707"/>
    <cellStyle name="Percent 7" xfId="6533"/>
    <cellStyle name="Percent 7 2" xfId="6534"/>
    <cellStyle name="Percent 7 2 2" xfId="6535"/>
    <cellStyle name="Percent 7 2 2 2" xfId="6536"/>
    <cellStyle name="Percent 7 2 2 3" xfId="60706"/>
    <cellStyle name="Percent 7 2 3" xfId="6537"/>
    <cellStyle name="Percent 7 2 4" xfId="60707"/>
    <cellStyle name="Percent 7 3" xfId="6538"/>
    <cellStyle name="Percent 7 3 2" xfId="6539"/>
    <cellStyle name="Percent 7 3 3" xfId="60708"/>
    <cellStyle name="Percent 7 4" xfId="6540"/>
    <cellStyle name="Percent 7 5" xfId="60709"/>
    <cellStyle name="Percent 7 6" xfId="60710"/>
    <cellStyle name="Percent 8" xfId="6541"/>
    <cellStyle name="Percent 8 2" xfId="6542"/>
    <cellStyle name="Percent 8 2 2" xfId="6543"/>
    <cellStyle name="Percent 8 2 2 2" xfId="60711"/>
    <cellStyle name="Percent 8 2 3" xfId="60712"/>
    <cellStyle name="Percent 8 3" xfId="6544"/>
    <cellStyle name="Percent 8 3 2" xfId="60713"/>
    <cellStyle name="Percent 8 4" xfId="60714"/>
    <cellStyle name="Percent 8 5" xfId="60715"/>
    <cellStyle name="Percent 8 6" xfId="60716"/>
    <cellStyle name="Percent 9" xfId="6545"/>
    <cellStyle name="Percent 9 2" xfId="6546"/>
    <cellStyle name="Percent 9 2 2" xfId="6547"/>
    <cellStyle name="Percent 9 2 3" xfId="60717"/>
    <cellStyle name="Percent 9 3" xfId="6548"/>
    <cellStyle name="Percent 9 3 2" xfId="60718"/>
    <cellStyle name="Percent 9 4" xfId="60719"/>
    <cellStyle name="Percent 9 5" xfId="60720"/>
    <cellStyle name="Percent 9 6" xfId="60721"/>
    <cellStyle name="Project Overview Data Entry" xfId="6549"/>
    <cellStyle name="Project Overview Data Entry 2" xfId="60722"/>
    <cellStyle name="PSChar" xfId="6550"/>
    <cellStyle name="PSChar 2" xfId="8809"/>
    <cellStyle name="PSDate" xfId="6551"/>
    <cellStyle name="PSDec" xfId="6552"/>
    <cellStyle name="PSHeading" xfId="6553"/>
    <cellStyle name="PSHeading 2" xfId="57708"/>
    <cellStyle name="PSInt" xfId="6554"/>
    <cellStyle name="PSSpacer" xfId="6555"/>
    <cellStyle name="PSSpacer 2" xfId="57709"/>
    <cellStyle name="R00A" xfId="8732"/>
    <cellStyle name="R00B" xfId="8733"/>
    <cellStyle name="R00L" xfId="8734"/>
    <cellStyle name="R01A" xfId="8735"/>
    <cellStyle name="R01B" xfId="8736"/>
    <cellStyle name="R01H" xfId="8737"/>
    <cellStyle name="R01L" xfId="8738"/>
    <cellStyle name="R02A" xfId="8739"/>
    <cellStyle name="R02B" xfId="8740"/>
    <cellStyle name="R02H" xfId="8741"/>
    <cellStyle name="R02L" xfId="8742"/>
    <cellStyle name="R03A" xfId="8743"/>
    <cellStyle name="R03B" xfId="8744"/>
    <cellStyle name="R03H" xfId="8745"/>
    <cellStyle name="R03L" xfId="8746"/>
    <cellStyle name="R04A" xfId="8747"/>
    <cellStyle name="R04B" xfId="8748"/>
    <cellStyle name="R04H" xfId="8749"/>
    <cellStyle name="R04L" xfId="8750"/>
    <cellStyle name="R05A" xfId="8751"/>
    <cellStyle name="R05B" xfId="8752"/>
    <cellStyle name="R05H" xfId="8753"/>
    <cellStyle name="R05L" xfId="8754"/>
    <cellStyle name="R06A" xfId="8755"/>
    <cellStyle name="R06B" xfId="8756"/>
    <cellStyle name="R06H" xfId="8757"/>
    <cellStyle name="R06L" xfId="8758"/>
    <cellStyle name="R07A" xfId="8759"/>
    <cellStyle name="R07B" xfId="8760"/>
    <cellStyle name="R07H" xfId="8761"/>
    <cellStyle name="R07L" xfId="8762"/>
    <cellStyle name="ReportTitlePrompt" xfId="6556"/>
    <cellStyle name="ReportTitlePrompt 2" xfId="6557"/>
    <cellStyle name="ReportTitlePrompt 2 2" xfId="57710"/>
    <cellStyle name="ReportTitlePrompt 2 3" xfId="57711"/>
    <cellStyle name="ReportTitlePrompt 3" xfId="6558"/>
    <cellStyle name="ReportTitlePrompt 4" xfId="6559"/>
    <cellStyle name="ReportTitlePrompt 5" xfId="9365"/>
    <cellStyle name="ReportTitleValue" xfId="6560"/>
    <cellStyle name="ReportTitleValue 2" xfId="6561"/>
    <cellStyle name="ReportTitleValue 2 2" xfId="57712"/>
    <cellStyle name="Reset  - Style4" xfId="57989"/>
    <cellStyle name="RowAcctAbovePrompt" xfId="6562"/>
    <cellStyle name="RowAcctAbovePrompt 2" xfId="6563"/>
    <cellStyle name="RowAcctAbovePrompt 2 2" xfId="57713"/>
    <cellStyle name="RowAcctAbovePrompt 2 3" xfId="57714"/>
    <cellStyle name="RowAcctAbovePrompt 3" xfId="6564"/>
    <cellStyle name="RowAcctAbovePrompt 4" xfId="9366"/>
    <cellStyle name="RowAcctSOBAbovePrompt" xfId="6565"/>
    <cellStyle name="RowAcctSOBAbovePrompt 2" xfId="6566"/>
    <cellStyle name="RowAcctSOBAbovePrompt 2 2" xfId="57715"/>
    <cellStyle name="RowAcctSOBAbovePrompt 2 3" xfId="57716"/>
    <cellStyle name="RowAcctSOBAbovePrompt 3" xfId="6567"/>
    <cellStyle name="RowAcctSOBAbovePrompt 4" xfId="9367"/>
    <cellStyle name="RowAcctSOBValue" xfId="6568"/>
    <cellStyle name="RowAcctSOBValue 2" xfId="6569"/>
    <cellStyle name="RowAcctSOBValue 2 2" xfId="57717"/>
    <cellStyle name="RowAcctSOBValue 2 3" xfId="57718"/>
    <cellStyle name="RowAcctSOBValue 3" xfId="6570"/>
    <cellStyle name="RowAcctSOBValue 4" xfId="9368"/>
    <cellStyle name="RowAcctValue" xfId="6571"/>
    <cellStyle name="RowAcctValue 2" xfId="6572"/>
    <cellStyle name="RowAcctValue 2 2" xfId="57719"/>
    <cellStyle name="RowAttrAbovePrompt" xfId="6573"/>
    <cellStyle name="RowAttrAbovePrompt 2" xfId="6574"/>
    <cellStyle name="RowAttrAbovePrompt 2 2" xfId="57720"/>
    <cellStyle name="RowAttrAbovePrompt 2 3" xfId="57721"/>
    <cellStyle name="RowAttrAbovePrompt 3" xfId="6575"/>
    <cellStyle name="RowAttrAbovePrompt 4" xfId="9369"/>
    <cellStyle name="RowAttrValue" xfId="6576"/>
    <cellStyle name="RowAttrValue 2" xfId="6577"/>
    <cellStyle name="RowAttrValue 2 2" xfId="57722"/>
    <cellStyle name="RowColSetAbovePrompt" xfId="6578"/>
    <cellStyle name="RowColSetAbovePrompt 2" xfId="6579"/>
    <cellStyle name="RowColSetAbovePrompt 2 2" xfId="57723"/>
    <cellStyle name="RowColSetAbovePrompt 2 3" xfId="57724"/>
    <cellStyle name="RowColSetAbovePrompt 3" xfId="6580"/>
    <cellStyle name="RowColSetAbovePrompt 4" xfId="9370"/>
    <cellStyle name="RowColSetLeftPrompt" xfId="6581"/>
    <cellStyle name="RowColSetLeftPrompt 2" xfId="6582"/>
    <cellStyle name="RowColSetLeftPrompt 2 2" xfId="57725"/>
    <cellStyle name="RowColSetLeftPrompt 2 3" xfId="57726"/>
    <cellStyle name="RowColSetLeftPrompt 3" xfId="6583"/>
    <cellStyle name="RowColSetLeftPrompt 4" xfId="9371"/>
    <cellStyle name="RowColSetValue" xfId="6584"/>
    <cellStyle name="RowColSetValue 2" xfId="6585"/>
    <cellStyle name="RowColSetValue 2 2" xfId="57727"/>
    <cellStyle name="RowColSetValue 3" xfId="6586"/>
    <cellStyle name="RowLeftPrompt" xfId="6587"/>
    <cellStyle name="RowLeftPrompt 2" xfId="6588"/>
    <cellStyle name="RowLeftPrompt 2 2" xfId="57728"/>
    <cellStyle name="RowLeftPrompt 2 3" xfId="57729"/>
    <cellStyle name="RowLeftPrompt 3" xfId="6589"/>
    <cellStyle name="RowLeftPrompt 4" xfId="9372"/>
    <cellStyle name="SampleUsingFormatMask" xfId="6590"/>
    <cellStyle name="SampleUsingFormatMask 2" xfId="6591"/>
    <cellStyle name="SampleUsingFormatMask 2 2" xfId="57730"/>
    <cellStyle name="SampleUsingFormatMask 2 3" xfId="57731"/>
    <cellStyle name="SampleUsingFormatMask 3" xfId="6592"/>
    <cellStyle name="SampleUsingFormatMask 4" xfId="9373"/>
    <cellStyle name="SampleWithNoFormatMask" xfId="6593"/>
    <cellStyle name="SampleWithNoFormatMask 2" xfId="6594"/>
    <cellStyle name="SampleWithNoFormatMask 2 2" xfId="57732"/>
    <cellStyle name="SampleWithNoFormatMask 2 3" xfId="57733"/>
    <cellStyle name="SampleWithNoFormatMask 3" xfId="6595"/>
    <cellStyle name="SampleWithNoFormatMask 4" xfId="9374"/>
    <cellStyle name="SAPBEXaggData" xfId="6596"/>
    <cellStyle name="SAPBEXaggData 10" xfId="6597"/>
    <cellStyle name="SAPBEXaggData 10 2" xfId="60723"/>
    <cellStyle name="SAPBEXaggData 11" xfId="6598"/>
    <cellStyle name="SAPBEXaggData 11 2" xfId="60724"/>
    <cellStyle name="SAPBEXaggData 12" xfId="6599"/>
    <cellStyle name="SAPBEXaggData 2" xfId="6600"/>
    <cellStyle name="SAPBEXaggData 2 10" xfId="6601"/>
    <cellStyle name="SAPBEXaggData 2 10 2" xfId="60725"/>
    <cellStyle name="SAPBEXaggData 2 11" xfId="6602"/>
    <cellStyle name="SAPBEXaggData 2 2" xfId="6603"/>
    <cellStyle name="SAPBEXaggData 2 2 2" xfId="60726"/>
    <cellStyle name="SAPBEXaggData 2 3" xfId="6604"/>
    <cellStyle name="SAPBEXaggData 2 3 2" xfId="60727"/>
    <cellStyle name="SAPBEXaggData 2 4" xfId="6605"/>
    <cellStyle name="SAPBEXaggData 2 4 2" xfId="60728"/>
    <cellStyle name="SAPBEXaggData 2 5" xfId="6606"/>
    <cellStyle name="SAPBEXaggData 2 5 2" xfId="60729"/>
    <cellStyle name="SAPBEXaggData 2 6" xfId="6607"/>
    <cellStyle name="SAPBEXaggData 2 6 2" xfId="60730"/>
    <cellStyle name="SAPBEXaggData 2 7" xfId="6608"/>
    <cellStyle name="SAPBEXaggData 2 7 2" xfId="60731"/>
    <cellStyle name="SAPBEXaggData 2 8" xfId="6609"/>
    <cellStyle name="SAPBEXaggData 2 8 2" xfId="60732"/>
    <cellStyle name="SAPBEXaggData 2 9" xfId="6610"/>
    <cellStyle name="SAPBEXaggData 2 9 2" xfId="60733"/>
    <cellStyle name="SAPBEXaggData 3" xfId="6611"/>
    <cellStyle name="SAPBEXaggData 3 2" xfId="60734"/>
    <cellStyle name="SAPBEXaggData 4" xfId="6612"/>
    <cellStyle name="SAPBEXaggData 4 2" xfId="60735"/>
    <cellStyle name="SAPBEXaggData 5" xfId="6613"/>
    <cellStyle name="SAPBEXaggData 5 2" xfId="60736"/>
    <cellStyle name="SAPBEXaggData 6" xfId="6614"/>
    <cellStyle name="SAPBEXaggData 6 2" xfId="60737"/>
    <cellStyle name="SAPBEXaggData 7" xfId="6615"/>
    <cellStyle name="SAPBEXaggData 7 2" xfId="60738"/>
    <cellStyle name="SAPBEXaggData 8" xfId="6616"/>
    <cellStyle name="SAPBEXaggData 8 2" xfId="60739"/>
    <cellStyle name="SAPBEXaggData 9" xfId="6617"/>
    <cellStyle name="SAPBEXaggData 9 2" xfId="60740"/>
    <cellStyle name="SAPBEXaggDataEmph" xfId="6618"/>
    <cellStyle name="SAPBEXaggDataEmph 10" xfId="6619"/>
    <cellStyle name="SAPBEXaggDataEmph 10 2" xfId="60741"/>
    <cellStyle name="SAPBEXaggDataEmph 11" xfId="6620"/>
    <cellStyle name="SAPBEXaggDataEmph 2" xfId="6621"/>
    <cellStyle name="SAPBEXaggDataEmph 2 2" xfId="60742"/>
    <cellStyle name="SAPBEXaggDataEmph 3" xfId="6622"/>
    <cellStyle name="SAPBEXaggDataEmph 3 2" xfId="60743"/>
    <cellStyle name="SAPBEXaggDataEmph 4" xfId="6623"/>
    <cellStyle name="SAPBEXaggDataEmph 4 2" xfId="60744"/>
    <cellStyle name="SAPBEXaggDataEmph 5" xfId="6624"/>
    <cellStyle name="SAPBEXaggDataEmph 5 2" xfId="60745"/>
    <cellStyle name="SAPBEXaggDataEmph 6" xfId="6625"/>
    <cellStyle name="SAPBEXaggDataEmph 6 2" xfId="60746"/>
    <cellStyle name="SAPBEXaggDataEmph 7" xfId="6626"/>
    <cellStyle name="SAPBEXaggDataEmph 7 2" xfId="60747"/>
    <cellStyle name="SAPBEXaggDataEmph 8" xfId="6627"/>
    <cellStyle name="SAPBEXaggDataEmph 8 2" xfId="60748"/>
    <cellStyle name="SAPBEXaggDataEmph 9" xfId="6628"/>
    <cellStyle name="SAPBEXaggDataEmph 9 2" xfId="60749"/>
    <cellStyle name="SAPBEXaggItem" xfId="6629"/>
    <cellStyle name="SAPBEXaggItem 10" xfId="6630"/>
    <cellStyle name="SAPBEXaggItem 10 2" xfId="60750"/>
    <cellStyle name="SAPBEXaggItem 11" xfId="6631"/>
    <cellStyle name="SAPBEXaggItem 11 2" xfId="60751"/>
    <cellStyle name="SAPBEXaggItem 12" xfId="6632"/>
    <cellStyle name="SAPBEXaggItem 2" xfId="6633"/>
    <cellStyle name="SAPBEXaggItem 2 10" xfId="6634"/>
    <cellStyle name="SAPBEXaggItem 2 10 2" xfId="60752"/>
    <cellStyle name="SAPBEXaggItem 2 11" xfId="6635"/>
    <cellStyle name="SAPBEXaggItem 2 2" xfId="6636"/>
    <cellStyle name="SAPBEXaggItem 2 2 2" xfId="60753"/>
    <cellStyle name="SAPBEXaggItem 2 3" xfId="6637"/>
    <cellStyle name="SAPBEXaggItem 2 3 2" xfId="60754"/>
    <cellStyle name="SAPBEXaggItem 2 4" xfId="6638"/>
    <cellStyle name="SAPBEXaggItem 2 4 2" xfId="60755"/>
    <cellStyle name="SAPBEXaggItem 2 5" xfId="6639"/>
    <cellStyle name="SAPBEXaggItem 2 5 2" xfId="60756"/>
    <cellStyle name="SAPBEXaggItem 2 6" xfId="6640"/>
    <cellStyle name="SAPBEXaggItem 2 6 2" xfId="60757"/>
    <cellStyle name="SAPBEXaggItem 2 7" xfId="6641"/>
    <cellStyle name="SAPBEXaggItem 2 7 2" xfId="60758"/>
    <cellStyle name="SAPBEXaggItem 2 8" xfId="6642"/>
    <cellStyle name="SAPBEXaggItem 2 8 2" xfId="60759"/>
    <cellStyle name="SAPBEXaggItem 2 9" xfId="6643"/>
    <cellStyle name="SAPBEXaggItem 2 9 2" xfId="60760"/>
    <cellStyle name="SAPBEXaggItem 3" xfId="6644"/>
    <cellStyle name="SAPBEXaggItem 3 2" xfId="60761"/>
    <cellStyle name="SAPBEXaggItem 4" xfId="6645"/>
    <cellStyle name="SAPBEXaggItem 4 2" xfId="60762"/>
    <cellStyle name="SAPBEXaggItem 5" xfId="6646"/>
    <cellStyle name="SAPBEXaggItem 5 2" xfId="60763"/>
    <cellStyle name="SAPBEXaggItem 6" xfId="6647"/>
    <cellStyle name="SAPBEXaggItem 6 2" xfId="60764"/>
    <cellStyle name="SAPBEXaggItem 7" xfId="6648"/>
    <cellStyle name="SAPBEXaggItem 7 2" xfId="60765"/>
    <cellStyle name="SAPBEXaggItem 8" xfId="6649"/>
    <cellStyle name="SAPBEXaggItem 8 2" xfId="60766"/>
    <cellStyle name="SAPBEXaggItem 9" xfId="6650"/>
    <cellStyle name="SAPBEXaggItem 9 2" xfId="60767"/>
    <cellStyle name="SAPBEXaggItemX" xfId="6651"/>
    <cellStyle name="SAPBEXaggItemX 10" xfId="6652"/>
    <cellStyle name="SAPBEXaggItemX 10 2" xfId="60768"/>
    <cellStyle name="SAPBEXaggItemX 11" xfId="6653"/>
    <cellStyle name="SAPBEXaggItemX 11 2" xfId="60769"/>
    <cellStyle name="SAPBEXaggItemX 12" xfId="6654"/>
    <cellStyle name="SAPBEXaggItemX 2" xfId="6655"/>
    <cellStyle name="SAPBEXaggItemX 2 10" xfId="6656"/>
    <cellStyle name="SAPBEXaggItemX 2 10 2" xfId="60770"/>
    <cellStyle name="SAPBEXaggItemX 2 11" xfId="6657"/>
    <cellStyle name="SAPBEXaggItemX 2 2" xfId="6658"/>
    <cellStyle name="SAPBEXaggItemX 2 2 2" xfId="60771"/>
    <cellStyle name="SAPBEXaggItemX 2 3" xfId="6659"/>
    <cellStyle name="SAPBEXaggItemX 2 3 2" xfId="60772"/>
    <cellStyle name="SAPBEXaggItemX 2 4" xfId="6660"/>
    <cellStyle name="SAPBEXaggItemX 2 4 2" xfId="60773"/>
    <cellStyle name="SAPBEXaggItemX 2 5" xfId="6661"/>
    <cellStyle name="SAPBEXaggItemX 2 5 2" xfId="60774"/>
    <cellStyle name="SAPBEXaggItemX 2 6" xfId="6662"/>
    <cellStyle name="SAPBEXaggItemX 2 6 2" xfId="60775"/>
    <cellStyle name="SAPBEXaggItemX 2 7" xfId="6663"/>
    <cellStyle name="SAPBEXaggItemX 2 7 2" xfId="60776"/>
    <cellStyle name="SAPBEXaggItemX 2 8" xfId="6664"/>
    <cellStyle name="SAPBEXaggItemX 2 8 2" xfId="60777"/>
    <cellStyle name="SAPBEXaggItemX 2 9" xfId="6665"/>
    <cellStyle name="SAPBEXaggItemX 2 9 2" xfId="60778"/>
    <cellStyle name="SAPBEXaggItemX 3" xfId="6666"/>
    <cellStyle name="SAPBEXaggItemX 3 2" xfId="60779"/>
    <cellStyle name="SAPBEXaggItemX 4" xfId="6667"/>
    <cellStyle name="SAPBEXaggItemX 4 2" xfId="60780"/>
    <cellStyle name="SAPBEXaggItemX 5" xfId="6668"/>
    <cellStyle name="SAPBEXaggItemX 5 2" xfId="60781"/>
    <cellStyle name="SAPBEXaggItemX 6" xfId="6669"/>
    <cellStyle name="SAPBEXaggItemX 6 2" xfId="60782"/>
    <cellStyle name="SAPBEXaggItemX 7" xfId="6670"/>
    <cellStyle name="SAPBEXaggItemX 7 2" xfId="60783"/>
    <cellStyle name="SAPBEXaggItemX 8" xfId="6671"/>
    <cellStyle name="SAPBEXaggItemX 8 2" xfId="60784"/>
    <cellStyle name="SAPBEXaggItemX 9" xfId="6672"/>
    <cellStyle name="SAPBEXaggItemX 9 2" xfId="60785"/>
    <cellStyle name="SAPBEXchaText" xfId="6673"/>
    <cellStyle name="SAPBEXchaText 2" xfId="6674"/>
    <cellStyle name="SAPBEXexcBad7" xfId="6675"/>
    <cellStyle name="SAPBEXexcBad7 10" xfId="6676"/>
    <cellStyle name="SAPBEXexcBad7 10 2" xfId="60786"/>
    <cellStyle name="SAPBEXexcBad7 11" xfId="6677"/>
    <cellStyle name="SAPBEXexcBad7 11 2" xfId="60787"/>
    <cellStyle name="SAPBEXexcBad7 12" xfId="6678"/>
    <cellStyle name="SAPBEXexcBad7 2" xfId="6679"/>
    <cellStyle name="SAPBEXexcBad7 2 10" xfId="6680"/>
    <cellStyle name="SAPBEXexcBad7 2 10 2" xfId="60788"/>
    <cellStyle name="SAPBEXexcBad7 2 11" xfId="6681"/>
    <cellStyle name="SAPBEXexcBad7 2 2" xfId="6682"/>
    <cellStyle name="SAPBEXexcBad7 2 2 2" xfId="60789"/>
    <cellStyle name="SAPBEXexcBad7 2 3" xfId="6683"/>
    <cellStyle name="SAPBEXexcBad7 2 3 2" xfId="60790"/>
    <cellStyle name="SAPBEXexcBad7 2 4" xfId="6684"/>
    <cellStyle name="SAPBEXexcBad7 2 4 2" xfId="60791"/>
    <cellStyle name="SAPBEXexcBad7 2 5" xfId="6685"/>
    <cellStyle name="SAPBEXexcBad7 2 5 2" xfId="60792"/>
    <cellStyle name="SAPBEXexcBad7 2 6" xfId="6686"/>
    <cellStyle name="SAPBEXexcBad7 2 6 2" xfId="60793"/>
    <cellStyle name="SAPBEXexcBad7 2 7" xfId="6687"/>
    <cellStyle name="SAPBEXexcBad7 2 7 2" xfId="60794"/>
    <cellStyle name="SAPBEXexcBad7 2 8" xfId="6688"/>
    <cellStyle name="SAPBEXexcBad7 2 8 2" xfId="60795"/>
    <cellStyle name="SAPBEXexcBad7 2 9" xfId="6689"/>
    <cellStyle name="SAPBEXexcBad7 2 9 2" xfId="60796"/>
    <cellStyle name="SAPBEXexcBad7 3" xfId="6690"/>
    <cellStyle name="SAPBEXexcBad7 3 2" xfId="60797"/>
    <cellStyle name="SAPBEXexcBad7 4" xfId="6691"/>
    <cellStyle name="SAPBEXexcBad7 4 2" xfId="60798"/>
    <cellStyle name="SAPBEXexcBad7 5" xfId="6692"/>
    <cellStyle name="SAPBEXexcBad7 5 2" xfId="60799"/>
    <cellStyle name="SAPBEXexcBad7 6" xfId="6693"/>
    <cellStyle name="SAPBEXexcBad7 6 2" xfId="60800"/>
    <cellStyle name="SAPBEXexcBad7 7" xfId="6694"/>
    <cellStyle name="SAPBEXexcBad7 7 2" xfId="60801"/>
    <cellStyle name="SAPBEXexcBad7 8" xfId="6695"/>
    <cellStyle name="SAPBEXexcBad7 8 2" xfId="60802"/>
    <cellStyle name="SAPBEXexcBad7 9" xfId="6696"/>
    <cellStyle name="SAPBEXexcBad7 9 2" xfId="60803"/>
    <cellStyle name="SAPBEXexcBad8" xfId="6697"/>
    <cellStyle name="SAPBEXexcBad8 10" xfId="6698"/>
    <cellStyle name="SAPBEXexcBad8 10 2" xfId="60804"/>
    <cellStyle name="SAPBEXexcBad8 11" xfId="6699"/>
    <cellStyle name="SAPBEXexcBad8 2" xfId="6700"/>
    <cellStyle name="SAPBEXexcBad8 2 2" xfId="60805"/>
    <cellStyle name="SAPBEXexcBad8 3" xfId="6701"/>
    <cellStyle name="SAPBEXexcBad8 3 2" xfId="60806"/>
    <cellStyle name="SAPBEXexcBad8 4" xfId="6702"/>
    <cellStyle name="SAPBEXexcBad8 4 2" xfId="60807"/>
    <cellStyle name="SAPBEXexcBad8 5" xfId="6703"/>
    <cellStyle name="SAPBEXexcBad8 5 2" xfId="60808"/>
    <cellStyle name="SAPBEXexcBad8 6" xfId="6704"/>
    <cellStyle name="SAPBEXexcBad8 6 2" xfId="60809"/>
    <cellStyle name="SAPBEXexcBad8 7" xfId="6705"/>
    <cellStyle name="SAPBEXexcBad8 7 2" xfId="60810"/>
    <cellStyle name="SAPBEXexcBad8 8" xfId="6706"/>
    <cellStyle name="SAPBEXexcBad8 8 2" xfId="60811"/>
    <cellStyle name="SAPBEXexcBad8 9" xfId="6707"/>
    <cellStyle name="SAPBEXexcBad8 9 2" xfId="60812"/>
    <cellStyle name="SAPBEXexcBad9" xfId="6708"/>
    <cellStyle name="SAPBEXexcBad9 10" xfId="6709"/>
    <cellStyle name="SAPBEXexcBad9 10 2" xfId="60813"/>
    <cellStyle name="SAPBEXexcBad9 11" xfId="6710"/>
    <cellStyle name="SAPBEXexcBad9 2" xfId="6711"/>
    <cellStyle name="SAPBEXexcBad9 2 2" xfId="60814"/>
    <cellStyle name="SAPBEXexcBad9 3" xfId="6712"/>
    <cellStyle name="SAPBEXexcBad9 3 2" xfId="60815"/>
    <cellStyle name="SAPBEXexcBad9 4" xfId="6713"/>
    <cellStyle name="SAPBEXexcBad9 4 2" xfId="60816"/>
    <cellStyle name="SAPBEXexcBad9 5" xfId="6714"/>
    <cellStyle name="SAPBEXexcBad9 5 2" xfId="60817"/>
    <cellStyle name="SAPBEXexcBad9 6" xfId="6715"/>
    <cellStyle name="SAPBEXexcBad9 6 2" xfId="60818"/>
    <cellStyle name="SAPBEXexcBad9 7" xfId="6716"/>
    <cellStyle name="SAPBEXexcBad9 7 2" xfId="60819"/>
    <cellStyle name="SAPBEXexcBad9 8" xfId="6717"/>
    <cellStyle name="SAPBEXexcBad9 8 2" xfId="60820"/>
    <cellStyle name="SAPBEXexcBad9 9" xfId="6718"/>
    <cellStyle name="SAPBEXexcBad9 9 2" xfId="60821"/>
    <cellStyle name="SAPBEXexcCritical4" xfId="6719"/>
    <cellStyle name="SAPBEXexcCritical4 10" xfId="6720"/>
    <cellStyle name="SAPBEXexcCritical4 10 2" xfId="60822"/>
    <cellStyle name="SAPBEXexcCritical4 11" xfId="6721"/>
    <cellStyle name="SAPBEXexcCritical4 11 2" xfId="60823"/>
    <cellStyle name="SAPBEXexcCritical4 12" xfId="6722"/>
    <cellStyle name="SAPBEXexcCritical4 2" xfId="6723"/>
    <cellStyle name="SAPBEXexcCritical4 2 10" xfId="6724"/>
    <cellStyle name="SAPBEXexcCritical4 2 10 2" xfId="60824"/>
    <cellStyle name="SAPBEXexcCritical4 2 11" xfId="6725"/>
    <cellStyle name="SAPBEXexcCritical4 2 2" xfId="6726"/>
    <cellStyle name="SAPBEXexcCritical4 2 2 2" xfId="60825"/>
    <cellStyle name="SAPBEXexcCritical4 2 3" xfId="6727"/>
    <cellStyle name="SAPBEXexcCritical4 2 3 2" xfId="60826"/>
    <cellStyle name="SAPBEXexcCritical4 2 4" xfId="6728"/>
    <cellStyle name="SAPBEXexcCritical4 2 4 2" xfId="60827"/>
    <cellStyle name="SAPBEXexcCritical4 2 5" xfId="6729"/>
    <cellStyle name="SAPBEXexcCritical4 2 5 2" xfId="60828"/>
    <cellStyle name="SAPBEXexcCritical4 2 6" xfId="6730"/>
    <cellStyle name="SAPBEXexcCritical4 2 6 2" xfId="60829"/>
    <cellStyle name="SAPBEXexcCritical4 2 7" xfId="6731"/>
    <cellStyle name="SAPBEXexcCritical4 2 7 2" xfId="60830"/>
    <cellStyle name="SAPBEXexcCritical4 2 8" xfId="6732"/>
    <cellStyle name="SAPBEXexcCritical4 2 8 2" xfId="60831"/>
    <cellStyle name="SAPBEXexcCritical4 2 9" xfId="6733"/>
    <cellStyle name="SAPBEXexcCritical4 2 9 2" xfId="60832"/>
    <cellStyle name="SAPBEXexcCritical4 3" xfId="6734"/>
    <cellStyle name="SAPBEXexcCritical4 3 2" xfId="60833"/>
    <cellStyle name="SAPBEXexcCritical4 4" xfId="6735"/>
    <cellStyle name="SAPBEXexcCritical4 4 2" xfId="60834"/>
    <cellStyle name="SAPBEXexcCritical4 5" xfId="6736"/>
    <cellStyle name="SAPBEXexcCritical4 5 2" xfId="60835"/>
    <cellStyle name="SAPBEXexcCritical4 6" xfId="6737"/>
    <cellStyle name="SAPBEXexcCritical4 6 2" xfId="60836"/>
    <cellStyle name="SAPBEXexcCritical4 7" xfId="6738"/>
    <cellStyle name="SAPBEXexcCritical4 7 2" xfId="60837"/>
    <cellStyle name="SAPBEXexcCritical4 8" xfId="6739"/>
    <cellStyle name="SAPBEXexcCritical4 8 2" xfId="60838"/>
    <cellStyle name="SAPBEXexcCritical4 9" xfId="6740"/>
    <cellStyle name="SAPBEXexcCritical4 9 2" xfId="60839"/>
    <cellStyle name="SAPBEXexcCritical5" xfId="6741"/>
    <cellStyle name="SAPBEXexcCritical5 10" xfId="6742"/>
    <cellStyle name="SAPBEXexcCritical5 10 2" xfId="60840"/>
    <cellStyle name="SAPBEXexcCritical5 11" xfId="6743"/>
    <cellStyle name="SAPBEXexcCritical5 11 2" xfId="60841"/>
    <cellStyle name="SAPBEXexcCritical5 12" xfId="6744"/>
    <cellStyle name="SAPBEXexcCritical5 2" xfId="6745"/>
    <cellStyle name="SAPBEXexcCritical5 2 10" xfId="6746"/>
    <cellStyle name="SAPBEXexcCritical5 2 10 2" xfId="60842"/>
    <cellStyle name="SAPBEXexcCritical5 2 11" xfId="6747"/>
    <cellStyle name="SAPBEXexcCritical5 2 2" xfId="6748"/>
    <cellStyle name="SAPBEXexcCritical5 2 2 2" xfId="60843"/>
    <cellStyle name="SAPBEXexcCritical5 2 3" xfId="6749"/>
    <cellStyle name="SAPBEXexcCritical5 2 3 2" xfId="60844"/>
    <cellStyle name="SAPBEXexcCritical5 2 4" xfId="6750"/>
    <cellStyle name="SAPBEXexcCritical5 2 4 2" xfId="60845"/>
    <cellStyle name="SAPBEXexcCritical5 2 5" xfId="6751"/>
    <cellStyle name="SAPBEXexcCritical5 2 5 2" xfId="60846"/>
    <cellStyle name="SAPBEXexcCritical5 2 6" xfId="6752"/>
    <cellStyle name="SAPBEXexcCritical5 2 6 2" xfId="60847"/>
    <cellStyle name="SAPBEXexcCritical5 2 7" xfId="6753"/>
    <cellStyle name="SAPBEXexcCritical5 2 7 2" xfId="60848"/>
    <cellStyle name="SAPBEXexcCritical5 2 8" xfId="6754"/>
    <cellStyle name="SAPBEXexcCritical5 2 8 2" xfId="60849"/>
    <cellStyle name="SAPBEXexcCritical5 2 9" xfId="6755"/>
    <cellStyle name="SAPBEXexcCritical5 2 9 2" xfId="60850"/>
    <cellStyle name="SAPBEXexcCritical5 3" xfId="6756"/>
    <cellStyle name="SAPBEXexcCritical5 3 2" xfId="60851"/>
    <cellStyle name="SAPBEXexcCritical5 4" xfId="6757"/>
    <cellStyle name="SAPBEXexcCritical5 4 2" xfId="60852"/>
    <cellStyle name="SAPBEXexcCritical5 5" xfId="6758"/>
    <cellStyle name="SAPBEXexcCritical5 5 2" xfId="60853"/>
    <cellStyle name="SAPBEXexcCritical5 6" xfId="6759"/>
    <cellStyle name="SAPBEXexcCritical5 6 2" xfId="60854"/>
    <cellStyle name="SAPBEXexcCritical5 7" xfId="6760"/>
    <cellStyle name="SAPBEXexcCritical5 7 2" xfId="60855"/>
    <cellStyle name="SAPBEXexcCritical5 8" xfId="6761"/>
    <cellStyle name="SAPBEXexcCritical5 8 2" xfId="60856"/>
    <cellStyle name="SAPBEXexcCritical5 9" xfId="6762"/>
    <cellStyle name="SAPBEXexcCritical5 9 2" xfId="60857"/>
    <cellStyle name="SAPBEXexcCritical6" xfId="6763"/>
    <cellStyle name="SAPBEXexcCritical6 10" xfId="6764"/>
    <cellStyle name="SAPBEXexcCritical6 10 2" xfId="60858"/>
    <cellStyle name="SAPBEXexcCritical6 11" xfId="6765"/>
    <cellStyle name="SAPBEXexcCritical6 11 2" xfId="60859"/>
    <cellStyle name="SAPBEXexcCritical6 12" xfId="6766"/>
    <cellStyle name="SAPBEXexcCritical6 2" xfId="6767"/>
    <cellStyle name="SAPBEXexcCritical6 2 10" xfId="6768"/>
    <cellStyle name="SAPBEXexcCritical6 2 10 2" xfId="60860"/>
    <cellStyle name="SAPBEXexcCritical6 2 11" xfId="6769"/>
    <cellStyle name="SAPBEXexcCritical6 2 2" xfId="6770"/>
    <cellStyle name="SAPBEXexcCritical6 2 2 2" xfId="60861"/>
    <cellStyle name="SAPBEXexcCritical6 2 3" xfId="6771"/>
    <cellStyle name="SAPBEXexcCritical6 2 3 2" xfId="60862"/>
    <cellStyle name="SAPBEXexcCritical6 2 4" xfId="6772"/>
    <cellStyle name="SAPBEXexcCritical6 2 4 2" xfId="60863"/>
    <cellStyle name="SAPBEXexcCritical6 2 5" xfId="6773"/>
    <cellStyle name="SAPBEXexcCritical6 2 5 2" xfId="60864"/>
    <cellStyle name="SAPBEXexcCritical6 2 6" xfId="6774"/>
    <cellStyle name="SAPBEXexcCritical6 2 6 2" xfId="60865"/>
    <cellStyle name="SAPBEXexcCritical6 2 7" xfId="6775"/>
    <cellStyle name="SAPBEXexcCritical6 2 7 2" xfId="60866"/>
    <cellStyle name="SAPBEXexcCritical6 2 8" xfId="6776"/>
    <cellStyle name="SAPBEXexcCritical6 2 8 2" xfId="60867"/>
    <cellStyle name="SAPBEXexcCritical6 2 9" xfId="6777"/>
    <cellStyle name="SAPBEXexcCritical6 2 9 2" xfId="60868"/>
    <cellStyle name="SAPBEXexcCritical6 3" xfId="6778"/>
    <cellStyle name="SAPBEXexcCritical6 3 2" xfId="60869"/>
    <cellStyle name="SAPBEXexcCritical6 4" xfId="6779"/>
    <cellStyle name="SAPBEXexcCritical6 4 2" xfId="60870"/>
    <cellStyle name="SAPBEXexcCritical6 5" xfId="6780"/>
    <cellStyle name="SAPBEXexcCritical6 5 2" xfId="60871"/>
    <cellStyle name="SAPBEXexcCritical6 6" xfId="6781"/>
    <cellStyle name="SAPBEXexcCritical6 6 2" xfId="60872"/>
    <cellStyle name="SAPBEXexcCritical6 7" xfId="6782"/>
    <cellStyle name="SAPBEXexcCritical6 7 2" xfId="60873"/>
    <cellStyle name="SAPBEXexcCritical6 8" xfId="6783"/>
    <cellStyle name="SAPBEXexcCritical6 8 2" xfId="60874"/>
    <cellStyle name="SAPBEXexcCritical6 9" xfId="6784"/>
    <cellStyle name="SAPBEXexcCritical6 9 2" xfId="60875"/>
    <cellStyle name="SAPBEXexcGood1" xfId="6785"/>
    <cellStyle name="SAPBEXexcGood1 10" xfId="6786"/>
    <cellStyle name="SAPBEXexcGood1 10 2" xfId="60876"/>
    <cellStyle name="SAPBEXexcGood1 11" xfId="6787"/>
    <cellStyle name="SAPBEXexcGood1 2" xfId="6788"/>
    <cellStyle name="SAPBEXexcGood1 2 2" xfId="60877"/>
    <cellStyle name="SAPBEXexcGood1 3" xfId="6789"/>
    <cellStyle name="SAPBEXexcGood1 3 2" xfId="60878"/>
    <cellStyle name="SAPBEXexcGood1 4" xfId="6790"/>
    <cellStyle name="SAPBEXexcGood1 4 2" xfId="60879"/>
    <cellStyle name="SAPBEXexcGood1 5" xfId="6791"/>
    <cellStyle name="SAPBEXexcGood1 5 2" xfId="60880"/>
    <cellStyle name="SAPBEXexcGood1 6" xfId="6792"/>
    <cellStyle name="SAPBEXexcGood1 6 2" xfId="60881"/>
    <cellStyle name="SAPBEXexcGood1 7" xfId="6793"/>
    <cellStyle name="SAPBEXexcGood1 7 2" xfId="60882"/>
    <cellStyle name="SAPBEXexcGood1 8" xfId="6794"/>
    <cellStyle name="SAPBEXexcGood1 8 2" xfId="60883"/>
    <cellStyle name="SAPBEXexcGood1 9" xfId="6795"/>
    <cellStyle name="SAPBEXexcGood1 9 2" xfId="60884"/>
    <cellStyle name="SAPBEXexcGood2" xfId="6796"/>
    <cellStyle name="SAPBEXexcGood2 10" xfId="6797"/>
    <cellStyle name="SAPBEXexcGood2 10 2" xfId="60885"/>
    <cellStyle name="SAPBEXexcGood2 11" xfId="6798"/>
    <cellStyle name="SAPBEXexcGood2 2" xfId="6799"/>
    <cellStyle name="SAPBEXexcGood2 2 2" xfId="60886"/>
    <cellStyle name="SAPBEXexcGood2 3" xfId="6800"/>
    <cellStyle name="SAPBEXexcGood2 3 2" xfId="60887"/>
    <cellStyle name="SAPBEXexcGood2 4" xfId="6801"/>
    <cellStyle name="SAPBEXexcGood2 4 2" xfId="60888"/>
    <cellStyle name="SAPBEXexcGood2 5" xfId="6802"/>
    <cellStyle name="SAPBEXexcGood2 5 2" xfId="60889"/>
    <cellStyle name="SAPBEXexcGood2 6" xfId="6803"/>
    <cellStyle name="SAPBEXexcGood2 6 2" xfId="60890"/>
    <cellStyle name="SAPBEXexcGood2 7" xfId="6804"/>
    <cellStyle name="SAPBEXexcGood2 7 2" xfId="60891"/>
    <cellStyle name="SAPBEXexcGood2 8" xfId="6805"/>
    <cellStyle name="SAPBEXexcGood2 8 2" xfId="60892"/>
    <cellStyle name="SAPBEXexcGood2 9" xfId="6806"/>
    <cellStyle name="SAPBEXexcGood2 9 2" xfId="60893"/>
    <cellStyle name="SAPBEXexcGood3" xfId="6807"/>
    <cellStyle name="SAPBEXexcGood3 10" xfId="6808"/>
    <cellStyle name="SAPBEXexcGood3 10 2" xfId="60894"/>
    <cellStyle name="SAPBEXexcGood3 11" xfId="6809"/>
    <cellStyle name="SAPBEXexcGood3 11 2" xfId="60895"/>
    <cellStyle name="SAPBEXexcGood3 12" xfId="6810"/>
    <cellStyle name="SAPBEXexcGood3 2" xfId="6811"/>
    <cellStyle name="SAPBEXexcGood3 2 10" xfId="6812"/>
    <cellStyle name="SAPBEXexcGood3 2 10 2" xfId="60896"/>
    <cellStyle name="SAPBEXexcGood3 2 11" xfId="6813"/>
    <cellStyle name="SAPBEXexcGood3 2 2" xfId="6814"/>
    <cellStyle name="SAPBEXexcGood3 2 2 2" xfId="60897"/>
    <cellStyle name="SAPBEXexcGood3 2 3" xfId="6815"/>
    <cellStyle name="SAPBEXexcGood3 2 3 2" xfId="60898"/>
    <cellStyle name="SAPBEXexcGood3 2 4" xfId="6816"/>
    <cellStyle name="SAPBEXexcGood3 2 4 2" xfId="60899"/>
    <cellStyle name="SAPBEXexcGood3 2 5" xfId="6817"/>
    <cellStyle name="SAPBEXexcGood3 2 5 2" xfId="60900"/>
    <cellStyle name="SAPBEXexcGood3 2 6" xfId="6818"/>
    <cellStyle name="SAPBEXexcGood3 2 6 2" xfId="60901"/>
    <cellStyle name="SAPBEXexcGood3 2 7" xfId="6819"/>
    <cellStyle name="SAPBEXexcGood3 2 7 2" xfId="60902"/>
    <cellStyle name="SAPBEXexcGood3 2 8" xfId="6820"/>
    <cellStyle name="SAPBEXexcGood3 2 8 2" xfId="60903"/>
    <cellStyle name="SAPBEXexcGood3 2 9" xfId="6821"/>
    <cellStyle name="SAPBEXexcGood3 2 9 2" xfId="60904"/>
    <cellStyle name="SAPBEXexcGood3 3" xfId="6822"/>
    <cellStyle name="SAPBEXexcGood3 3 2" xfId="60905"/>
    <cellStyle name="SAPBEXexcGood3 4" xfId="6823"/>
    <cellStyle name="SAPBEXexcGood3 4 2" xfId="60906"/>
    <cellStyle name="SAPBEXexcGood3 5" xfId="6824"/>
    <cellStyle name="SAPBEXexcGood3 5 2" xfId="60907"/>
    <cellStyle name="SAPBEXexcGood3 6" xfId="6825"/>
    <cellStyle name="SAPBEXexcGood3 6 2" xfId="60908"/>
    <cellStyle name="SAPBEXexcGood3 7" xfId="6826"/>
    <cellStyle name="SAPBEXexcGood3 7 2" xfId="60909"/>
    <cellStyle name="SAPBEXexcGood3 8" xfId="6827"/>
    <cellStyle name="SAPBEXexcGood3 8 2" xfId="60910"/>
    <cellStyle name="SAPBEXexcGood3 9" xfId="6828"/>
    <cellStyle name="SAPBEXexcGood3 9 2" xfId="60911"/>
    <cellStyle name="SAPBEXfilterDrill" xfId="6829"/>
    <cellStyle name="SAPBEXfilterDrill 2" xfId="6830"/>
    <cellStyle name="SAPBEXfilterItem" xfId="6831"/>
    <cellStyle name="SAPBEXfilterItem 2" xfId="6832"/>
    <cellStyle name="SAPBEXfilterText" xfId="6833"/>
    <cellStyle name="SAPBEXfilterText 2" xfId="6834"/>
    <cellStyle name="SAPBEXformats" xfId="6835"/>
    <cellStyle name="SAPBEXformats 10" xfId="6836"/>
    <cellStyle name="SAPBEXformats 10 2" xfId="60912"/>
    <cellStyle name="SAPBEXformats 11" xfId="6837"/>
    <cellStyle name="SAPBEXformats 11 2" xfId="60913"/>
    <cellStyle name="SAPBEXformats 12" xfId="6838"/>
    <cellStyle name="SAPBEXformats 2" xfId="6839"/>
    <cellStyle name="SAPBEXformats 2 10" xfId="6840"/>
    <cellStyle name="SAPBEXformats 2 10 2" xfId="60914"/>
    <cellStyle name="SAPBEXformats 2 11" xfId="6841"/>
    <cellStyle name="SAPBEXformats 2 2" xfId="6842"/>
    <cellStyle name="SAPBEXformats 2 2 2" xfId="60915"/>
    <cellStyle name="SAPBEXformats 2 3" xfId="6843"/>
    <cellStyle name="SAPBEXformats 2 3 2" xfId="60916"/>
    <cellStyle name="SAPBEXformats 2 4" xfId="6844"/>
    <cellStyle name="SAPBEXformats 2 4 2" xfId="60917"/>
    <cellStyle name="SAPBEXformats 2 5" xfId="6845"/>
    <cellStyle name="SAPBEXformats 2 5 2" xfId="60918"/>
    <cellStyle name="SAPBEXformats 2 6" xfId="6846"/>
    <cellStyle name="SAPBEXformats 2 6 2" xfId="60919"/>
    <cellStyle name="SAPBEXformats 2 7" xfId="6847"/>
    <cellStyle name="SAPBEXformats 2 7 2" xfId="60920"/>
    <cellStyle name="SAPBEXformats 2 8" xfId="6848"/>
    <cellStyle name="SAPBEXformats 2 8 2" xfId="60921"/>
    <cellStyle name="SAPBEXformats 2 9" xfId="6849"/>
    <cellStyle name="SAPBEXformats 2 9 2" xfId="60922"/>
    <cellStyle name="SAPBEXformats 3" xfId="6850"/>
    <cellStyle name="SAPBEXformats 3 2" xfId="60923"/>
    <cellStyle name="SAPBEXformats 4" xfId="6851"/>
    <cellStyle name="SAPBEXformats 4 2" xfId="60924"/>
    <cellStyle name="SAPBEXformats 5" xfId="6852"/>
    <cellStyle name="SAPBEXformats 5 2" xfId="60925"/>
    <cellStyle name="SAPBEXformats 6" xfId="6853"/>
    <cellStyle name="SAPBEXformats 6 2" xfId="60926"/>
    <cellStyle name="SAPBEXformats 7" xfId="6854"/>
    <cellStyle name="SAPBEXformats 7 2" xfId="60927"/>
    <cellStyle name="SAPBEXformats 8" xfId="6855"/>
    <cellStyle name="SAPBEXformats 8 2" xfId="60928"/>
    <cellStyle name="SAPBEXformats 9" xfId="6856"/>
    <cellStyle name="SAPBEXformats 9 2" xfId="60929"/>
    <cellStyle name="SAPBEXheaderItem" xfId="6857"/>
    <cellStyle name="SAPBEXheaderItem 2" xfId="6858"/>
    <cellStyle name="SAPBEXheaderText" xfId="6859"/>
    <cellStyle name="SAPBEXheaderText 2" xfId="6860"/>
    <cellStyle name="SAPBEXHLevel0" xfId="6861"/>
    <cellStyle name="SAPBEXHLevel0 10" xfId="6862"/>
    <cellStyle name="SAPBEXHLevel0 10 2" xfId="60930"/>
    <cellStyle name="SAPBEXHLevel0 11" xfId="6863"/>
    <cellStyle name="SAPBEXHLevel0 11 2" xfId="60931"/>
    <cellStyle name="SAPBEXHLevel0 12" xfId="6864"/>
    <cellStyle name="SAPBEXHLevel0 2" xfId="6865"/>
    <cellStyle name="SAPBEXHLevel0 2 10" xfId="6866"/>
    <cellStyle name="SAPBEXHLevel0 2 10 2" xfId="60932"/>
    <cellStyle name="SAPBEXHLevel0 2 11" xfId="6867"/>
    <cellStyle name="SAPBEXHLevel0 2 2" xfId="6868"/>
    <cellStyle name="SAPBEXHLevel0 2 2 2" xfId="60933"/>
    <cellStyle name="SAPBEXHLevel0 2 3" xfId="6869"/>
    <cellStyle name="SAPBEXHLevel0 2 3 2" xfId="60934"/>
    <cellStyle name="SAPBEXHLevel0 2 4" xfId="6870"/>
    <cellStyle name="SAPBEXHLevel0 2 4 2" xfId="60935"/>
    <cellStyle name="SAPBEXHLevel0 2 5" xfId="6871"/>
    <cellStyle name="SAPBEXHLevel0 2 5 2" xfId="60936"/>
    <cellStyle name="SAPBEXHLevel0 2 6" xfId="6872"/>
    <cellStyle name="SAPBEXHLevel0 2 6 2" xfId="60937"/>
    <cellStyle name="SAPBEXHLevel0 2 7" xfId="6873"/>
    <cellStyle name="SAPBEXHLevel0 2 7 2" xfId="60938"/>
    <cellStyle name="SAPBEXHLevel0 2 8" xfId="6874"/>
    <cellStyle name="SAPBEXHLevel0 2 8 2" xfId="60939"/>
    <cellStyle name="SAPBEXHLevel0 2 9" xfId="6875"/>
    <cellStyle name="SAPBEXHLevel0 2 9 2" xfId="60940"/>
    <cellStyle name="SAPBEXHLevel0 3" xfId="6876"/>
    <cellStyle name="SAPBEXHLevel0 3 2" xfId="60941"/>
    <cellStyle name="SAPBEXHLevel0 4" xfId="6877"/>
    <cellStyle name="SAPBEXHLevel0 4 2" xfId="60942"/>
    <cellStyle name="SAPBEXHLevel0 5" xfId="6878"/>
    <cellStyle name="SAPBEXHLevel0 5 2" xfId="60943"/>
    <cellStyle name="SAPBEXHLevel0 6" xfId="6879"/>
    <cellStyle name="SAPBEXHLevel0 6 2" xfId="60944"/>
    <cellStyle name="SAPBEXHLevel0 7" xfId="6880"/>
    <cellStyle name="SAPBEXHLevel0 7 2" xfId="60945"/>
    <cellStyle name="SAPBEXHLevel0 8" xfId="6881"/>
    <cellStyle name="SAPBEXHLevel0 8 2" xfId="60946"/>
    <cellStyle name="SAPBEXHLevel0 9" xfId="6882"/>
    <cellStyle name="SAPBEXHLevel0 9 2" xfId="60947"/>
    <cellStyle name="SAPBEXHLevel0X" xfId="6883"/>
    <cellStyle name="SAPBEXHLevel0X 10" xfId="6884"/>
    <cellStyle name="SAPBEXHLevel0X 10 2" xfId="60948"/>
    <cellStyle name="SAPBEXHLevel0X 11" xfId="6885"/>
    <cellStyle name="SAPBEXHLevel0X 11 2" xfId="60949"/>
    <cellStyle name="SAPBEXHLevel0X 12" xfId="6886"/>
    <cellStyle name="SAPBEXHLevel0X 2" xfId="6887"/>
    <cellStyle name="SAPBEXHLevel0X 2 10" xfId="6888"/>
    <cellStyle name="SAPBEXHLevel0X 2 10 2" xfId="60950"/>
    <cellStyle name="SAPBEXHLevel0X 2 11" xfId="6889"/>
    <cellStyle name="SAPBEXHLevel0X 2 2" xfId="6890"/>
    <cellStyle name="SAPBEXHLevel0X 2 2 2" xfId="60951"/>
    <cellStyle name="SAPBEXHLevel0X 2 3" xfId="6891"/>
    <cellStyle name="SAPBEXHLevel0X 2 3 2" xfId="60952"/>
    <cellStyle name="SAPBEXHLevel0X 2 4" xfId="6892"/>
    <cellStyle name="SAPBEXHLevel0X 2 4 2" xfId="60953"/>
    <cellStyle name="SAPBEXHLevel0X 2 5" xfId="6893"/>
    <cellStyle name="SAPBEXHLevel0X 2 5 2" xfId="60954"/>
    <cellStyle name="SAPBEXHLevel0X 2 6" xfId="6894"/>
    <cellStyle name="SAPBEXHLevel0X 2 6 2" xfId="60955"/>
    <cellStyle name="SAPBEXHLevel0X 2 7" xfId="6895"/>
    <cellStyle name="SAPBEXHLevel0X 2 7 2" xfId="60956"/>
    <cellStyle name="SAPBEXHLevel0X 2 8" xfId="6896"/>
    <cellStyle name="SAPBEXHLevel0X 2 8 2" xfId="60957"/>
    <cellStyle name="SAPBEXHLevel0X 2 9" xfId="6897"/>
    <cellStyle name="SAPBEXHLevel0X 2 9 2" xfId="60958"/>
    <cellStyle name="SAPBEXHLevel0X 3" xfId="6898"/>
    <cellStyle name="SAPBEXHLevel0X 3 2" xfId="60959"/>
    <cellStyle name="SAPBEXHLevel0X 4" xfId="6899"/>
    <cellStyle name="SAPBEXHLevel0X 4 2" xfId="60960"/>
    <cellStyle name="SAPBEXHLevel0X 5" xfId="6900"/>
    <cellStyle name="SAPBEXHLevel0X 5 2" xfId="60961"/>
    <cellStyle name="SAPBEXHLevel0X 6" xfId="6901"/>
    <cellStyle name="SAPBEXHLevel0X 6 2" xfId="60962"/>
    <cellStyle name="SAPBEXHLevel0X 7" xfId="6902"/>
    <cellStyle name="SAPBEXHLevel0X 7 2" xfId="60963"/>
    <cellStyle name="SAPBEXHLevel0X 8" xfId="6903"/>
    <cellStyle name="SAPBEXHLevel0X 8 2" xfId="60964"/>
    <cellStyle name="SAPBEXHLevel0X 9" xfId="6904"/>
    <cellStyle name="SAPBEXHLevel0X 9 2" xfId="60965"/>
    <cellStyle name="SAPBEXHLevel1" xfId="6905"/>
    <cellStyle name="SAPBEXHLevel1 10" xfId="6906"/>
    <cellStyle name="SAPBEXHLevel1 10 2" xfId="60966"/>
    <cellStyle name="SAPBEXHLevel1 11" xfId="6907"/>
    <cellStyle name="SAPBEXHLevel1 11 2" xfId="60967"/>
    <cellStyle name="SAPBEXHLevel1 12" xfId="6908"/>
    <cellStyle name="SAPBEXHLevel1 2" xfId="6909"/>
    <cellStyle name="SAPBEXHLevel1 2 10" xfId="6910"/>
    <cellStyle name="SAPBEXHLevel1 2 10 2" xfId="60968"/>
    <cellStyle name="SAPBEXHLevel1 2 11" xfId="6911"/>
    <cellStyle name="SAPBEXHLevel1 2 2" xfId="6912"/>
    <cellStyle name="SAPBEXHLevel1 2 2 2" xfId="60969"/>
    <cellStyle name="SAPBEXHLevel1 2 3" xfId="6913"/>
    <cellStyle name="SAPBEXHLevel1 2 3 2" xfId="60970"/>
    <cellStyle name="SAPBEXHLevel1 2 4" xfId="6914"/>
    <cellStyle name="SAPBEXHLevel1 2 4 2" xfId="60971"/>
    <cellStyle name="SAPBEXHLevel1 2 5" xfId="6915"/>
    <cellStyle name="SAPBEXHLevel1 2 5 2" xfId="60972"/>
    <cellStyle name="SAPBEXHLevel1 2 6" xfId="6916"/>
    <cellStyle name="SAPBEXHLevel1 2 6 2" xfId="60973"/>
    <cellStyle name="SAPBEXHLevel1 2 7" xfId="6917"/>
    <cellStyle name="SAPBEXHLevel1 2 7 2" xfId="60974"/>
    <cellStyle name="SAPBEXHLevel1 2 8" xfId="6918"/>
    <cellStyle name="SAPBEXHLevel1 2 8 2" xfId="60975"/>
    <cellStyle name="SAPBEXHLevel1 2 9" xfId="6919"/>
    <cellStyle name="SAPBEXHLevel1 2 9 2" xfId="60976"/>
    <cellStyle name="SAPBEXHLevel1 3" xfId="6920"/>
    <cellStyle name="SAPBEXHLevel1 3 2" xfId="60977"/>
    <cellStyle name="SAPBEXHLevel1 4" xfId="6921"/>
    <cellStyle name="SAPBEXHLevel1 4 2" xfId="60978"/>
    <cellStyle name="SAPBEXHLevel1 5" xfId="6922"/>
    <cellStyle name="SAPBEXHLevel1 5 2" xfId="60979"/>
    <cellStyle name="SAPBEXHLevel1 6" xfId="6923"/>
    <cellStyle name="SAPBEXHLevel1 6 2" xfId="60980"/>
    <cellStyle name="SAPBEXHLevel1 7" xfId="6924"/>
    <cellStyle name="SAPBEXHLevel1 7 2" xfId="60981"/>
    <cellStyle name="SAPBEXHLevel1 8" xfId="6925"/>
    <cellStyle name="SAPBEXHLevel1 8 2" xfId="60982"/>
    <cellStyle name="SAPBEXHLevel1 9" xfId="6926"/>
    <cellStyle name="SAPBEXHLevel1 9 2" xfId="60983"/>
    <cellStyle name="SAPBEXHLevel1X" xfId="6927"/>
    <cellStyle name="SAPBEXHLevel1X 10" xfId="6928"/>
    <cellStyle name="SAPBEXHLevel1X 10 2" xfId="60984"/>
    <cellStyle name="SAPBEXHLevel1X 11" xfId="6929"/>
    <cellStyle name="SAPBEXHLevel1X 11 2" xfId="60985"/>
    <cellStyle name="SAPBEXHLevel1X 12" xfId="6930"/>
    <cellStyle name="SAPBEXHLevel1X 2" xfId="6931"/>
    <cellStyle name="SAPBEXHLevel1X 2 10" xfId="6932"/>
    <cellStyle name="SAPBEXHLevel1X 2 10 2" xfId="60986"/>
    <cellStyle name="SAPBEXHLevel1X 2 11" xfId="6933"/>
    <cellStyle name="SAPBEXHLevel1X 2 2" xfId="6934"/>
    <cellStyle name="SAPBEXHLevel1X 2 2 2" xfId="60987"/>
    <cellStyle name="SAPBEXHLevel1X 2 3" xfId="6935"/>
    <cellStyle name="SAPBEXHLevel1X 2 3 2" xfId="60988"/>
    <cellStyle name="SAPBEXHLevel1X 2 4" xfId="6936"/>
    <cellStyle name="SAPBEXHLevel1X 2 4 2" xfId="60989"/>
    <cellStyle name="SAPBEXHLevel1X 2 5" xfId="6937"/>
    <cellStyle name="SAPBEXHLevel1X 2 5 2" xfId="60990"/>
    <cellStyle name="SAPBEXHLevel1X 2 6" xfId="6938"/>
    <cellStyle name="SAPBEXHLevel1X 2 6 2" xfId="60991"/>
    <cellStyle name="SAPBEXHLevel1X 2 7" xfId="6939"/>
    <cellStyle name="SAPBEXHLevel1X 2 7 2" xfId="60992"/>
    <cellStyle name="SAPBEXHLevel1X 2 8" xfId="6940"/>
    <cellStyle name="SAPBEXHLevel1X 2 8 2" xfId="60993"/>
    <cellStyle name="SAPBEXHLevel1X 2 9" xfId="6941"/>
    <cellStyle name="SAPBEXHLevel1X 2 9 2" xfId="60994"/>
    <cellStyle name="SAPBEXHLevel1X 3" xfId="6942"/>
    <cellStyle name="SAPBEXHLevel1X 3 2" xfId="60995"/>
    <cellStyle name="SAPBEXHLevel1X 4" xfId="6943"/>
    <cellStyle name="SAPBEXHLevel1X 4 2" xfId="60996"/>
    <cellStyle name="SAPBEXHLevel1X 5" xfId="6944"/>
    <cellStyle name="SAPBEXHLevel1X 5 2" xfId="60997"/>
    <cellStyle name="SAPBEXHLevel1X 6" xfId="6945"/>
    <cellStyle name="SAPBEXHLevel1X 6 2" xfId="60998"/>
    <cellStyle name="SAPBEXHLevel1X 7" xfId="6946"/>
    <cellStyle name="SAPBEXHLevel1X 7 2" xfId="60999"/>
    <cellStyle name="SAPBEXHLevel1X 8" xfId="6947"/>
    <cellStyle name="SAPBEXHLevel1X 8 2" xfId="61000"/>
    <cellStyle name="SAPBEXHLevel1X 9" xfId="6948"/>
    <cellStyle name="SAPBEXHLevel1X 9 2" xfId="61001"/>
    <cellStyle name="SAPBEXHLevel2" xfId="6949"/>
    <cellStyle name="SAPBEXHLevel2 10" xfId="6950"/>
    <cellStyle name="SAPBEXHLevel2 10 2" xfId="61002"/>
    <cellStyle name="SAPBEXHLevel2 11" xfId="6951"/>
    <cellStyle name="SAPBEXHLevel2 11 2" xfId="61003"/>
    <cellStyle name="SAPBEXHLevel2 12" xfId="6952"/>
    <cellStyle name="SAPBEXHLevel2 2" xfId="6953"/>
    <cellStyle name="SAPBEXHLevel2 2 10" xfId="6954"/>
    <cellStyle name="SAPBEXHLevel2 2 10 2" xfId="61004"/>
    <cellStyle name="SAPBEXHLevel2 2 11" xfId="6955"/>
    <cellStyle name="SAPBEXHLevel2 2 2" xfId="6956"/>
    <cellStyle name="SAPBEXHLevel2 2 2 2" xfId="61005"/>
    <cellStyle name="SAPBEXHLevel2 2 3" xfId="6957"/>
    <cellStyle name="SAPBEXHLevel2 2 3 2" xfId="61006"/>
    <cellStyle name="SAPBEXHLevel2 2 4" xfId="6958"/>
    <cellStyle name="SAPBEXHLevel2 2 4 2" xfId="61007"/>
    <cellStyle name="SAPBEXHLevel2 2 5" xfId="6959"/>
    <cellStyle name="SAPBEXHLevel2 2 5 2" xfId="61008"/>
    <cellStyle name="SAPBEXHLevel2 2 6" xfId="6960"/>
    <cellStyle name="SAPBEXHLevel2 2 6 2" xfId="61009"/>
    <cellStyle name="SAPBEXHLevel2 2 7" xfId="6961"/>
    <cellStyle name="SAPBEXHLevel2 2 7 2" xfId="61010"/>
    <cellStyle name="SAPBEXHLevel2 2 8" xfId="6962"/>
    <cellStyle name="SAPBEXHLevel2 2 8 2" xfId="61011"/>
    <cellStyle name="SAPBEXHLevel2 2 9" xfId="6963"/>
    <cellStyle name="SAPBEXHLevel2 2 9 2" xfId="61012"/>
    <cellStyle name="SAPBEXHLevel2 3" xfId="6964"/>
    <cellStyle name="SAPBEXHLevel2 3 2" xfId="61013"/>
    <cellStyle name="SAPBEXHLevel2 4" xfId="6965"/>
    <cellStyle name="SAPBEXHLevel2 4 2" xfId="61014"/>
    <cellStyle name="SAPBEXHLevel2 5" xfId="6966"/>
    <cellStyle name="SAPBEXHLevel2 5 2" xfId="61015"/>
    <cellStyle name="SAPBEXHLevel2 6" xfId="6967"/>
    <cellStyle name="SAPBEXHLevel2 6 2" xfId="61016"/>
    <cellStyle name="SAPBEXHLevel2 7" xfId="6968"/>
    <cellStyle name="SAPBEXHLevel2 7 2" xfId="61017"/>
    <cellStyle name="SAPBEXHLevel2 8" xfId="6969"/>
    <cellStyle name="SAPBEXHLevel2 8 2" xfId="61018"/>
    <cellStyle name="SAPBEXHLevel2 9" xfId="6970"/>
    <cellStyle name="SAPBEXHLevel2 9 2" xfId="61019"/>
    <cellStyle name="SAPBEXHLevel2X" xfId="6971"/>
    <cellStyle name="SAPBEXHLevel2X 10" xfId="6972"/>
    <cellStyle name="SAPBEXHLevel2X 10 2" xfId="61020"/>
    <cellStyle name="SAPBEXHLevel2X 11" xfId="6973"/>
    <cellStyle name="SAPBEXHLevel2X 11 2" xfId="61021"/>
    <cellStyle name="SAPBEXHLevel2X 12" xfId="6974"/>
    <cellStyle name="SAPBEXHLevel2X 2" xfId="6975"/>
    <cellStyle name="SAPBEXHLevel2X 2 10" xfId="6976"/>
    <cellStyle name="SAPBEXHLevel2X 2 10 2" xfId="61022"/>
    <cellStyle name="SAPBEXHLevel2X 2 11" xfId="6977"/>
    <cellStyle name="SAPBEXHLevel2X 2 2" xfId="6978"/>
    <cellStyle name="SAPBEXHLevel2X 2 2 2" xfId="61023"/>
    <cellStyle name="SAPBEXHLevel2X 2 3" xfId="6979"/>
    <cellStyle name="SAPBEXHLevel2X 2 3 2" xfId="61024"/>
    <cellStyle name="SAPBEXHLevel2X 2 4" xfId="6980"/>
    <cellStyle name="SAPBEXHLevel2X 2 4 2" xfId="61025"/>
    <cellStyle name="SAPBEXHLevel2X 2 5" xfId="6981"/>
    <cellStyle name="SAPBEXHLevel2X 2 5 2" xfId="61026"/>
    <cellStyle name="SAPBEXHLevel2X 2 6" xfId="6982"/>
    <cellStyle name="SAPBEXHLevel2X 2 6 2" xfId="61027"/>
    <cellStyle name="SAPBEXHLevel2X 2 7" xfId="6983"/>
    <cellStyle name="SAPBEXHLevel2X 2 7 2" xfId="61028"/>
    <cellStyle name="SAPBEXHLevel2X 2 8" xfId="6984"/>
    <cellStyle name="SAPBEXHLevel2X 2 8 2" xfId="61029"/>
    <cellStyle name="SAPBEXHLevel2X 2 9" xfId="6985"/>
    <cellStyle name="SAPBEXHLevel2X 2 9 2" xfId="61030"/>
    <cellStyle name="SAPBEXHLevel2X 3" xfId="6986"/>
    <cellStyle name="SAPBEXHLevel2X 3 2" xfId="61031"/>
    <cellStyle name="SAPBEXHLevel2X 4" xfId="6987"/>
    <cellStyle name="SAPBEXHLevel2X 4 2" xfId="61032"/>
    <cellStyle name="SAPBEXHLevel2X 5" xfId="6988"/>
    <cellStyle name="SAPBEXHLevel2X 5 2" xfId="61033"/>
    <cellStyle name="SAPBEXHLevel2X 6" xfId="6989"/>
    <cellStyle name="SAPBEXHLevel2X 6 2" xfId="61034"/>
    <cellStyle name="SAPBEXHLevel2X 7" xfId="6990"/>
    <cellStyle name="SAPBEXHLevel2X 7 2" xfId="61035"/>
    <cellStyle name="SAPBEXHLevel2X 8" xfId="6991"/>
    <cellStyle name="SAPBEXHLevel2X 8 2" xfId="61036"/>
    <cellStyle name="SAPBEXHLevel2X 9" xfId="6992"/>
    <cellStyle name="SAPBEXHLevel2X 9 2" xfId="61037"/>
    <cellStyle name="SAPBEXHLevel3" xfId="6993"/>
    <cellStyle name="SAPBEXHLevel3 10" xfId="6994"/>
    <cellStyle name="SAPBEXHLevel3 10 2" xfId="61038"/>
    <cellStyle name="SAPBEXHLevel3 11" xfId="6995"/>
    <cellStyle name="SAPBEXHLevel3 11 2" xfId="61039"/>
    <cellStyle name="SAPBEXHLevel3 12" xfId="6996"/>
    <cellStyle name="SAPBEXHLevel3 2" xfId="6997"/>
    <cellStyle name="SAPBEXHLevel3 2 10" xfId="6998"/>
    <cellStyle name="SAPBEXHLevel3 2 10 2" xfId="61040"/>
    <cellStyle name="SAPBEXHLevel3 2 11" xfId="6999"/>
    <cellStyle name="SAPBEXHLevel3 2 2" xfId="7000"/>
    <cellStyle name="SAPBEXHLevel3 2 2 2" xfId="61041"/>
    <cellStyle name="SAPBEXHLevel3 2 3" xfId="7001"/>
    <cellStyle name="SAPBEXHLevel3 2 3 2" xfId="61042"/>
    <cellStyle name="SAPBEXHLevel3 2 4" xfId="7002"/>
    <cellStyle name="SAPBEXHLevel3 2 4 2" xfId="61043"/>
    <cellStyle name="SAPBEXHLevel3 2 5" xfId="7003"/>
    <cellStyle name="SAPBEXHLevel3 2 5 2" xfId="61044"/>
    <cellStyle name="SAPBEXHLevel3 2 6" xfId="7004"/>
    <cellStyle name="SAPBEXHLevel3 2 6 2" xfId="61045"/>
    <cellStyle name="SAPBEXHLevel3 2 7" xfId="7005"/>
    <cellStyle name="SAPBEXHLevel3 2 7 2" xfId="61046"/>
    <cellStyle name="SAPBEXHLevel3 2 8" xfId="7006"/>
    <cellStyle name="SAPBEXHLevel3 2 8 2" xfId="61047"/>
    <cellStyle name="SAPBEXHLevel3 2 9" xfId="7007"/>
    <cellStyle name="SAPBEXHLevel3 2 9 2" xfId="61048"/>
    <cellStyle name="SAPBEXHLevel3 3" xfId="7008"/>
    <cellStyle name="SAPBEXHLevel3 3 2" xfId="61049"/>
    <cellStyle name="SAPBEXHLevel3 4" xfId="7009"/>
    <cellStyle name="SAPBEXHLevel3 4 2" xfId="61050"/>
    <cellStyle name="SAPBEXHLevel3 5" xfId="7010"/>
    <cellStyle name="SAPBEXHLevel3 5 2" xfId="61051"/>
    <cellStyle name="SAPBEXHLevel3 6" xfId="7011"/>
    <cellStyle name="SAPBEXHLevel3 6 2" xfId="61052"/>
    <cellStyle name="SAPBEXHLevel3 7" xfId="7012"/>
    <cellStyle name="SAPBEXHLevel3 7 2" xfId="61053"/>
    <cellStyle name="SAPBEXHLevel3 8" xfId="7013"/>
    <cellStyle name="SAPBEXHLevel3 8 2" xfId="61054"/>
    <cellStyle name="SAPBEXHLevel3 9" xfId="7014"/>
    <cellStyle name="SAPBEXHLevel3 9 2" xfId="61055"/>
    <cellStyle name="SAPBEXHLevel3X" xfId="7015"/>
    <cellStyle name="SAPBEXHLevel3X 10" xfId="7016"/>
    <cellStyle name="SAPBEXHLevel3X 10 2" xfId="61056"/>
    <cellStyle name="SAPBEXHLevel3X 11" xfId="7017"/>
    <cellStyle name="SAPBEXHLevel3X 11 2" xfId="61057"/>
    <cellStyle name="SAPBEXHLevel3X 12" xfId="7018"/>
    <cellStyle name="SAPBEXHLevel3X 2" xfId="7019"/>
    <cellStyle name="SAPBEXHLevel3X 2 10" xfId="7020"/>
    <cellStyle name="SAPBEXHLevel3X 2 10 2" xfId="61058"/>
    <cellStyle name="SAPBEXHLevel3X 2 11" xfId="7021"/>
    <cellStyle name="SAPBEXHLevel3X 2 2" xfId="7022"/>
    <cellStyle name="SAPBEXHLevel3X 2 2 2" xfId="61059"/>
    <cellStyle name="SAPBEXHLevel3X 2 3" xfId="7023"/>
    <cellStyle name="SAPBEXHLevel3X 2 3 2" xfId="61060"/>
    <cellStyle name="SAPBEXHLevel3X 2 4" xfId="7024"/>
    <cellStyle name="SAPBEXHLevel3X 2 4 2" xfId="61061"/>
    <cellStyle name="SAPBEXHLevel3X 2 5" xfId="7025"/>
    <cellStyle name="SAPBEXHLevel3X 2 5 2" xfId="61062"/>
    <cellStyle name="SAPBEXHLevel3X 2 6" xfId="7026"/>
    <cellStyle name="SAPBEXHLevel3X 2 6 2" xfId="61063"/>
    <cellStyle name="SAPBEXHLevel3X 2 7" xfId="7027"/>
    <cellStyle name="SAPBEXHLevel3X 2 7 2" xfId="61064"/>
    <cellStyle name="SAPBEXHLevel3X 2 8" xfId="7028"/>
    <cellStyle name="SAPBEXHLevel3X 2 8 2" xfId="61065"/>
    <cellStyle name="SAPBEXHLevel3X 2 9" xfId="7029"/>
    <cellStyle name="SAPBEXHLevel3X 2 9 2" xfId="61066"/>
    <cellStyle name="SAPBEXHLevel3X 3" xfId="7030"/>
    <cellStyle name="SAPBEXHLevel3X 3 2" xfId="61067"/>
    <cellStyle name="SAPBEXHLevel3X 4" xfId="7031"/>
    <cellStyle name="SAPBEXHLevel3X 4 2" xfId="61068"/>
    <cellStyle name="SAPBEXHLevel3X 5" xfId="7032"/>
    <cellStyle name="SAPBEXHLevel3X 5 2" xfId="61069"/>
    <cellStyle name="SAPBEXHLevel3X 6" xfId="7033"/>
    <cellStyle name="SAPBEXHLevel3X 6 2" xfId="61070"/>
    <cellStyle name="SAPBEXHLevel3X 7" xfId="7034"/>
    <cellStyle name="SAPBEXHLevel3X 7 2" xfId="61071"/>
    <cellStyle name="SAPBEXHLevel3X 8" xfId="7035"/>
    <cellStyle name="SAPBEXHLevel3X 8 2" xfId="61072"/>
    <cellStyle name="SAPBEXHLevel3X 9" xfId="7036"/>
    <cellStyle name="SAPBEXHLevel3X 9 2" xfId="61073"/>
    <cellStyle name="SAPBEXresData" xfId="7037"/>
    <cellStyle name="SAPBEXresData 10" xfId="7038"/>
    <cellStyle name="SAPBEXresData 10 2" xfId="61074"/>
    <cellStyle name="SAPBEXresData 11" xfId="7039"/>
    <cellStyle name="SAPBEXresData 2" xfId="7040"/>
    <cellStyle name="SAPBEXresData 2 2" xfId="61075"/>
    <cellStyle name="SAPBEXresData 3" xfId="7041"/>
    <cellStyle name="SAPBEXresData 3 2" xfId="61076"/>
    <cellStyle name="SAPBEXresData 4" xfId="7042"/>
    <cellStyle name="SAPBEXresData 4 2" xfId="61077"/>
    <cellStyle name="SAPBEXresData 5" xfId="7043"/>
    <cellStyle name="SAPBEXresData 5 2" xfId="61078"/>
    <cellStyle name="SAPBEXresData 6" xfId="7044"/>
    <cellStyle name="SAPBEXresData 6 2" xfId="61079"/>
    <cellStyle name="SAPBEXresData 7" xfId="7045"/>
    <cellStyle name="SAPBEXresData 7 2" xfId="61080"/>
    <cellStyle name="SAPBEXresData 8" xfId="7046"/>
    <cellStyle name="SAPBEXresData 8 2" xfId="61081"/>
    <cellStyle name="SAPBEXresData 9" xfId="7047"/>
    <cellStyle name="SAPBEXresData 9 2" xfId="61082"/>
    <cellStyle name="SAPBEXresDataEmph" xfId="7048"/>
    <cellStyle name="SAPBEXresDataEmph 10" xfId="7049"/>
    <cellStyle name="SAPBEXresDataEmph 10 2" xfId="61083"/>
    <cellStyle name="SAPBEXresDataEmph 11" xfId="7050"/>
    <cellStyle name="SAPBEXresDataEmph 2" xfId="7051"/>
    <cellStyle name="SAPBEXresDataEmph 2 2" xfId="61084"/>
    <cellStyle name="SAPBEXresDataEmph 3" xfId="7052"/>
    <cellStyle name="SAPBEXresDataEmph 3 2" xfId="61085"/>
    <cellStyle name="SAPBEXresDataEmph 4" xfId="7053"/>
    <cellStyle name="SAPBEXresDataEmph 4 2" xfId="61086"/>
    <cellStyle name="SAPBEXresDataEmph 5" xfId="7054"/>
    <cellStyle name="SAPBEXresDataEmph 5 2" xfId="61087"/>
    <cellStyle name="SAPBEXresDataEmph 6" xfId="7055"/>
    <cellStyle name="SAPBEXresDataEmph 6 2" xfId="61088"/>
    <cellStyle name="SAPBEXresDataEmph 7" xfId="7056"/>
    <cellStyle name="SAPBEXresDataEmph 7 2" xfId="61089"/>
    <cellStyle name="SAPBEXresDataEmph 8" xfId="7057"/>
    <cellStyle name="SAPBEXresDataEmph 8 2" xfId="61090"/>
    <cellStyle name="SAPBEXresDataEmph 9" xfId="7058"/>
    <cellStyle name="SAPBEXresDataEmph 9 2" xfId="61091"/>
    <cellStyle name="SAPBEXresItem" xfId="7059"/>
    <cellStyle name="SAPBEXresItem 10" xfId="7060"/>
    <cellStyle name="SAPBEXresItem 10 2" xfId="61092"/>
    <cellStyle name="SAPBEXresItem 11" xfId="7061"/>
    <cellStyle name="SAPBEXresItem 11 2" xfId="61093"/>
    <cellStyle name="SAPBEXresItem 12" xfId="7062"/>
    <cellStyle name="SAPBEXresItem 2" xfId="7063"/>
    <cellStyle name="SAPBEXresItem 2 10" xfId="7064"/>
    <cellStyle name="SAPBEXresItem 2 10 2" xfId="61094"/>
    <cellStyle name="SAPBEXresItem 2 11" xfId="7065"/>
    <cellStyle name="SAPBEXresItem 2 2" xfId="7066"/>
    <cellStyle name="SAPBEXresItem 2 2 2" xfId="61095"/>
    <cellStyle name="SAPBEXresItem 2 3" xfId="7067"/>
    <cellStyle name="SAPBEXresItem 2 3 2" xfId="61096"/>
    <cellStyle name="SAPBEXresItem 2 4" xfId="7068"/>
    <cellStyle name="SAPBEXresItem 2 4 2" xfId="61097"/>
    <cellStyle name="SAPBEXresItem 2 5" xfId="7069"/>
    <cellStyle name="SAPBEXresItem 2 5 2" xfId="61098"/>
    <cellStyle name="SAPBEXresItem 2 6" xfId="7070"/>
    <cellStyle name="SAPBEXresItem 2 6 2" xfId="61099"/>
    <cellStyle name="SAPBEXresItem 2 7" xfId="7071"/>
    <cellStyle name="SAPBEXresItem 2 7 2" xfId="61100"/>
    <cellStyle name="SAPBEXresItem 2 8" xfId="7072"/>
    <cellStyle name="SAPBEXresItem 2 8 2" xfId="61101"/>
    <cellStyle name="SAPBEXresItem 2 9" xfId="7073"/>
    <cellStyle name="SAPBEXresItem 2 9 2" xfId="61102"/>
    <cellStyle name="SAPBEXresItem 3" xfId="7074"/>
    <cellStyle name="SAPBEXresItem 3 2" xfId="61103"/>
    <cellStyle name="SAPBEXresItem 4" xfId="7075"/>
    <cellStyle name="SAPBEXresItem 4 2" xfId="61104"/>
    <cellStyle name="SAPBEXresItem 5" xfId="7076"/>
    <cellStyle name="SAPBEXresItem 5 2" xfId="61105"/>
    <cellStyle name="SAPBEXresItem 6" xfId="7077"/>
    <cellStyle name="SAPBEXresItem 6 2" xfId="61106"/>
    <cellStyle name="SAPBEXresItem 7" xfId="7078"/>
    <cellStyle name="SAPBEXresItem 7 2" xfId="61107"/>
    <cellStyle name="SAPBEXresItem 8" xfId="7079"/>
    <cellStyle name="SAPBEXresItem 8 2" xfId="61108"/>
    <cellStyle name="SAPBEXresItem 9" xfId="7080"/>
    <cellStyle name="SAPBEXresItem 9 2" xfId="61109"/>
    <cellStyle name="SAPBEXresItemX" xfId="7081"/>
    <cellStyle name="SAPBEXresItemX 10" xfId="7082"/>
    <cellStyle name="SAPBEXresItemX 10 2" xfId="61110"/>
    <cellStyle name="SAPBEXresItemX 11" xfId="7083"/>
    <cellStyle name="SAPBEXresItemX 11 2" xfId="61111"/>
    <cellStyle name="SAPBEXresItemX 12" xfId="7084"/>
    <cellStyle name="SAPBEXresItemX 2" xfId="7085"/>
    <cellStyle name="SAPBEXresItemX 2 10" xfId="7086"/>
    <cellStyle name="SAPBEXresItemX 2 10 2" xfId="61112"/>
    <cellStyle name="SAPBEXresItemX 2 11" xfId="7087"/>
    <cellStyle name="SAPBEXresItemX 2 2" xfId="7088"/>
    <cellStyle name="SAPBEXresItemX 2 2 2" xfId="61113"/>
    <cellStyle name="SAPBEXresItemX 2 3" xfId="7089"/>
    <cellStyle name="SAPBEXresItemX 2 3 2" xfId="61114"/>
    <cellStyle name="SAPBEXresItemX 2 4" xfId="7090"/>
    <cellStyle name="SAPBEXresItemX 2 4 2" xfId="61115"/>
    <cellStyle name="SAPBEXresItemX 2 5" xfId="7091"/>
    <cellStyle name="SAPBEXresItemX 2 5 2" xfId="61116"/>
    <cellStyle name="SAPBEXresItemX 2 6" xfId="7092"/>
    <cellStyle name="SAPBEXresItemX 2 6 2" xfId="61117"/>
    <cellStyle name="SAPBEXresItemX 2 7" xfId="7093"/>
    <cellStyle name="SAPBEXresItemX 2 7 2" xfId="61118"/>
    <cellStyle name="SAPBEXresItemX 2 8" xfId="7094"/>
    <cellStyle name="SAPBEXresItemX 2 8 2" xfId="61119"/>
    <cellStyle name="SAPBEXresItemX 2 9" xfId="7095"/>
    <cellStyle name="SAPBEXresItemX 2 9 2" xfId="61120"/>
    <cellStyle name="SAPBEXresItemX 3" xfId="7096"/>
    <cellStyle name="SAPBEXresItemX 3 2" xfId="61121"/>
    <cellStyle name="SAPBEXresItemX 4" xfId="7097"/>
    <cellStyle name="SAPBEXresItemX 4 2" xfId="61122"/>
    <cellStyle name="SAPBEXresItemX 5" xfId="7098"/>
    <cellStyle name="SAPBEXresItemX 5 2" xfId="61123"/>
    <cellStyle name="SAPBEXresItemX 6" xfId="7099"/>
    <cellStyle name="SAPBEXresItemX 6 2" xfId="61124"/>
    <cellStyle name="SAPBEXresItemX 7" xfId="7100"/>
    <cellStyle name="SAPBEXresItemX 7 2" xfId="61125"/>
    <cellStyle name="SAPBEXresItemX 8" xfId="7101"/>
    <cellStyle name="SAPBEXresItemX 8 2" xfId="61126"/>
    <cellStyle name="SAPBEXresItemX 9" xfId="7102"/>
    <cellStyle name="SAPBEXresItemX 9 2" xfId="61127"/>
    <cellStyle name="SAPBEXstdData" xfId="7103"/>
    <cellStyle name="SAPBEXstdData 10" xfId="7104"/>
    <cellStyle name="SAPBEXstdData 10 2" xfId="61128"/>
    <cellStyle name="SAPBEXstdData 11" xfId="7105"/>
    <cellStyle name="SAPBEXstdData 11 2" xfId="61129"/>
    <cellStyle name="SAPBEXstdData 12" xfId="7106"/>
    <cellStyle name="SAPBEXstdData 2" xfId="7107"/>
    <cellStyle name="SAPBEXstdData 2 10" xfId="7108"/>
    <cellStyle name="SAPBEXstdData 2 10 2" xfId="61130"/>
    <cellStyle name="SAPBEXstdData 2 11" xfId="7109"/>
    <cellStyle name="SAPBEXstdData 2 2" xfId="7110"/>
    <cellStyle name="SAPBEXstdData 2 2 2" xfId="61131"/>
    <cellStyle name="SAPBEXstdData 2 3" xfId="7111"/>
    <cellStyle name="SAPBEXstdData 2 3 2" xfId="61132"/>
    <cellStyle name="SAPBEXstdData 2 4" xfId="7112"/>
    <cellStyle name="SAPBEXstdData 2 4 2" xfId="61133"/>
    <cellStyle name="SAPBEXstdData 2 5" xfId="7113"/>
    <cellStyle name="SAPBEXstdData 2 5 2" xfId="61134"/>
    <cellStyle name="SAPBEXstdData 2 6" xfId="7114"/>
    <cellStyle name="SAPBEXstdData 2 6 2" xfId="61135"/>
    <cellStyle name="SAPBEXstdData 2 7" xfId="7115"/>
    <cellStyle name="SAPBEXstdData 2 7 2" xfId="61136"/>
    <cellStyle name="SAPBEXstdData 2 8" xfId="7116"/>
    <cellStyle name="SAPBEXstdData 2 8 2" xfId="61137"/>
    <cellStyle name="SAPBEXstdData 2 9" xfId="7117"/>
    <cellStyle name="SAPBEXstdData 2 9 2" xfId="61138"/>
    <cellStyle name="SAPBEXstdData 3" xfId="7118"/>
    <cellStyle name="SAPBEXstdData 3 2" xfId="61139"/>
    <cellStyle name="SAPBEXstdData 4" xfId="7119"/>
    <cellStyle name="SAPBEXstdData 4 2" xfId="61140"/>
    <cellStyle name="SAPBEXstdData 5" xfId="7120"/>
    <cellStyle name="SAPBEXstdData 5 2" xfId="61141"/>
    <cellStyle name="SAPBEXstdData 6" xfId="7121"/>
    <cellStyle name="SAPBEXstdData 6 2" xfId="61142"/>
    <cellStyle name="SAPBEXstdData 7" xfId="7122"/>
    <cellStyle name="SAPBEXstdData 7 2" xfId="61143"/>
    <cellStyle name="SAPBEXstdData 8" xfId="7123"/>
    <cellStyle name="SAPBEXstdData 8 2" xfId="61144"/>
    <cellStyle name="SAPBEXstdData 9" xfId="7124"/>
    <cellStyle name="SAPBEXstdData 9 2" xfId="61145"/>
    <cellStyle name="SAPBEXstdDataEmph" xfId="7125"/>
    <cellStyle name="SAPBEXstdDataEmph 10" xfId="7126"/>
    <cellStyle name="SAPBEXstdDataEmph 10 2" xfId="61146"/>
    <cellStyle name="SAPBEXstdDataEmph 11" xfId="7127"/>
    <cellStyle name="SAPBEXstdDataEmph 11 2" xfId="61147"/>
    <cellStyle name="SAPBEXstdDataEmph 12" xfId="7128"/>
    <cellStyle name="SAPBEXstdDataEmph 2" xfId="7129"/>
    <cellStyle name="SAPBEXstdDataEmph 2 10" xfId="7130"/>
    <cellStyle name="SAPBEXstdDataEmph 2 10 2" xfId="61148"/>
    <cellStyle name="SAPBEXstdDataEmph 2 11" xfId="7131"/>
    <cellStyle name="SAPBEXstdDataEmph 2 2" xfId="7132"/>
    <cellStyle name="SAPBEXstdDataEmph 2 2 2" xfId="61149"/>
    <cellStyle name="SAPBEXstdDataEmph 2 3" xfId="7133"/>
    <cellStyle name="SAPBEXstdDataEmph 2 3 2" xfId="61150"/>
    <cellStyle name="SAPBEXstdDataEmph 2 4" xfId="7134"/>
    <cellStyle name="SAPBEXstdDataEmph 2 4 2" xfId="61151"/>
    <cellStyle name="SAPBEXstdDataEmph 2 5" xfId="7135"/>
    <cellStyle name="SAPBEXstdDataEmph 2 5 2" xfId="61152"/>
    <cellStyle name="SAPBEXstdDataEmph 2 6" xfId="7136"/>
    <cellStyle name="SAPBEXstdDataEmph 2 6 2" xfId="61153"/>
    <cellStyle name="SAPBEXstdDataEmph 2 7" xfId="7137"/>
    <cellStyle name="SAPBEXstdDataEmph 2 7 2" xfId="61154"/>
    <cellStyle name="SAPBEXstdDataEmph 2 8" xfId="7138"/>
    <cellStyle name="SAPBEXstdDataEmph 2 8 2" xfId="61155"/>
    <cellStyle name="SAPBEXstdDataEmph 2 9" xfId="7139"/>
    <cellStyle name="SAPBEXstdDataEmph 2 9 2" xfId="61156"/>
    <cellStyle name="SAPBEXstdDataEmph 3" xfId="7140"/>
    <cellStyle name="SAPBEXstdDataEmph 3 2" xfId="61157"/>
    <cellStyle name="SAPBEXstdDataEmph 4" xfId="7141"/>
    <cellStyle name="SAPBEXstdDataEmph 4 2" xfId="61158"/>
    <cellStyle name="SAPBEXstdDataEmph 5" xfId="7142"/>
    <cellStyle name="SAPBEXstdDataEmph 5 2" xfId="61159"/>
    <cellStyle name="SAPBEXstdDataEmph 6" xfId="7143"/>
    <cellStyle name="SAPBEXstdDataEmph 6 2" xfId="61160"/>
    <cellStyle name="SAPBEXstdDataEmph 7" xfId="7144"/>
    <cellStyle name="SAPBEXstdDataEmph 7 2" xfId="61161"/>
    <cellStyle name="SAPBEXstdDataEmph 8" xfId="7145"/>
    <cellStyle name="SAPBEXstdDataEmph 8 2" xfId="61162"/>
    <cellStyle name="SAPBEXstdDataEmph 9" xfId="7146"/>
    <cellStyle name="SAPBEXstdDataEmph 9 2" xfId="61163"/>
    <cellStyle name="SAPBEXstdItem" xfId="7147"/>
    <cellStyle name="SAPBEXstdItem 10" xfId="7148"/>
    <cellStyle name="SAPBEXstdItem 10 2" xfId="61164"/>
    <cellStyle name="SAPBEXstdItem 11" xfId="7149"/>
    <cellStyle name="SAPBEXstdItem 11 2" xfId="61165"/>
    <cellStyle name="SAPBEXstdItem 12" xfId="7150"/>
    <cellStyle name="SAPBEXstdItem 2" xfId="7151"/>
    <cellStyle name="SAPBEXstdItem 2 10" xfId="7152"/>
    <cellStyle name="SAPBEXstdItem 2 10 2" xfId="61166"/>
    <cellStyle name="SAPBEXstdItem 2 11" xfId="7153"/>
    <cellStyle name="SAPBEXstdItem 2 2" xfId="7154"/>
    <cellStyle name="SAPBEXstdItem 2 2 2" xfId="61167"/>
    <cellStyle name="SAPBEXstdItem 2 3" xfId="7155"/>
    <cellStyle name="SAPBEXstdItem 2 3 2" xfId="61168"/>
    <cellStyle name="SAPBEXstdItem 2 4" xfId="7156"/>
    <cellStyle name="SAPBEXstdItem 2 4 2" xfId="61169"/>
    <cellStyle name="SAPBEXstdItem 2 5" xfId="7157"/>
    <cellStyle name="SAPBEXstdItem 2 5 2" xfId="61170"/>
    <cellStyle name="SAPBEXstdItem 2 6" xfId="7158"/>
    <cellStyle name="SAPBEXstdItem 2 6 2" xfId="61171"/>
    <cellStyle name="SAPBEXstdItem 2 7" xfId="7159"/>
    <cellStyle name="SAPBEXstdItem 2 7 2" xfId="61172"/>
    <cellStyle name="SAPBEXstdItem 2 8" xfId="7160"/>
    <cellStyle name="SAPBEXstdItem 2 8 2" xfId="61173"/>
    <cellStyle name="SAPBEXstdItem 2 9" xfId="7161"/>
    <cellStyle name="SAPBEXstdItem 2 9 2" xfId="61174"/>
    <cellStyle name="SAPBEXstdItem 3" xfId="7162"/>
    <cellStyle name="SAPBEXstdItem 3 2" xfId="61175"/>
    <cellStyle name="SAPBEXstdItem 4" xfId="7163"/>
    <cellStyle name="SAPBEXstdItem 4 2" xfId="61176"/>
    <cellStyle name="SAPBEXstdItem 5" xfId="7164"/>
    <cellStyle name="SAPBEXstdItem 5 2" xfId="61177"/>
    <cellStyle name="SAPBEXstdItem 6" xfId="7165"/>
    <cellStyle name="SAPBEXstdItem 6 2" xfId="61178"/>
    <cellStyle name="SAPBEXstdItem 7" xfId="7166"/>
    <cellStyle name="SAPBEXstdItem 7 2" xfId="61179"/>
    <cellStyle name="SAPBEXstdItem 8" xfId="7167"/>
    <cellStyle name="SAPBEXstdItem 8 2" xfId="61180"/>
    <cellStyle name="SAPBEXstdItem 9" xfId="7168"/>
    <cellStyle name="SAPBEXstdItem 9 2" xfId="61181"/>
    <cellStyle name="SAPBEXstdItemX" xfId="7169"/>
    <cellStyle name="SAPBEXstdItemX 10" xfId="7170"/>
    <cellStyle name="SAPBEXstdItemX 10 2" xfId="61182"/>
    <cellStyle name="SAPBEXstdItemX 11" xfId="7171"/>
    <cellStyle name="SAPBEXstdItemX 11 2" xfId="61183"/>
    <cellStyle name="SAPBEXstdItemX 12" xfId="7172"/>
    <cellStyle name="SAPBEXstdItemX 2" xfId="7173"/>
    <cellStyle name="SAPBEXstdItemX 2 10" xfId="7174"/>
    <cellStyle name="SAPBEXstdItemX 2 10 2" xfId="61184"/>
    <cellStyle name="SAPBEXstdItemX 2 11" xfId="7175"/>
    <cellStyle name="SAPBEXstdItemX 2 2" xfId="7176"/>
    <cellStyle name="SAPBEXstdItemX 2 2 2" xfId="61185"/>
    <cellStyle name="SAPBEXstdItemX 2 3" xfId="7177"/>
    <cellStyle name="SAPBEXstdItemX 2 3 2" xfId="61186"/>
    <cellStyle name="SAPBEXstdItemX 2 4" xfId="7178"/>
    <cellStyle name="SAPBEXstdItemX 2 4 2" xfId="61187"/>
    <cellStyle name="SAPBEXstdItemX 2 5" xfId="7179"/>
    <cellStyle name="SAPBEXstdItemX 2 5 2" xfId="61188"/>
    <cellStyle name="SAPBEXstdItemX 2 6" xfId="7180"/>
    <cellStyle name="SAPBEXstdItemX 2 6 2" xfId="61189"/>
    <cellStyle name="SAPBEXstdItemX 2 7" xfId="7181"/>
    <cellStyle name="SAPBEXstdItemX 2 7 2" xfId="61190"/>
    <cellStyle name="SAPBEXstdItemX 2 8" xfId="7182"/>
    <cellStyle name="SAPBEXstdItemX 2 8 2" xfId="61191"/>
    <cellStyle name="SAPBEXstdItemX 2 9" xfId="7183"/>
    <cellStyle name="SAPBEXstdItemX 2 9 2" xfId="61192"/>
    <cellStyle name="SAPBEXstdItemX 3" xfId="7184"/>
    <cellStyle name="SAPBEXstdItemX 3 2" xfId="61193"/>
    <cellStyle name="SAPBEXstdItemX 4" xfId="7185"/>
    <cellStyle name="SAPBEXstdItemX 4 2" xfId="61194"/>
    <cellStyle name="SAPBEXstdItemX 5" xfId="7186"/>
    <cellStyle name="SAPBEXstdItemX 5 2" xfId="61195"/>
    <cellStyle name="SAPBEXstdItemX 6" xfId="7187"/>
    <cellStyle name="SAPBEXstdItemX 6 2" xfId="61196"/>
    <cellStyle name="SAPBEXstdItemX 7" xfId="7188"/>
    <cellStyle name="SAPBEXstdItemX 7 2" xfId="61197"/>
    <cellStyle name="SAPBEXstdItemX 8" xfId="7189"/>
    <cellStyle name="SAPBEXstdItemX 8 2" xfId="61198"/>
    <cellStyle name="SAPBEXstdItemX 9" xfId="7190"/>
    <cellStyle name="SAPBEXstdItemX 9 2" xfId="61199"/>
    <cellStyle name="SAPBEXtitle" xfId="7191"/>
    <cellStyle name="SAPBEXundefined" xfId="7192"/>
    <cellStyle name="SAPBEXundefined 10" xfId="7193"/>
    <cellStyle name="SAPBEXundefined 10 2" xfId="61200"/>
    <cellStyle name="SAPBEXundefined 11" xfId="7194"/>
    <cellStyle name="SAPBEXundefined 11 2" xfId="61201"/>
    <cellStyle name="SAPBEXundefined 12" xfId="7195"/>
    <cellStyle name="SAPBEXundefined 2" xfId="7196"/>
    <cellStyle name="SAPBEXundefined 2 10" xfId="7197"/>
    <cellStyle name="SAPBEXundefined 2 10 2" xfId="61202"/>
    <cellStyle name="SAPBEXundefined 2 11" xfId="7198"/>
    <cellStyle name="SAPBEXundefined 2 2" xfId="7199"/>
    <cellStyle name="SAPBEXundefined 2 2 2" xfId="61203"/>
    <cellStyle name="SAPBEXundefined 2 3" xfId="7200"/>
    <cellStyle name="SAPBEXundefined 2 3 2" xfId="61204"/>
    <cellStyle name="SAPBEXundefined 2 4" xfId="7201"/>
    <cellStyle name="SAPBEXundefined 2 4 2" xfId="61205"/>
    <cellStyle name="SAPBEXundefined 2 5" xfId="7202"/>
    <cellStyle name="SAPBEXundefined 2 5 2" xfId="61206"/>
    <cellStyle name="SAPBEXundefined 2 6" xfId="7203"/>
    <cellStyle name="SAPBEXundefined 2 6 2" xfId="61207"/>
    <cellStyle name="SAPBEXundefined 2 7" xfId="7204"/>
    <cellStyle name="SAPBEXundefined 2 7 2" xfId="61208"/>
    <cellStyle name="SAPBEXundefined 2 8" xfId="7205"/>
    <cellStyle name="SAPBEXundefined 2 8 2" xfId="61209"/>
    <cellStyle name="SAPBEXundefined 2 9" xfId="7206"/>
    <cellStyle name="SAPBEXundefined 2 9 2" xfId="61210"/>
    <cellStyle name="SAPBEXundefined 3" xfId="7207"/>
    <cellStyle name="SAPBEXundefined 3 2" xfId="61211"/>
    <cellStyle name="SAPBEXundefined 4" xfId="7208"/>
    <cellStyle name="SAPBEXundefined 4 2" xfId="61212"/>
    <cellStyle name="SAPBEXundefined 5" xfId="7209"/>
    <cellStyle name="SAPBEXundefined 5 2" xfId="61213"/>
    <cellStyle name="SAPBEXundefined 6" xfId="7210"/>
    <cellStyle name="SAPBEXundefined 6 2" xfId="61214"/>
    <cellStyle name="SAPBEXundefined 7" xfId="7211"/>
    <cellStyle name="SAPBEXundefined 7 2" xfId="61215"/>
    <cellStyle name="SAPBEXundefined 8" xfId="7212"/>
    <cellStyle name="SAPBEXundefined 8 2" xfId="61216"/>
    <cellStyle name="SAPBEXundefined 9" xfId="7213"/>
    <cellStyle name="SAPBEXundefined 9 2" xfId="61217"/>
    <cellStyle name="SAPDataCell" xfId="61218"/>
    <cellStyle name="SAPDataTotalCell" xfId="61219"/>
    <cellStyle name="SAPDimensionCell" xfId="61220"/>
    <cellStyle name="SAPEmphasized" xfId="61221"/>
    <cellStyle name="SAPHierarchyCell0" xfId="61222"/>
    <cellStyle name="SAPHierarchyCell1" xfId="61223"/>
    <cellStyle name="SAPHierarchyCell2" xfId="61224"/>
    <cellStyle name="SAPHierarchyCell3" xfId="61225"/>
    <cellStyle name="SAPHierarchyCell4" xfId="61226"/>
    <cellStyle name="SAPLocked" xfId="7214"/>
    <cellStyle name="SAPLocked 10" xfId="7215"/>
    <cellStyle name="SAPLocked 10 10" xfId="7216"/>
    <cellStyle name="SAPLocked 10 10 2" xfId="61227"/>
    <cellStyle name="SAPLocked 10 11" xfId="7217"/>
    <cellStyle name="SAPLocked 10 11 2" xfId="61228"/>
    <cellStyle name="SAPLocked 10 12" xfId="7218"/>
    <cellStyle name="SAPLocked 10 12 2" xfId="61229"/>
    <cellStyle name="SAPLocked 10 13" xfId="7219"/>
    <cellStyle name="SAPLocked 10 2" xfId="7220"/>
    <cellStyle name="SAPLocked 10 2 10" xfId="7221"/>
    <cellStyle name="SAPLocked 10 2 10 2" xfId="61230"/>
    <cellStyle name="SAPLocked 10 2 11" xfId="7222"/>
    <cellStyle name="SAPLocked 10 2 11 2" xfId="61231"/>
    <cellStyle name="SAPLocked 10 2 12" xfId="7223"/>
    <cellStyle name="SAPLocked 10 2 2" xfId="7224"/>
    <cellStyle name="SAPLocked 10 2 2 2" xfId="61232"/>
    <cellStyle name="SAPLocked 10 2 3" xfId="7225"/>
    <cellStyle name="SAPLocked 10 2 3 2" xfId="61233"/>
    <cellStyle name="SAPLocked 10 2 4" xfId="7226"/>
    <cellStyle name="SAPLocked 10 2 4 2" xfId="61234"/>
    <cellStyle name="SAPLocked 10 2 5" xfId="7227"/>
    <cellStyle name="SAPLocked 10 2 5 2" xfId="61235"/>
    <cellStyle name="SAPLocked 10 2 6" xfId="7228"/>
    <cellStyle name="SAPLocked 10 2 6 2" xfId="61236"/>
    <cellStyle name="SAPLocked 10 2 7" xfId="7229"/>
    <cellStyle name="SAPLocked 10 2 7 2" xfId="61237"/>
    <cellStyle name="SAPLocked 10 2 8" xfId="7230"/>
    <cellStyle name="SAPLocked 10 2 8 2" xfId="61238"/>
    <cellStyle name="SAPLocked 10 2 9" xfId="7231"/>
    <cellStyle name="SAPLocked 10 2 9 2" xfId="61239"/>
    <cellStyle name="SAPLocked 10 3" xfId="7232"/>
    <cellStyle name="SAPLocked 10 3 2" xfId="61240"/>
    <cellStyle name="SAPLocked 10 4" xfId="7233"/>
    <cellStyle name="SAPLocked 10 4 2" xfId="61241"/>
    <cellStyle name="SAPLocked 10 5" xfId="7234"/>
    <cellStyle name="SAPLocked 10 5 2" xfId="61242"/>
    <cellStyle name="SAPLocked 10 6" xfId="7235"/>
    <cellStyle name="SAPLocked 10 6 2" xfId="61243"/>
    <cellStyle name="SAPLocked 10 7" xfId="7236"/>
    <cellStyle name="SAPLocked 10 7 2" xfId="61244"/>
    <cellStyle name="SAPLocked 10 8" xfId="7237"/>
    <cellStyle name="SAPLocked 10 8 2" xfId="61245"/>
    <cellStyle name="SAPLocked 10 9" xfId="7238"/>
    <cellStyle name="SAPLocked 10 9 2" xfId="61246"/>
    <cellStyle name="SAPLocked 11" xfId="7239"/>
    <cellStyle name="SAPLocked 11 10" xfId="7240"/>
    <cellStyle name="SAPLocked 11 10 2" xfId="61247"/>
    <cellStyle name="SAPLocked 11 11" xfId="7241"/>
    <cellStyle name="SAPLocked 11 11 2" xfId="61248"/>
    <cellStyle name="SAPLocked 11 12" xfId="7242"/>
    <cellStyle name="SAPLocked 11 12 2" xfId="61249"/>
    <cellStyle name="SAPLocked 11 13" xfId="7243"/>
    <cellStyle name="SAPLocked 11 2" xfId="7244"/>
    <cellStyle name="SAPLocked 11 2 10" xfId="7245"/>
    <cellStyle name="SAPLocked 11 2 10 2" xfId="61250"/>
    <cellStyle name="SAPLocked 11 2 11" xfId="7246"/>
    <cellStyle name="SAPLocked 11 2 11 2" xfId="61251"/>
    <cellStyle name="SAPLocked 11 2 12" xfId="7247"/>
    <cellStyle name="SAPLocked 11 2 2" xfId="7248"/>
    <cellStyle name="SAPLocked 11 2 2 2" xfId="61252"/>
    <cellStyle name="SAPLocked 11 2 3" xfId="7249"/>
    <cellStyle name="SAPLocked 11 2 3 2" xfId="61253"/>
    <cellStyle name="SAPLocked 11 2 4" xfId="7250"/>
    <cellStyle name="SAPLocked 11 2 4 2" xfId="61254"/>
    <cellStyle name="SAPLocked 11 2 5" xfId="7251"/>
    <cellStyle name="SAPLocked 11 2 5 2" xfId="61255"/>
    <cellStyle name="SAPLocked 11 2 6" xfId="7252"/>
    <cellStyle name="SAPLocked 11 2 6 2" xfId="61256"/>
    <cellStyle name="SAPLocked 11 2 7" xfId="7253"/>
    <cellStyle name="SAPLocked 11 2 7 2" xfId="61257"/>
    <cellStyle name="SAPLocked 11 2 8" xfId="7254"/>
    <cellStyle name="SAPLocked 11 2 8 2" xfId="61258"/>
    <cellStyle name="SAPLocked 11 2 9" xfId="7255"/>
    <cellStyle name="SAPLocked 11 2 9 2" xfId="61259"/>
    <cellStyle name="SAPLocked 11 3" xfId="7256"/>
    <cellStyle name="SAPLocked 11 3 2" xfId="61260"/>
    <cellStyle name="SAPLocked 11 4" xfId="7257"/>
    <cellStyle name="SAPLocked 11 4 2" xfId="61261"/>
    <cellStyle name="SAPLocked 11 5" xfId="7258"/>
    <cellStyle name="SAPLocked 11 5 2" xfId="61262"/>
    <cellStyle name="SAPLocked 11 6" xfId="7259"/>
    <cellStyle name="SAPLocked 11 6 2" xfId="61263"/>
    <cellStyle name="SAPLocked 11 7" xfId="7260"/>
    <cellStyle name="SAPLocked 11 7 2" xfId="61264"/>
    <cellStyle name="SAPLocked 11 8" xfId="7261"/>
    <cellStyle name="SAPLocked 11 8 2" xfId="61265"/>
    <cellStyle name="SAPLocked 11 9" xfId="7262"/>
    <cellStyle name="SAPLocked 11 9 2" xfId="61266"/>
    <cellStyle name="SAPLocked 12" xfId="7263"/>
    <cellStyle name="SAPLocked 12 10" xfId="7264"/>
    <cellStyle name="SAPLocked 12 10 2" xfId="61267"/>
    <cellStyle name="SAPLocked 12 11" xfId="7265"/>
    <cellStyle name="SAPLocked 12 11 2" xfId="61268"/>
    <cellStyle name="SAPLocked 12 12" xfId="7266"/>
    <cellStyle name="SAPLocked 12 12 2" xfId="61269"/>
    <cellStyle name="SAPLocked 12 13" xfId="7267"/>
    <cellStyle name="SAPLocked 12 2" xfId="7268"/>
    <cellStyle name="SAPLocked 12 2 10" xfId="7269"/>
    <cellStyle name="SAPLocked 12 2 10 2" xfId="61270"/>
    <cellStyle name="SAPLocked 12 2 11" xfId="7270"/>
    <cellStyle name="SAPLocked 12 2 11 2" xfId="61271"/>
    <cellStyle name="SAPLocked 12 2 12" xfId="7271"/>
    <cellStyle name="SAPLocked 12 2 2" xfId="7272"/>
    <cellStyle name="SAPLocked 12 2 2 2" xfId="61272"/>
    <cellStyle name="SAPLocked 12 2 3" xfId="7273"/>
    <cellStyle name="SAPLocked 12 2 3 2" xfId="61273"/>
    <cellStyle name="SAPLocked 12 2 4" xfId="7274"/>
    <cellStyle name="SAPLocked 12 2 4 2" xfId="61274"/>
    <cellStyle name="SAPLocked 12 2 5" xfId="7275"/>
    <cellStyle name="SAPLocked 12 2 5 2" xfId="61275"/>
    <cellStyle name="SAPLocked 12 2 6" xfId="7276"/>
    <cellStyle name="SAPLocked 12 2 6 2" xfId="61276"/>
    <cellStyle name="SAPLocked 12 2 7" xfId="7277"/>
    <cellStyle name="SAPLocked 12 2 7 2" xfId="61277"/>
    <cellStyle name="SAPLocked 12 2 8" xfId="7278"/>
    <cellStyle name="SAPLocked 12 2 8 2" xfId="61278"/>
    <cellStyle name="SAPLocked 12 2 9" xfId="7279"/>
    <cellStyle name="SAPLocked 12 2 9 2" xfId="61279"/>
    <cellStyle name="SAPLocked 12 3" xfId="7280"/>
    <cellStyle name="SAPLocked 12 3 2" xfId="61280"/>
    <cellStyle name="SAPLocked 12 4" xfId="7281"/>
    <cellStyle name="SAPLocked 12 4 2" xfId="61281"/>
    <cellStyle name="SAPLocked 12 5" xfId="7282"/>
    <cellStyle name="SAPLocked 12 5 2" xfId="61282"/>
    <cellStyle name="SAPLocked 12 6" xfId="7283"/>
    <cellStyle name="SAPLocked 12 6 2" xfId="61283"/>
    <cellStyle name="SAPLocked 12 7" xfId="7284"/>
    <cellStyle name="SAPLocked 12 7 2" xfId="61284"/>
    <cellStyle name="SAPLocked 12 8" xfId="7285"/>
    <cellStyle name="SAPLocked 12 8 2" xfId="61285"/>
    <cellStyle name="SAPLocked 12 9" xfId="7286"/>
    <cellStyle name="SAPLocked 12 9 2" xfId="61286"/>
    <cellStyle name="SAPLocked 13" xfId="7287"/>
    <cellStyle name="SAPLocked 13 10" xfId="7288"/>
    <cellStyle name="SAPLocked 13 10 2" xfId="61287"/>
    <cellStyle name="SAPLocked 13 11" xfId="7289"/>
    <cellStyle name="SAPLocked 13 11 2" xfId="61288"/>
    <cellStyle name="SAPLocked 13 12" xfId="7290"/>
    <cellStyle name="SAPLocked 13 12 2" xfId="61289"/>
    <cellStyle name="SAPLocked 13 13" xfId="7291"/>
    <cellStyle name="SAPLocked 13 2" xfId="7292"/>
    <cellStyle name="SAPLocked 13 2 10" xfId="7293"/>
    <cellStyle name="SAPLocked 13 2 10 2" xfId="61290"/>
    <cellStyle name="SAPLocked 13 2 11" xfId="7294"/>
    <cellStyle name="SAPLocked 13 2 11 2" xfId="61291"/>
    <cellStyle name="SAPLocked 13 2 12" xfId="7295"/>
    <cellStyle name="SAPLocked 13 2 2" xfId="7296"/>
    <cellStyle name="SAPLocked 13 2 2 2" xfId="61292"/>
    <cellStyle name="SAPLocked 13 2 3" xfId="7297"/>
    <cellStyle name="SAPLocked 13 2 3 2" xfId="61293"/>
    <cellStyle name="SAPLocked 13 2 4" xfId="7298"/>
    <cellStyle name="SAPLocked 13 2 4 2" xfId="61294"/>
    <cellStyle name="SAPLocked 13 2 5" xfId="7299"/>
    <cellStyle name="SAPLocked 13 2 5 2" xfId="61295"/>
    <cellStyle name="SAPLocked 13 2 6" xfId="7300"/>
    <cellStyle name="SAPLocked 13 2 6 2" xfId="61296"/>
    <cellStyle name="SAPLocked 13 2 7" xfId="7301"/>
    <cellStyle name="SAPLocked 13 2 7 2" xfId="61297"/>
    <cellStyle name="SAPLocked 13 2 8" xfId="7302"/>
    <cellStyle name="SAPLocked 13 2 8 2" xfId="61298"/>
    <cellStyle name="SAPLocked 13 2 9" xfId="7303"/>
    <cellStyle name="SAPLocked 13 2 9 2" xfId="61299"/>
    <cellStyle name="SAPLocked 13 3" xfId="7304"/>
    <cellStyle name="SAPLocked 13 3 2" xfId="61300"/>
    <cellStyle name="SAPLocked 13 4" xfId="7305"/>
    <cellStyle name="SAPLocked 13 4 2" xfId="61301"/>
    <cellStyle name="SAPLocked 13 5" xfId="7306"/>
    <cellStyle name="SAPLocked 13 5 2" xfId="61302"/>
    <cellStyle name="SAPLocked 13 6" xfId="7307"/>
    <cellStyle name="SAPLocked 13 6 2" xfId="61303"/>
    <cellStyle name="SAPLocked 13 7" xfId="7308"/>
    <cellStyle name="SAPLocked 13 7 2" xfId="61304"/>
    <cellStyle name="SAPLocked 13 8" xfId="7309"/>
    <cellStyle name="SAPLocked 13 8 2" xfId="61305"/>
    <cellStyle name="SAPLocked 13 9" xfId="7310"/>
    <cellStyle name="SAPLocked 13 9 2" xfId="61306"/>
    <cellStyle name="SAPLocked 14" xfId="7311"/>
    <cellStyle name="SAPLocked 14 10" xfId="7312"/>
    <cellStyle name="SAPLocked 14 10 2" xfId="61307"/>
    <cellStyle name="SAPLocked 14 11" xfId="7313"/>
    <cellStyle name="SAPLocked 14 11 2" xfId="61308"/>
    <cellStyle name="SAPLocked 14 12" xfId="7314"/>
    <cellStyle name="SAPLocked 14 12 2" xfId="61309"/>
    <cellStyle name="SAPLocked 14 13" xfId="7315"/>
    <cellStyle name="SAPLocked 14 2" xfId="7316"/>
    <cellStyle name="SAPLocked 14 2 10" xfId="7317"/>
    <cellStyle name="SAPLocked 14 2 10 2" xfId="61310"/>
    <cellStyle name="SAPLocked 14 2 11" xfId="7318"/>
    <cellStyle name="SAPLocked 14 2 11 2" xfId="61311"/>
    <cellStyle name="SAPLocked 14 2 12" xfId="7319"/>
    <cellStyle name="SAPLocked 14 2 2" xfId="7320"/>
    <cellStyle name="SAPLocked 14 2 2 2" xfId="61312"/>
    <cellStyle name="SAPLocked 14 2 3" xfId="7321"/>
    <cellStyle name="SAPLocked 14 2 3 2" xfId="61313"/>
    <cellStyle name="SAPLocked 14 2 4" xfId="7322"/>
    <cellStyle name="SAPLocked 14 2 4 2" xfId="61314"/>
    <cellStyle name="SAPLocked 14 2 5" xfId="7323"/>
    <cellStyle name="SAPLocked 14 2 5 2" xfId="61315"/>
    <cellStyle name="SAPLocked 14 2 6" xfId="7324"/>
    <cellStyle name="SAPLocked 14 2 6 2" xfId="61316"/>
    <cellStyle name="SAPLocked 14 2 7" xfId="7325"/>
    <cellStyle name="SAPLocked 14 2 7 2" xfId="61317"/>
    <cellStyle name="SAPLocked 14 2 8" xfId="7326"/>
    <cellStyle name="SAPLocked 14 2 8 2" xfId="61318"/>
    <cellStyle name="SAPLocked 14 2 9" xfId="7327"/>
    <cellStyle name="SAPLocked 14 2 9 2" xfId="61319"/>
    <cellStyle name="SAPLocked 14 3" xfId="7328"/>
    <cellStyle name="SAPLocked 14 3 2" xfId="61320"/>
    <cellStyle name="SAPLocked 14 4" xfId="7329"/>
    <cellStyle name="SAPLocked 14 4 2" xfId="61321"/>
    <cellStyle name="SAPLocked 14 5" xfId="7330"/>
    <cellStyle name="SAPLocked 14 5 2" xfId="61322"/>
    <cellStyle name="SAPLocked 14 6" xfId="7331"/>
    <cellStyle name="SAPLocked 14 6 2" xfId="61323"/>
    <cellStyle name="SAPLocked 14 7" xfId="7332"/>
    <cellStyle name="SAPLocked 14 7 2" xfId="61324"/>
    <cellStyle name="SAPLocked 14 8" xfId="7333"/>
    <cellStyle name="SAPLocked 14 8 2" xfId="61325"/>
    <cellStyle name="SAPLocked 14 9" xfId="7334"/>
    <cellStyle name="SAPLocked 14 9 2" xfId="61326"/>
    <cellStyle name="SAPLocked 15" xfId="7335"/>
    <cellStyle name="SAPLocked 15 10" xfId="7336"/>
    <cellStyle name="SAPLocked 15 10 2" xfId="61327"/>
    <cellStyle name="SAPLocked 15 11" xfId="7337"/>
    <cellStyle name="SAPLocked 15 11 2" xfId="61328"/>
    <cellStyle name="SAPLocked 15 12" xfId="7338"/>
    <cellStyle name="SAPLocked 15 12 2" xfId="61329"/>
    <cellStyle name="SAPLocked 15 13" xfId="7339"/>
    <cellStyle name="SAPLocked 15 2" xfId="7340"/>
    <cellStyle name="SAPLocked 15 2 10" xfId="7341"/>
    <cellStyle name="SAPLocked 15 2 10 2" xfId="61330"/>
    <cellStyle name="SAPLocked 15 2 11" xfId="7342"/>
    <cellStyle name="SAPLocked 15 2 11 2" xfId="61331"/>
    <cellStyle name="SAPLocked 15 2 12" xfId="7343"/>
    <cellStyle name="SAPLocked 15 2 2" xfId="7344"/>
    <cellStyle name="SAPLocked 15 2 2 2" xfId="61332"/>
    <cellStyle name="SAPLocked 15 2 3" xfId="7345"/>
    <cellStyle name="SAPLocked 15 2 3 2" xfId="61333"/>
    <cellStyle name="SAPLocked 15 2 4" xfId="7346"/>
    <cellStyle name="SAPLocked 15 2 4 2" xfId="61334"/>
    <cellStyle name="SAPLocked 15 2 5" xfId="7347"/>
    <cellStyle name="SAPLocked 15 2 5 2" xfId="61335"/>
    <cellStyle name="SAPLocked 15 2 6" xfId="7348"/>
    <cellStyle name="SAPLocked 15 2 6 2" xfId="61336"/>
    <cellStyle name="SAPLocked 15 2 7" xfId="7349"/>
    <cellStyle name="SAPLocked 15 2 7 2" xfId="61337"/>
    <cellStyle name="SAPLocked 15 2 8" xfId="7350"/>
    <cellStyle name="SAPLocked 15 2 8 2" xfId="61338"/>
    <cellStyle name="SAPLocked 15 2 9" xfId="7351"/>
    <cellStyle name="SAPLocked 15 2 9 2" xfId="61339"/>
    <cellStyle name="SAPLocked 15 3" xfId="7352"/>
    <cellStyle name="SAPLocked 15 3 2" xfId="61340"/>
    <cellStyle name="SAPLocked 15 4" xfId="7353"/>
    <cellStyle name="SAPLocked 15 4 2" xfId="61341"/>
    <cellStyle name="SAPLocked 15 5" xfId="7354"/>
    <cellStyle name="SAPLocked 15 5 2" xfId="61342"/>
    <cellStyle name="SAPLocked 15 6" xfId="7355"/>
    <cellStyle name="SAPLocked 15 6 2" xfId="61343"/>
    <cellStyle name="SAPLocked 15 7" xfId="7356"/>
    <cellStyle name="SAPLocked 15 7 2" xfId="61344"/>
    <cellStyle name="SAPLocked 15 8" xfId="7357"/>
    <cellStyle name="SAPLocked 15 8 2" xfId="61345"/>
    <cellStyle name="SAPLocked 15 9" xfId="7358"/>
    <cellStyle name="SAPLocked 15 9 2" xfId="61346"/>
    <cellStyle name="SAPLocked 16" xfId="7359"/>
    <cellStyle name="SAPLocked 16 10" xfId="7360"/>
    <cellStyle name="SAPLocked 16 10 2" xfId="61347"/>
    <cellStyle name="SAPLocked 16 11" xfId="7361"/>
    <cellStyle name="SAPLocked 16 11 2" xfId="61348"/>
    <cellStyle name="SAPLocked 16 12" xfId="7362"/>
    <cellStyle name="SAPLocked 16 12 2" xfId="61349"/>
    <cellStyle name="SAPLocked 16 13" xfId="7363"/>
    <cellStyle name="SAPLocked 16 2" xfId="7364"/>
    <cellStyle name="SAPLocked 16 2 10" xfId="7365"/>
    <cellStyle name="SAPLocked 16 2 10 2" xfId="61350"/>
    <cellStyle name="SAPLocked 16 2 11" xfId="7366"/>
    <cellStyle name="SAPLocked 16 2 11 2" xfId="61351"/>
    <cellStyle name="SAPLocked 16 2 12" xfId="7367"/>
    <cellStyle name="SAPLocked 16 2 2" xfId="7368"/>
    <cellStyle name="SAPLocked 16 2 2 2" xfId="61352"/>
    <cellStyle name="SAPLocked 16 2 3" xfId="7369"/>
    <cellStyle name="SAPLocked 16 2 3 2" xfId="61353"/>
    <cellStyle name="SAPLocked 16 2 4" xfId="7370"/>
    <cellStyle name="SAPLocked 16 2 4 2" xfId="61354"/>
    <cellStyle name="SAPLocked 16 2 5" xfId="7371"/>
    <cellStyle name="SAPLocked 16 2 5 2" xfId="61355"/>
    <cellStyle name="SAPLocked 16 2 6" xfId="7372"/>
    <cellStyle name="SAPLocked 16 2 6 2" xfId="61356"/>
    <cellStyle name="SAPLocked 16 2 7" xfId="7373"/>
    <cellStyle name="SAPLocked 16 2 7 2" xfId="61357"/>
    <cellStyle name="SAPLocked 16 2 8" xfId="7374"/>
    <cellStyle name="SAPLocked 16 2 8 2" xfId="61358"/>
    <cellStyle name="SAPLocked 16 2 9" xfId="7375"/>
    <cellStyle name="SAPLocked 16 2 9 2" xfId="61359"/>
    <cellStyle name="SAPLocked 16 3" xfId="7376"/>
    <cellStyle name="SAPLocked 16 3 2" xfId="61360"/>
    <cellStyle name="SAPLocked 16 4" xfId="7377"/>
    <cellStyle name="SAPLocked 16 4 2" xfId="61361"/>
    <cellStyle name="SAPLocked 16 5" xfId="7378"/>
    <cellStyle name="SAPLocked 16 5 2" xfId="61362"/>
    <cellStyle name="SAPLocked 16 6" xfId="7379"/>
    <cellStyle name="SAPLocked 16 6 2" xfId="61363"/>
    <cellStyle name="SAPLocked 16 7" xfId="7380"/>
    <cellStyle name="SAPLocked 16 7 2" xfId="61364"/>
    <cellStyle name="SAPLocked 16 8" xfId="7381"/>
    <cellStyle name="SAPLocked 16 8 2" xfId="61365"/>
    <cellStyle name="SAPLocked 16 9" xfId="7382"/>
    <cellStyle name="SAPLocked 16 9 2" xfId="61366"/>
    <cellStyle name="SAPLocked 17" xfId="7383"/>
    <cellStyle name="SAPLocked 17 10" xfId="7384"/>
    <cellStyle name="SAPLocked 17 10 2" xfId="61367"/>
    <cellStyle name="SAPLocked 17 11" xfId="7385"/>
    <cellStyle name="SAPLocked 17 11 2" xfId="61368"/>
    <cellStyle name="SAPLocked 17 12" xfId="7386"/>
    <cellStyle name="SAPLocked 17 12 2" xfId="61369"/>
    <cellStyle name="SAPLocked 17 13" xfId="7387"/>
    <cellStyle name="SAPLocked 17 2" xfId="7388"/>
    <cellStyle name="SAPLocked 17 2 10" xfId="7389"/>
    <cellStyle name="SAPLocked 17 2 10 2" xfId="61370"/>
    <cellStyle name="SAPLocked 17 2 11" xfId="7390"/>
    <cellStyle name="SAPLocked 17 2 11 2" xfId="61371"/>
    <cellStyle name="SAPLocked 17 2 12" xfId="7391"/>
    <cellStyle name="SAPLocked 17 2 2" xfId="7392"/>
    <cellStyle name="SAPLocked 17 2 2 2" xfId="61372"/>
    <cellStyle name="SAPLocked 17 2 3" xfId="7393"/>
    <cellStyle name="SAPLocked 17 2 3 2" xfId="61373"/>
    <cellStyle name="SAPLocked 17 2 4" xfId="7394"/>
    <cellStyle name="SAPLocked 17 2 4 2" xfId="61374"/>
    <cellStyle name="SAPLocked 17 2 5" xfId="7395"/>
    <cellStyle name="SAPLocked 17 2 5 2" xfId="61375"/>
    <cellStyle name="SAPLocked 17 2 6" xfId="7396"/>
    <cellStyle name="SAPLocked 17 2 6 2" xfId="61376"/>
    <cellStyle name="SAPLocked 17 2 7" xfId="7397"/>
    <cellStyle name="SAPLocked 17 2 7 2" xfId="61377"/>
    <cellStyle name="SAPLocked 17 2 8" xfId="7398"/>
    <cellStyle name="SAPLocked 17 2 8 2" xfId="61378"/>
    <cellStyle name="SAPLocked 17 2 9" xfId="7399"/>
    <cellStyle name="SAPLocked 17 2 9 2" xfId="61379"/>
    <cellStyle name="SAPLocked 17 3" xfId="7400"/>
    <cellStyle name="SAPLocked 17 3 2" xfId="61380"/>
    <cellStyle name="SAPLocked 17 4" xfId="7401"/>
    <cellStyle name="SAPLocked 17 4 2" xfId="61381"/>
    <cellStyle name="SAPLocked 17 5" xfId="7402"/>
    <cellStyle name="SAPLocked 17 5 2" xfId="61382"/>
    <cellStyle name="SAPLocked 17 6" xfId="7403"/>
    <cellStyle name="SAPLocked 17 6 2" xfId="61383"/>
    <cellStyle name="SAPLocked 17 7" xfId="7404"/>
    <cellStyle name="SAPLocked 17 7 2" xfId="61384"/>
    <cellStyle name="SAPLocked 17 8" xfId="7405"/>
    <cellStyle name="SAPLocked 17 8 2" xfId="61385"/>
    <cellStyle name="SAPLocked 17 9" xfId="7406"/>
    <cellStyle name="SAPLocked 17 9 2" xfId="61386"/>
    <cellStyle name="SAPLocked 18" xfId="7407"/>
    <cellStyle name="SAPLocked 18 10" xfId="7408"/>
    <cellStyle name="SAPLocked 18 10 2" xfId="61387"/>
    <cellStyle name="SAPLocked 18 11" xfId="7409"/>
    <cellStyle name="SAPLocked 18 11 2" xfId="61388"/>
    <cellStyle name="SAPLocked 18 12" xfId="7410"/>
    <cellStyle name="SAPLocked 18 12 2" xfId="61389"/>
    <cellStyle name="SAPLocked 18 13" xfId="7411"/>
    <cellStyle name="SAPLocked 18 2" xfId="7412"/>
    <cellStyle name="SAPLocked 18 2 10" xfId="7413"/>
    <cellStyle name="SAPLocked 18 2 10 2" xfId="61390"/>
    <cellStyle name="SAPLocked 18 2 11" xfId="7414"/>
    <cellStyle name="SAPLocked 18 2 11 2" xfId="61391"/>
    <cellStyle name="SAPLocked 18 2 12" xfId="7415"/>
    <cellStyle name="SAPLocked 18 2 2" xfId="7416"/>
    <cellStyle name="SAPLocked 18 2 2 2" xfId="61392"/>
    <cellStyle name="SAPLocked 18 2 3" xfId="7417"/>
    <cellStyle name="SAPLocked 18 2 3 2" xfId="61393"/>
    <cellStyle name="SAPLocked 18 2 4" xfId="7418"/>
    <cellStyle name="SAPLocked 18 2 4 2" xfId="61394"/>
    <cellStyle name="SAPLocked 18 2 5" xfId="7419"/>
    <cellStyle name="SAPLocked 18 2 5 2" xfId="61395"/>
    <cellStyle name="SAPLocked 18 2 6" xfId="7420"/>
    <cellStyle name="SAPLocked 18 2 6 2" xfId="61396"/>
    <cellStyle name="SAPLocked 18 2 7" xfId="7421"/>
    <cellStyle name="SAPLocked 18 2 7 2" xfId="61397"/>
    <cellStyle name="SAPLocked 18 2 8" xfId="7422"/>
    <cellStyle name="SAPLocked 18 2 8 2" xfId="61398"/>
    <cellStyle name="SAPLocked 18 2 9" xfId="7423"/>
    <cellStyle name="SAPLocked 18 2 9 2" xfId="61399"/>
    <cellStyle name="SAPLocked 18 3" xfId="7424"/>
    <cellStyle name="SAPLocked 18 3 2" xfId="61400"/>
    <cellStyle name="SAPLocked 18 4" xfId="7425"/>
    <cellStyle name="SAPLocked 18 4 2" xfId="61401"/>
    <cellStyle name="SAPLocked 18 5" xfId="7426"/>
    <cellStyle name="SAPLocked 18 5 2" xfId="61402"/>
    <cellStyle name="SAPLocked 18 6" xfId="7427"/>
    <cellStyle name="SAPLocked 18 6 2" xfId="61403"/>
    <cellStyle name="SAPLocked 18 7" xfId="7428"/>
    <cellStyle name="SAPLocked 18 7 2" xfId="61404"/>
    <cellStyle name="SAPLocked 18 8" xfId="7429"/>
    <cellStyle name="SAPLocked 18 8 2" xfId="61405"/>
    <cellStyle name="SAPLocked 18 9" xfId="7430"/>
    <cellStyle name="SAPLocked 18 9 2" xfId="61406"/>
    <cellStyle name="SAPLocked 19" xfId="7431"/>
    <cellStyle name="SAPLocked 19 10" xfId="7432"/>
    <cellStyle name="SAPLocked 19 10 2" xfId="61407"/>
    <cellStyle name="SAPLocked 19 11" xfId="7433"/>
    <cellStyle name="SAPLocked 19 11 2" xfId="61408"/>
    <cellStyle name="SAPLocked 19 12" xfId="7434"/>
    <cellStyle name="SAPLocked 19 12 2" xfId="61409"/>
    <cellStyle name="SAPLocked 19 13" xfId="7435"/>
    <cellStyle name="SAPLocked 19 2" xfId="7436"/>
    <cellStyle name="SAPLocked 19 2 10" xfId="7437"/>
    <cellStyle name="SAPLocked 19 2 10 2" xfId="61410"/>
    <cellStyle name="SAPLocked 19 2 11" xfId="7438"/>
    <cellStyle name="SAPLocked 19 2 11 2" xfId="61411"/>
    <cellStyle name="SAPLocked 19 2 12" xfId="7439"/>
    <cellStyle name="SAPLocked 19 2 2" xfId="7440"/>
    <cellStyle name="SAPLocked 19 2 2 2" xfId="61412"/>
    <cellStyle name="SAPLocked 19 2 3" xfId="7441"/>
    <cellStyle name="SAPLocked 19 2 3 2" xfId="61413"/>
    <cellStyle name="SAPLocked 19 2 4" xfId="7442"/>
    <cellStyle name="SAPLocked 19 2 4 2" xfId="61414"/>
    <cellStyle name="SAPLocked 19 2 5" xfId="7443"/>
    <cellStyle name="SAPLocked 19 2 5 2" xfId="61415"/>
    <cellStyle name="SAPLocked 19 2 6" xfId="7444"/>
    <cellStyle name="SAPLocked 19 2 6 2" xfId="61416"/>
    <cellStyle name="SAPLocked 19 2 7" xfId="7445"/>
    <cellStyle name="SAPLocked 19 2 7 2" xfId="61417"/>
    <cellStyle name="SAPLocked 19 2 8" xfId="7446"/>
    <cellStyle name="SAPLocked 19 2 8 2" xfId="61418"/>
    <cellStyle name="SAPLocked 19 2 9" xfId="7447"/>
    <cellStyle name="SAPLocked 19 2 9 2" xfId="61419"/>
    <cellStyle name="SAPLocked 19 3" xfId="7448"/>
    <cellStyle name="SAPLocked 19 3 2" xfId="61420"/>
    <cellStyle name="SAPLocked 19 4" xfId="7449"/>
    <cellStyle name="SAPLocked 19 4 2" xfId="61421"/>
    <cellStyle name="SAPLocked 19 5" xfId="7450"/>
    <cellStyle name="SAPLocked 19 5 2" xfId="61422"/>
    <cellStyle name="SAPLocked 19 6" xfId="7451"/>
    <cellStyle name="SAPLocked 19 6 2" xfId="61423"/>
    <cellStyle name="SAPLocked 19 7" xfId="7452"/>
    <cellStyle name="SAPLocked 19 7 2" xfId="61424"/>
    <cellStyle name="SAPLocked 19 8" xfId="7453"/>
    <cellStyle name="SAPLocked 19 8 2" xfId="61425"/>
    <cellStyle name="SAPLocked 19 9" xfId="7454"/>
    <cellStyle name="SAPLocked 19 9 2" xfId="61426"/>
    <cellStyle name="SAPLocked 2" xfId="7455"/>
    <cellStyle name="SAPLocked 2 10" xfId="7456"/>
    <cellStyle name="SAPLocked 2 10 10" xfId="7457"/>
    <cellStyle name="SAPLocked 2 10 10 2" xfId="61427"/>
    <cellStyle name="SAPLocked 2 10 11" xfId="7458"/>
    <cellStyle name="SAPLocked 2 10 11 2" xfId="61428"/>
    <cellStyle name="SAPLocked 2 10 12" xfId="7459"/>
    <cellStyle name="SAPLocked 2 10 12 2" xfId="61429"/>
    <cellStyle name="SAPLocked 2 10 13" xfId="7460"/>
    <cellStyle name="SAPLocked 2 10 2" xfId="7461"/>
    <cellStyle name="SAPLocked 2 10 2 10" xfId="7462"/>
    <cellStyle name="SAPLocked 2 10 2 10 2" xfId="61430"/>
    <cellStyle name="SAPLocked 2 10 2 11" xfId="7463"/>
    <cellStyle name="SAPLocked 2 10 2 11 2" xfId="61431"/>
    <cellStyle name="SAPLocked 2 10 2 12" xfId="7464"/>
    <cellStyle name="SAPLocked 2 10 2 2" xfId="7465"/>
    <cellStyle name="SAPLocked 2 10 2 2 2" xfId="61432"/>
    <cellStyle name="SAPLocked 2 10 2 3" xfId="7466"/>
    <cellStyle name="SAPLocked 2 10 2 3 2" xfId="61433"/>
    <cellStyle name="SAPLocked 2 10 2 4" xfId="7467"/>
    <cellStyle name="SAPLocked 2 10 2 4 2" xfId="61434"/>
    <cellStyle name="SAPLocked 2 10 2 5" xfId="7468"/>
    <cellStyle name="SAPLocked 2 10 2 5 2" xfId="61435"/>
    <cellStyle name="SAPLocked 2 10 2 6" xfId="7469"/>
    <cellStyle name="SAPLocked 2 10 2 6 2" xfId="61436"/>
    <cellStyle name="SAPLocked 2 10 2 7" xfId="7470"/>
    <cellStyle name="SAPLocked 2 10 2 7 2" xfId="61437"/>
    <cellStyle name="SAPLocked 2 10 2 8" xfId="7471"/>
    <cellStyle name="SAPLocked 2 10 2 8 2" xfId="61438"/>
    <cellStyle name="SAPLocked 2 10 2 9" xfId="7472"/>
    <cellStyle name="SAPLocked 2 10 2 9 2" xfId="61439"/>
    <cellStyle name="SAPLocked 2 10 3" xfId="7473"/>
    <cellStyle name="SAPLocked 2 10 3 2" xfId="61440"/>
    <cellStyle name="SAPLocked 2 10 4" xfId="7474"/>
    <cellStyle name="SAPLocked 2 10 4 2" xfId="61441"/>
    <cellStyle name="SAPLocked 2 10 5" xfId="7475"/>
    <cellStyle name="SAPLocked 2 10 5 2" xfId="61442"/>
    <cellStyle name="SAPLocked 2 10 6" xfId="7476"/>
    <cellStyle name="SAPLocked 2 10 6 2" xfId="61443"/>
    <cellStyle name="SAPLocked 2 10 7" xfId="7477"/>
    <cellStyle name="SAPLocked 2 10 7 2" xfId="61444"/>
    <cellStyle name="SAPLocked 2 10 8" xfId="7478"/>
    <cellStyle name="SAPLocked 2 10 8 2" xfId="61445"/>
    <cellStyle name="SAPLocked 2 10 9" xfId="7479"/>
    <cellStyle name="SAPLocked 2 10 9 2" xfId="61446"/>
    <cellStyle name="SAPLocked 2 11" xfId="7480"/>
    <cellStyle name="SAPLocked 2 11 10" xfId="7481"/>
    <cellStyle name="SAPLocked 2 11 10 2" xfId="61447"/>
    <cellStyle name="SAPLocked 2 11 11" xfId="7482"/>
    <cellStyle name="SAPLocked 2 11 11 2" xfId="61448"/>
    <cellStyle name="SAPLocked 2 11 12" xfId="7483"/>
    <cellStyle name="SAPLocked 2 11 12 2" xfId="61449"/>
    <cellStyle name="SAPLocked 2 11 13" xfId="7484"/>
    <cellStyle name="SAPLocked 2 11 2" xfId="7485"/>
    <cellStyle name="SAPLocked 2 11 2 10" xfId="7486"/>
    <cellStyle name="SAPLocked 2 11 2 10 2" xfId="61450"/>
    <cellStyle name="SAPLocked 2 11 2 11" xfId="7487"/>
    <cellStyle name="SAPLocked 2 11 2 11 2" xfId="61451"/>
    <cellStyle name="SAPLocked 2 11 2 12" xfId="7488"/>
    <cellStyle name="SAPLocked 2 11 2 2" xfId="7489"/>
    <cellStyle name="SAPLocked 2 11 2 2 2" xfId="61452"/>
    <cellStyle name="SAPLocked 2 11 2 3" xfId="7490"/>
    <cellStyle name="SAPLocked 2 11 2 3 2" xfId="61453"/>
    <cellStyle name="SAPLocked 2 11 2 4" xfId="7491"/>
    <cellStyle name="SAPLocked 2 11 2 4 2" xfId="61454"/>
    <cellStyle name="SAPLocked 2 11 2 5" xfId="7492"/>
    <cellStyle name="SAPLocked 2 11 2 5 2" xfId="61455"/>
    <cellStyle name="SAPLocked 2 11 2 6" xfId="7493"/>
    <cellStyle name="SAPLocked 2 11 2 6 2" xfId="61456"/>
    <cellStyle name="SAPLocked 2 11 2 7" xfId="7494"/>
    <cellStyle name="SAPLocked 2 11 2 7 2" xfId="61457"/>
    <cellStyle name="SAPLocked 2 11 2 8" xfId="7495"/>
    <cellStyle name="SAPLocked 2 11 2 8 2" xfId="61458"/>
    <cellStyle name="SAPLocked 2 11 2 9" xfId="7496"/>
    <cellStyle name="SAPLocked 2 11 2 9 2" xfId="61459"/>
    <cellStyle name="SAPLocked 2 11 3" xfId="7497"/>
    <cellStyle name="SAPLocked 2 11 3 2" xfId="61460"/>
    <cellStyle name="SAPLocked 2 11 4" xfId="7498"/>
    <cellStyle name="SAPLocked 2 11 4 2" xfId="61461"/>
    <cellStyle name="SAPLocked 2 11 5" xfId="7499"/>
    <cellStyle name="SAPLocked 2 11 5 2" xfId="61462"/>
    <cellStyle name="SAPLocked 2 11 6" xfId="7500"/>
    <cellStyle name="SAPLocked 2 11 6 2" xfId="61463"/>
    <cellStyle name="SAPLocked 2 11 7" xfId="7501"/>
    <cellStyle name="SAPLocked 2 11 7 2" xfId="61464"/>
    <cellStyle name="SAPLocked 2 11 8" xfId="7502"/>
    <cellStyle name="SAPLocked 2 11 8 2" xfId="61465"/>
    <cellStyle name="SAPLocked 2 11 9" xfId="7503"/>
    <cellStyle name="SAPLocked 2 11 9 2" xfId="61466"/>
    <cellStyle name="SAPLocked 2 12" xfId="7504"/>
    <cellStyle name="SAPLocked 2 12 10" xfId="7505"/>
    <cellStyle name="SAPLocked 2 12 10 2" xfId="61467"/>
    <cellStyle name="SAPLocked 2 12 11" xfId="7506"/>
    <cellStyle name="SAPLocked 2 12 11 2" xfId="61468"/>
    <cellStyle name="SAPLocked 2 12 12" xfId="7507"/>
    <cellStyle name="SAPLocked 2 12 12 2" xfId="61469"/>
    <cellStyle name="SAPLocked 2 12 13" xfId="7508"/>
    <cellStyle name="SAPLocked 2 12 2" xfId="7509"/>
    <cellStyle name="SAPLocked 2 12 2 10" xfId="7510"/>
    <cellStyle name="SAPLocked 2 12 2 10 2" xfId="61470"/>
    <cellStyle name="SAPLocked 2 12 2 11" xfId="7511"/>
    <cellStyle name="SAPLocked 2 12 2 11 2" xfId="61471"/>
    <cellStyle name="SAPLocked 2 12 2 12" xfId="7512"/>
    <cellStyle name="SAPLocked 2 12 2 2" xfId="7513"/>
    <cellStyle name="SAPLocked 2 12 2 2 2" xfId="61472"/>
    <cellStyle name="SAPLocked 2 12 2 3" xfId="7514"/>
    <cellStyle name="SAPLocked 2 12 2 3 2" xfId="61473"/>
    <cellStyle name="SAPLocked 2 12 2 4" xfId="7515"/>
    <cellStyle name="SAPLocked 2 12 2 4 2" xfId="61474"/>
    <cellStyle name="SAPLocked 2 12 2 5" xfId="7516"/>
    <cellStyle name="SAPLocked 2 12 2 5 2" xfId="61475"/>
    <cellStyle name="SAPLocked 2 12 2 6" xfId="7517"/>
    <cellStyle name="SAPLocked 2 12 2 6 2" xfId="61476"/>
    <cellStyle name="SAPLocked 2 12 2 7" xfId="7518"/>
    <cellStyle name="SAPLocked 2 12 2 7 2" xfId="61477"/>
    <cellStyle name="SAPLocked 2 12 2 8" xfId="7519"/>
    <cellStyle name="SAPLocked 2 12 2 8 2" xfId="61478"/>
    <cellStyle name="SAPLocked 2 12 2 9" xfId="7520"/>
    <cellStyle name="SAPLocked 2 12 2 9 2" xfId="61479"/>
    <cellStyle name="SAPLocked 2 12 3" xfId="7521"/>
    <cellStyle name="SAPLocked 2 12 3 2" xfId="61480"/>
    <cellStyle name="SAPLocked 2 12 4" xfId="7522"/>
    <cellStyle name="SAPLocked 2 12 4 2" xfId="61481"/>
    <cellStyle name="SAPLocked 2 12 5" xfId="7523"/>
    <cellStyle name="SAPLocked 2 12 5 2" xfId="61482"/>
    <cellStyle name="SAPLocked 2 12 6" xfId="7524"/>
    <cellStyle name="SAPLocked 2 12 6 2" xfId="61483"/>
    <cellStyle name="SAPLocked 2 12 7" xfId="7525"/>
    <cellStyle name="SAPLocked 2 12 7 2" xfId="61484"/>
    <cellStyle name="SAPLocked 2 12 8" xfId="7526"/>
    <cellStyle name="SAPLocked 2 12 8 2" xfId="61485"/>
    <cellStyle name="SAPLocked 2 12 9" xfId="7527"/>
    <cellStyle name="SAPLocked 2 12 9 2" xfId="61486"/>
    <cellStyle name="SAPLocked 2 13" xfId="7528"/>
    <cellStyle name="SAPLocked 2 13 10" xfId="7529"/>
    <cellStyle name="SAPLocked 2 13 10 2" xfId="61487"/>
    <cellStyle name="SAPLocked 2 13 11" xfId="7530"/>
    <cellStyle name="SAPLocked 2 13 11 2" xfId="61488"/>
    <cellStyle name="SAPLocked 2 13 12" xfId="7531"/>
    <cellStyle name="SAPLocked 2 13 12 2" xfId="61489"/>
    <cellStyle name="SAPLocked 2 13 13" xfId="7532"/>
    <cellStyle name="SAPLocked 2 13 2" xfId="7533"/>
    <cellStyle name="SAPLocked 2 13 2 10" xfId="7534"/>
    <cellStyle name="SAPLocked 2 13 2 10 2" xfId="61490"/>
    <cellStyle name="SAPLocked 2 13 2 11" xfId="7535"/>
    <cellStyle name="SAPLocked 2 13 2 11 2" xfId="61491"/>
    <cellStyle name="SAPLocked 2 13 2 12" xfId="7536"/>
    <cellStyle name="SAPLocked 2 13 2 2" xfId="7537"/>
    <cellStyle name="SAPLocked 2 13 2 2 2" xfId="61492"/>
    <cellStyle name="SAPLocked 2 13 2 3" xfId="7538"/>
    <cellStyle name="SAPLocked 2 13 2 3 2" xfId="61493"/>
    <cellStyle name="SAPLocked 2 13 2 4" xfId="7539"/>
    <cellStyle name="SAPLocked 2 13 2 4 2" xfId="61494"/>
    <cellStyle name="SAPLocked 2 13 2 5" xfId="7540"/>
    <cellStyle name="SAPLocked 2 13 2 5 2" xfId="61495"/>
    <cellStyle name="SAPLocked 2 13 2 6" xfId="7541"/>
    <cellStyle name="SAPLocked 2 13 2 6 2" xfId="61496"/>
    <cellStyle name="SAPLocked 2 13 2 7" xfId="7542"/>
    <cellStyle name="SAPLocked 2 13 2 7 2" xfId="61497"/>
    <cellStyle name="SAPLocked 2 13 2 8" xfId="7543"/>
    <cellStyle name="SAPLocked 2 13 2 8 2" xfId="61498"/>
    <cellStyle name="SAPLocked 2 13 2 9" xfId="7544"/>
    <cellStyle name="SAPLocked 2 13 2 9 2" xfId="61499"/>
    <cellStyle name="SAPLocked 2 13 3" xfId="7545"/>
    <cellStyle name="SAPLocked 2 13 3 2" xfId="61500"/>
    <cellStyle name="SAPLocked 2 13 4" xfId="7546"/>
    <cellStyle name="SAPLocked 2 13 4 2" xfId="61501"/>
    <cellStyle name="SAPLocked 2 13 5" xfId="7547"/>
    <cellStyle name="SAPLocked 2 13 5 2" xfId="61502"/>
    <cellStyle name="SAPLocked 2 13 6" xfId="7548"/>
    <cellStyle name="SAPLocked 2 13 6 2" xfId="61503"/>
    <cellStyle name="SAPLocked 2 13 7" xfId="7549"/>
    <cellStyle name="SAPLocked 2 13 7 2" xfId="61504"/>
    <cellStyle name="SAPLocked 2 13 8" xfId="7550"/>
    <cellStyle name="SAPLocked 2 13 8 2" xfId="61505"/>
    <cellStyle name="SAPLocked 2 13 9" xfId="7551"/>
    <cellStyle name="SAPLocked 2 13 9 2" xfId="61506"/>
    <cellStyle name="SAPLocked 2 14" xfId="7552"/>
    <cellStyle name="SAPLocked 2 14 10" xfId="7553"/>
    <cellStyle name="SAPLocked 2 14 10 2" xfId="61507"/>
    <cellStyle name="SAPLocked 2 14 11" xfId="7554"/>
    <cellStyle name="SAPLocked 2 14 11 2" xfId="61508"/>
    <cellStyle name="SAPLocked 2 14 12" xfId="7555"/>
    <cellStyle name="SAPLocked 2 14 12 2" xfId="61509"/>
    <cellStyle name="SAPLocked 2 14 13" xfId="7556"/>
    <cellStyle name="SAPLocked 2 14 2" xfId="7557"/>
    <cellStyle name="SAPLocked 2 14 2 10" xfId="7558"/>
    <cellStyle name="SAPLocked 2 14 2 10 2" xfId="61510"/>
    <cellStyle name="SAPLocked 2 14 2 11" xfId="7559"/>
    <cellStyle name="SAPLocked 2 14 2 11 2" xfId="61511"/>
    <cellStyle name="SAPLocked 2 14 2 12" xfId="7560"/>
    <cellStyle name="SAPLocked 2 14 2 2" xfId="7561"/>
    <cellStyle name="SAPLocked 2 14 2 2 2" xfId="61512"/>
    <cellStyle name="SAPLocked 2 14 2 3" xfId="7562"/>
    <cellStyle name="SAPLocked 2 14 2 3 2" xfId="61513"/>
    <cellStyle name="SAPLocked 2 14 2 4" xfId="7563"/>
    <cellStyle name="SAPLocked 2 14 2 4 2" xfId="61514"/>
    <cellStyle name="SAPLocked 2 14 2 5" xfId="7564"/>
    <cellStyle name="SAPLocked 2 14 2 5 2" xfId="61515"/>
    <cellStyle name="SAPLocked 2 14 2 6" xfId="7565"/>
    <cellStyle name="SAPLocked 2 14 2 6 2" xfId="61516"/>
    <cellStyle name="SAPLocked 2 14 2 7" xfId="7566"/>
    <cellStyle name="SAPLocked 2 14 2 7 2" xfId="61517"/>
    <cellStyle name="SAPLocked 2 14 2 8" xfId="7567"/>
    <cellStyle name="SAPLocked 2 14 2 8 2" xfId="61518"/>
    <cellStyle name="SAPLocked 2 14 2 9" xfId="7568"/>
    <cellStyle name="SAPLocked 2 14 2 9 2" xfId="61519"/>
    <cellStyle name="SAPLocked 2 14 3" xfId="7569"/>
    <cellStyle name="SAPLocked 2 14 3 2" xfId="61520"/>
    <cellStyle name="SAPLocked 2 14 4" xfId="7570"/>
    <cellStyle name="SAPLocked 2 14 4 2" xfId="61521"/>
    <cellStyle name="SAPLocked 2 14 5" xfId="7571"/>
    <cellStyle name="SAPLocked 2 14 5 2" xfId="61522"/>
    <cellStyle name="SAPLocked 2 14 6" xfId="7572"/>
    <cellStyle name="SAPLocked 2 14 6 2" xfId="61523"/>
    <cellStyle name="SAPLocked 2 14 7" xfId="7573"/>
    <cellStyle name="SAPLocked 2 14 7 2" xfId="61524"/>
    <cellStyle name="SAPLocked 2 14 8" xfId="7574"/>
    <cellStyle name="SAPLocked 2 14 8 2" xfId="61525"/>
    <cellStyle name="SAPLocked 2 14 9" xfId="7575"/>
    <cellStyle name="SAPLocked 2 14 9 2" xfId="61526"/>
    <cellStyle name="SAPLocked 2 15" xfId="7576"/>
    <cellStyle name="SAPLocked 2 15 10" xfId="7577"/>
    <cellStyle name="SAPLocked 2 15 10 2" xfId="61527"/>
    <cellStyle name="SAPLocked 2 15 11" xfId="7578"/>
    <cellStyle name="SAPLocked 2 15 11 2" xfId="61528"/>
    <cellStyle name="SAPLocked 2 15 12" xfId="7579"/>
    <cellStyle name="SAPLocked 2 15 12 2" xfId="61529"/>
    <cellStyle name="SAPLocked 2 15 13" xfId="7580"/>
    <cellStyle name="SAPLocked 2 15 2" xfId="7581"/>
    <cellStyle name="SAPLocked 2 15 2 10" xfId="7582"/>
    <cellStyle name="SAPLocked 2 15 2 10 2" xfId="61530"/>
    <cellStyle name="SAPLocked 2 15 2 11" xfId="7583"/>
    <cellStyle name="SAPLocked 2 15 2 11 2" xfId="61531"/>
    <cellStyle name="SAPLocked 2 15 2 12" xfId="7584"/>
    <cellStyle name="SAPLocked 2 15 2 2" xfId="7585"/>
    <cellStyle name="SAPLocked 2 15 2 2 2" xfId="61532"/>
    <cellStyle name="SAPLocked 2 15 2 3" xfId="7586"/>
    <cellStyle name="SAPLocked 2 15 2 3 2" xfId="61533"/>
    <cellStyle name="SAPLocked 2 15 2 4" xfId="7587"/>
    <cellStyle name="SAPLocked 2 15 2 4 2" xfId="61534"/>
    <cellStyle name="SAPLocked 2 15 2 5" xfId="7588"/>
    <cellStyle name="SAPLocked 2 15 2 5 2" xfId="61535"/>
    <cellStyle name="SAPLocked 2 15 2 6" xfId="7589"/>
    <cellStyle name="SAPLocked 2 15 2 6 2" xfId="61536"/>
    <cellStyle name="SAPLocked 2 15 2 7" xfId="7590"/>
    <cellStyle name="SAPLocked 2 15 2 7 2" xfId="61537"/>
    <cellStyle name="SAPLocked 2 15 2 8" xfId="7591"/>
    <cellStyle name="SAPLocked 2 15 2 8 2" xfId="61538"/>
    <cellStyle name="SAPLocked 2 15 2 9" xfId="7592"/>
    <cellStyle name="SAPLocked 2 15 2 9 2" xfId="61539"/>
    <cellStyle name="SAPLocked 2 15 3" xfId="7593"/>
    <cellStyle name="SAPLocked 2 15 3 2" xfId="61540"/>
    <cellStyle name="SAPLocked 2 15 4" xfId="7594"/>
    <cellStyle name="SAPLocked 2 15 4 2" xfId="61541"/>
    <cellStyle name="SAPLocked 2 15 5" xfId="7595"/>
    <cellStyle name="SAPLocked 2 15 5 2" xfId="61542"/>
    <cellStyle name="SAPLocked 2 15 6" xfId="7596"/>
    <cellStyle name="SAPLocked 2 15 6 2" xfId="61543"/>
    <cellStyle name="SAPLocked 2 15 7" xfId="7597"/>
    <cellStyle name="SAPLocked 2 15 7 2" xfId="61544"/>
    <cellStyle name="SAPLocked 2 15 8" xfId="7598"/>
    <cellStyle name="SAPLocked 2 15 8 2" xfId="61545"/>
    <cellStyle name="SAPLocked 2 15 9" xfId="7599"/>
    <cellStyle name="SAPLocked 2 15 9 2" xfId="61546"/>
    <cellStyle name="SAPLocked 2 16" xfId="7600"/>
    <cellStyle name="SAPLocked 2 16 10" xfId="7601"/>
    <cellStyle name="SAPLocked 2 16 10 2" xfId="61547"/>
    <cellStyle name="SAPLocked 2 16 11" xfId="7602"/>
    <cellStyle name="SAPLocked 2 16 11 2" xfId="61548"/>
    <cellStyle name="SAPLocked 2 16 12" xfId="7603"/>
    <cellStyle name="SAPLocked 2 16 12 2" xfId="61549"/>
    <cellStyle name="SAPLocked 2 16 13" xfId="7604"/>
    <cellStyle name="SAPLocked 2 16 2" xfId="7605"/>
    <cellStyle name="SAPLocked 2 16 2 10" xfId="7606"/>
    <cellStyle name="SAPLocked 2 16 2 10 2" xfId="61550"/>
    <cellStyle name="SAPLocked 2 16 2 11" xfId="7607"/>
    <cellStyle name="SAPLocked 2 16 2 11 2" xfId="61551"/>
    <cellStyle name="SAPLocked 2 16 2 12" xfId="7608"/>
    <cellStyle name="SAPLocked 2 16 2 2" xfId="7609"/>
    <cellStyle name="SAPLocked 2 16 2 2 2" xfId="61552"/>
    <cellStyle name="SAPLocked 2 16 2 3" xfId="7610"/>
    <cellStyle name="SAPLocked 2 16 2 3 2" xfId="61553"/>
    <cellStyle name="SAPLocked 2 16 2 4" xfId="7611"/>
    <cellStyle name="SAPLocked 2 16 2 4 2" xfId="61554"/>
    <cellStyle name="SAPLocked 2 16 2 5" xfId="7612"/>
    <cellStyle name="SAPLocked 2 16 2 5 2" xfId="61555"/>
    <cellStyle name="SAPLocked 2 16 2 6" xfId="7613"/>
    <cellStyle name="SAPLocked 2 16 2 6 2" xfId="61556"/>
    <cellStyle name="SAPLocked 2 16 2 7" xfId="7614"/>
    <cellStyle name="SAPLocked 2 16 2 7 2" xfId="61557"/>
    <cellStyle name="SAPLocked 2 16 2 8" xfId="7615"/>
    <cellStyle name="SAPLocked 2 16 2 8 2" xfId="61558"/>
    <cellStyle name="SAPLocked 2 16 2 9" xfId="7616"/>
    <cellStyle name="SAPLocked 2 16 2 9 2" xfId="61559"/>
    <cellStyle name="SAPLocked 2 16 3" xfId="7617"/>
    <cellStyle name="SAPLocked 2 16 3 2" xfId="61560"/>
    <cellStyle name="SAPLocked 2 16 4" xfId="7618"/>
    <cellStyle name="SAPLocked 2 16 4 2" xfId="61561"/>
    <cellStyle name="SAPLocked 2 16 5" xfId="7619"/>
    <cellStyle name="SAPLocked 2 16 5 2" xfId="61562"/>
    <cellStyle name="SAPLocked 2 16 6" xfId="7620"/>
    <cellStyle name="SAPLocked 2 16 6 2" xfId="61563"/>
    <cellStyle name="SAPLocked 2 16 7" xfId="7621"/>
    <cellStyle name="SAPLocked 2 16 7 2" xfId="61564"/>
    <cellStyle name="SAPLocked 2 16 8" xfId="7622"/>
    <cellStyle name="SAPLocked 2 16 8 2" xfId="61565"/>
    <cellStyle name="SAPLocked 2 16 9" xfId="7623"/>
    <cellStyle name="SAPLocked 2 16 9 2" xfId="61566"/>
    <cellStyle name="SAPLocked 2 17" xfId="7624"/>
    <cellStyle name="SAPLocked 2 17 10" xfId="7625"/>
    <cellStyle name="SAPLocked 2 17 10 2" xfId="61567"/>
    <cellStyle name="SAPLocked 2 17 11" xfId="7626"/>
    <cellStyle name="SAPLocked 2 17 11 2" xfId="61568"/>
    <cellStyle name="SAPLocked 2 17 12" xfId="7627"/>
    <cellStyle name="SAPLocked 2 17 12 2" xfId="61569"/>
    <cellStyle name="SAPLocked 2 17 13" xfId="7628"/>
    <cellStyle name="SAPLocked 2 17 2" xfId="7629"/>
    <cellStyle name="SAPLocked 2 17 2 10" xfId="7630"/>
    <cellStyle name="SAPLocked 2 17 2 10 2" xfId="61570"/>
    <cellStyle name="SAPLocked 2 17 2 11" xfId="7631"/>
    <cellStyle name="SAPLocked 2 17 2 11 2" xfId="61571"/>
    <cellStyle name="SAPLocked 2 17 2 12" xfId="7632"/>
    <cellStyle name="SAPLocked 2 17 2 2" xfId="7633"/>
    <cellStyle name="SAPLocked 2 17 2 2 2" xfId="61572"/>
    <cellStyle name="SAPLocked 2 17 2 3" xfId="7634"/>
    <cellStyle name="SAPLocked 2 17 2 3 2" xfId="61573"/>
    <cellStyle name="SAPLocked 2 17 2 4" xfId="7635"/>
    <cellStyle name="SAPLocked 2 17 2 4 2" xfId="61574"/>
    <cellStyle name="SAPLocked 2 17 2 5" xfId="7636"/>
    <cellStyle name="SAPLocked 2 17 2 5 2" xfId="61575"/>
    <cellStyle name="SAPLocked 2 17 2 6" xfId="7637"/>
    <cellStyle name="SAPLocked 2 17 2 6 2" xfId="61576"/>
    <cellStyle name="SAPLocked 2 17 2 7" xfId="7638"/>
    <cellStyle name="SAPLocked 2 17 2 7 2" xfId="61577"/>
    <cellStyle name="SAPLocked 2 17 2 8" xfId="7639"/>
    <cellStyle name="SAPLocked 2 17 2 8 2" xfId="61578"/>
    <cellStyle name="SAPLocked 2 17 2 9" xfId="7640"/>
    <cellStyle name="SAPLocked 2 17 2 9 2" xfId="61579"/>
    <cellStyle name="SAPLocked 2 17 3" xfId="7641"/>
    <cellStyle name="SAPLocked 2 17 3 2" xfId="61580"/>
    <cellStyle name="SAPLocked 2 17 4" xfId="7642"/>
    <cellStyle name="SAPLocked 2 17 4 2" xfId="61581"/>
    <cellStyle name="SAPLocked 2 17 5" xfId="7643"/>
    <cellStyle name="SAPLocked 2 17 5 2" xfId="61582"/>
    <cellStyle name="SAPLocked 2 17 6" xfId="7644"/>
    <cellStyle name="SAPLocked 2 17 6 2" xfId="61583"/>
    <cellStyle name="SAPLocked 2 17 7" xfId="7645"/>
    <cellStyle name="SAPLocked 2 17 7 2" xfId="61584"/>
    <cellStyle name="SAPLocked 2 17 8" xfId="7646"/>
    <cellStyle name="SAPLocked 2 17 8 2" xfId="61585"/>
    <cellStyle name="SAPLocked 2 17 9" xfId="7647"/>
    <cellStyle name="SAPLocked 2 17 9 2" xfId="61586"/>
    <cellStyle name="SAPLocked 2 18" xfId="7648"/>
    <cellStyle name="SAPLocked 2 18 10" xfId="7649"/>
    <cellStyle name="SAPLocked 2 18 10 2" xfId="61587"/>
    <cellStyle name="SAPLocked 2 18 11" xfId="7650"/>
    <cellStyle name="SAPLocked 2 18 11 2" xfId="61588"/>
    <cellStyle name="SAPLocked 2 18 12" xfId="7651"/>
    <cellStyle name="SAPLocked 2 18 12 2" xfId="61589"/>
    <cellStyle name="SAPLocked 2 18 13" xfId="7652"/>
    <cellStyle name="SAPLocked 2 18 2" xfId="7653"/>
    <cellStyle name="SAPLocked 2 18 2 10" xfId="7654"/>
    <cellStyle name="SAPLocked 2 18 2 10 2" xfId="61590"/>
    <cellStyle name="SAPLocked 2 18 2 11" xfId="7655"/>
    <cellStyle name="SAPLocked 2 18 2 11 2" xfId="61591"/>
    <cellStyle name="SAPLocked 2 18 2 12" xfId="7656"/>
    <cellStyle name="SAPLocked 2 18 2 2" xfId="7657"/>
    <cellStyle name="SAPLocked 2 18 2 2 2" xfId="61592"/>
    <cellStyle name="SAPLocked 2 18 2 3" xfId="7658"/>
    <cellStyle name="SAPLocked 2 18 2 3 2" xfId="61593"/>
    <cellStyle name="SAPLocked 2 18 2 4" xfId="7659"/>
    <cellStyle name="SAPLocked 2 18 2 4 2" xfId="61594"/>
    <cellStyle name="SAPLocked 2 18 2 5" xfId="7660"/>
    <cellStyle name="SAPLocked 2 18 2 5 2" xfId="61595"/>
    <cellStyle name="SAPLocked 2 18 2 6" xfId="7661"/>
    <cellStyle name="SAPLocked 2 18 2 6 2" xfId="61596"/>
    <cellStyle name="SAPLocked 2 18 2 7" xfId="7662"/>
    <cellStyle name="SAPLocked 2 18 2 7 2" xfId="61597"/>
    <cellStyle name="SAPLocked 2 18 2 8" xfId="7663"/>
    <cellStyle name="SAPLocked 2 18 2 8 2" xfId="61598"/>
    <cellStyle name="SAPLocked 2 18 2 9" xfId="7664"/>
    <cellStyle name="SAPLocked 2 18 2 9 2" xfId="61599"/>
    <cellStyle name="SAPLocked 2 18 3" xfId="7665"/>
    <cellStyle name="SAPLocked 2 18 3 2" xfId="61600"/>
    <cellStyle name="SAPLocked 2 18 4" xfId="7666"/>
    <cellStyle name="SAPLocked 2 18 4 2" xfId="61601"/>
    <cellStyle name="SAPLocked 2 18 5" xfId="7667"/>
    <cellStyle name="SAPLocked 2 18 5 2" xfId="61602"/>
    <cellStyle name="SAPLocked 2 18 6" xfId="7668"/>
    <cellStyle name="SAPLocked 2 18 6 2" xfId="61603"/>
    <cellStyle name="SAPLocked 2 18 7" xfId="7669"/>
    <cellStyle name="SAPLocked 2 18 7 2" xfId="61604"/>
    <cellStyle name="SAPLocked 2 18 8" xfId="7670"/>
    <cellStyle name="SAPLocked 2 18 8 2" xfId="61605"/>
    <cellStyle name="SAPLocked 2 18 9" xfId="7671"/>
    <cellStyle name="SAPLocked 2 18 9 2" xfId="61606"/>
    <cellStyle name="SAPLocked 2 19" xfId="7672"/>
    <cellStyle name="SAPLocked 2 19 10" xfId="7673"/>
    <cellStyle name="SAPLocked 2 19 10 2" xfId="61607"/>
    <cellStyle name="SAPLocked 2 19 11" xfId="7674"/>
    <cellStyle name="SAPLocked 2 19 11 2" xfId="61608"/>
    <cellStyle name="SAPLocked 2 19 12" xfId="7675"/>
    <cellStyle name="SAPLocked 2 19 12 2" xfId="61609"/>
    <cellStyle name="SAPLocked 2 19 13" xfId="7676"/>
    <cellStyle name="SAPLocked 2 19 2" xfId="7677"/>
    <cellStyle name="SAPLocked 2 19 2 10" xfId="7678"/>
    <cellStyle name="SAPLocked 2 19 2 10 2" xfId="61610"/>
    <cellStyle name="SAPLocked 2 19 2 11" xfId="7679"/>
    <cellStyle name="SAPLocked 2 19 2 11 2" xfId="61611"/>
    <cellStyle name="SAPLocked 2 19 2 12" xfId="7680"/>
    <cellStyle name="SAPLocked 2 19 2 2" xfId="7681"/>
    <cellStyle name="SAPLocked 2 19 2 2 2" xfId="61612"/>
    <cellStyle name="SAPLocked 2 19 2 3" xfId="7682"/>
    <cellStyle name="SAPLocked 2 19 2 3 2" xfId="61613"/>
    <cellStyle name="SAPLocked 2 19 2 4" xfId="7683"/>
    <cellStyle name="SAPLocked 2 19 2 4 2" xfId="61614"/>
    <cellStyle name="SAPLocked 2 19 2 5" xfId="7684"/>
    <cellStyle name="SAPLocked 2 19 2 5 2" xfId="61615"/>
    <cellStyle name="SAPLocked 2 19 2 6" xfId="7685"/>
    <cellStyle name="SAPLocked 2 19 2 6 2" xfId="61616"/>
    <cellStyle name="SAPLocked 2 19 2 7" xfId="7686"/>
    <cellStyle name="SAPLocked 2 19 2 7 2" xfId="61617"/>
    <cellStyle name="SAPLocked 2 19 2 8" xfId="7687"/>
    <cellStyle name="SAPLocked 2 19 2 8 2" xfId="61618"/>
    <cellStyle name="SAPLocked 2 19 2 9" xfId="7688"/>
    <cellStyle name="SAPLocked 2 19 2 9 2" xfId="61619"/>
    <cellStyle name="SAPLocked 2 19 3" xfId="7689"/>
    <cellStyle name="SAPLocked 2 19 3 2" xfId="61620"/>
    <cellStyle name="SAPLocked 2 19 4" xfId="7690"/>
    <cellStyle name="SAPLocked 2 19 4 2" xfId="61621"/>
    <cellStyle name="SAPLocked 2 19 5" xfId="7691"/>
    <cellStyle name="SAPLocked 2 19 5 2" xfId="61622"/>
    <cellStyle name="SAPLocked 2 19 6" xfId="7692"/>
    <cellStyle name="SAPLocked 2 19 6 2" xfId="61623"/>
    <cellStyle name="SAPLocked 2 19 7" xfId="7693"/>
    <cellStyle name="SAPLocked 2 19 7 2" xfId="61624"/>
    <cellStyle name="SAPLocked 2 19 8" xfId="7694"/>
    <cellStyle name="SAPLocked 2 19 8 2" xfId="61625"/>
    <cellStyle name="SAPLocked 2 19 9" xfId="7695"/>
    <cellStyle name="SAPLocked 2 19 9 2" xfId="61626"/>
    <cellStyle name="SAPLocked 2 2" xfId="7696"/>
    <cellStyle name="SAPLocked 2 2 10" xfId="7697"/>
    <cellStyle name="SAPLocked 2 2 10 2" xfId="61627"/>
    <cellStyle name="SAPLocked 2 2 11" xfId="7698"/>
    <cellStyle name="SAPLocked 2 2 11 2" xfId="61628"/>
    <cellStyle name="SAPLocked 2 2 12" xfId="7699"/>
    <cellStyle name="SAPLocked 2 2 12 2" xfId="61629"/>
    <cellStyle name="SAPLocked 2 2 13" xfId="7700"/>
    <cellStyle name="SAPLocked 2 2 2" xfId="7701"/>
    <cellStyle name="SAPLocked 2 2 2 10" xfId="7702"/>
    <cellStyle name="SAPLocked 2 2 2 10 2" xfId="61630"/>
    <cellStyle name="SAPLocked 2 2 2 11" xfId="7703"/>
    <cellStyle name="SAPLocked 2 2 2 11 2" xfId="61631"/>
    <cellStyle name="SAPLocked 2 2 2 12" xfId="7704"/>
    <cellStyle name="SAPLocked 2 2 2 2" xfId="7705"/>
    <cellStyle name="SAPLocked 2 2 2 2 2" xfId="61632"/>
    <cellStyle name="SAPLocked 2 2 2 3" xfId="7706"/>
    <cellStyle name="SAPLocked 2 2 2 3 2" xfId="61633"/>
    <cellStyle name="SAPLocked 2 2 2 4" xfId="7707"/>
    <cellStyle name="SAPLocked 2 2 2 4 2" xfId="61634"/>
    <cellStyle name="SAPLocked 2 2 2 5" xfId="7708"/>
    <cellStyle name="SAPLocked 2 2 2 5 2" xfId="61635"/>
    <cellStyle name="SAPLocked 2 2 2 6" xfId="7709"/>
    <cellStyle name="SAPLocked 2 2 2 6 2" xfId="61636"/>
    <cellStyle name="SAPLocked 2 2 2 7" xfId="7710"/>
    <cellStyle name="SAPLocked 2 2 2 7 2" xfId="61637"/>
    <cellStyle name="SAPLocked 2 2 2 8" xfId="7711"/>
    <cellStyle name="SAPLocked 2 2 2 8 2" xfId="61638"/>
    <cellStyle name="SAPLocked 2 2 2 9" xfId="7712"/>
    <cellStyle name="SAPLocked 2 2 2 9 2" xfId="61639"/>
    <cellStyle name="SAPLocked 2 2 3" xfId="7713"/>
    <cellStyle name="SAPLocked 2 2 3 2" xfId="61640"/>
    <cellStyle name="SAPLocked 2 2 4" xfId="7714"/>
    <cellStyle name="SAPLocked 2 2 4 2" xfId="61641"/>
    <cellStyle name="SAPLocked 2 2 5" xfId="7715"/>
    <cellStyle name="SAPLocked 2 2 5 2" xfId="61642"/>
    <cellStyle name="SAPLocked 2 2 6" xfId="7716"/>
    <cellStyle name="SAPLocked 2 2 6 2" xfId="61643"/>
    <cellStyle name="SAPLocked 2 2 7" xfId="7717"/>
    <cellStyle name="SAPLocked 2 2 7 2" xfId="61644"/>
    <cellStyle name="SAPLocked 2 2 8" xfId="7718"/>
    <cellStyle name="SAPLocked 2 2 8 2" xfId="61645"/>
    <cellStyle name="SAPLocked 2 2 9" xfId="7719"/>
    <cellStyle name="SAPLocked 2 2 9 2" xfId="61646"/>
    <cellStyle name="SAPLocked 2 20" xfId="7720"/>
    <cellStyle name="SAPLocked 2 20 10" xfId="7721"/>
    <cellStyle name="SAPLocked 2 20 10 2" xfId="61647"/>
    <cellStyle name="SAPLocked 2 20 11" xfId="7722"/>
    <cellStyle name="SAPLocked 2 20 11 2" xfId="61648"/>
    <cellStyle name="SAPLocked 2 20 12" xfId="7723"/>
    <cellStyle name="SAPLocked 2 20 12 2" xfId="61649"/>
    <cellStyle name="SAPLocked 2 20 13" xfId="7724"/>
    <cellStyle name="SAPLocked 2 20 2" xfId="7725"/>
    <cellStyle name="SAPLocked 2 20 2 10" xfId="7726"/>
    <cellStyle name="SAPLocked 2 20 2 10 2" xfId="61650"/>
    <cellStyle name="SAPLocked 2 20 2 11" xfId="7727"/>
    <cellStyle name="SAPLocked 2 20 2 11 2" xfId="61651"/>
    <cellStyle name="SAPLocked 2 20 2 12" xfId="7728"/>
    <cellStyle name="SAPLocked 2 20 2 2" xfId="7729"/>
    <cellStyle name="SAPLocked 2 20 2 2 2" xfId="61652"/>
    <cellStyle name="SAPLocked 2 20 2 3" xfId="7730"/>
    <cellStyle name="SAPLocked 2 20 2 3 2" xfId="61653"/>
    <cellStyle name="SAPLocked 2 20 2 4" xfId="7731"/>
    <cellStyle name="SAPLocked 2 20 2 4 2" xfId="61654"/>
    <cellStyle name="SAPLocked 2 20 2 5" xfId="7732"/>
    <cellStyle name="SAPLocked 2 20 2 5 2" xfId="61655"/>
    <cellStyle name="SAPLocked 2 20 2 6" xfId="7733"/>
    <cellStyle name="SAPLocked 2 20 2 6 2" xfId="61656"/>
    <cellStyle name="SAPLocked 2 20 2 7" xfId="7734"/>
    <cellStyle name="SAPLocked 2 20 2 7 2" xfId="61657"/>
    <cellStyle name="SAPLocked 2 20 2 8" xfId="7735"/>
    <cellStyle name="SAPLocked 2 20 2 8 2" xfId="61658"/>
    <cellStyle name="SAPLocked 2 20 2 9" xfId="7736"/>
    <cellStyle name="SAPLocked 2 20 2 9 2" xfId="61659"/>
    <cellStyle name="SAPLocked 2 20 3" xfId="7737"/>
    <cellStyle name="SAPLocked 2 20 3 2" xfId="61660"/>
    <cellStyle name="SAPLocked 2 20 4" xfId="7738"/>
    <cellStyle name="SAPLocked 2 20 4 2" xfId="61661"/>
    <cellStyle name="SAPLocked 2 20 5" xfId="7739"/>
    <cellStyle name="SAPLocked 2 20 5 2" xfId="61662"/>
    <cellStyle name="SAPLocked 2 20 6" xfId="7740"/>
    <cellStyle name="SAPLocked 2 20 6 2" xfId="61663"/>
    <cellStyle name="SAPLocked 2 20 7" xfId="7741"/>
    <cellStyle name="SAPLocked 2 20 7 2" xfId="61664"/>
    <cellStyle name="SAPLocked 2 20 8" xfId="7742"/>
    <cellStyle name="SAPLocked 2 20 8 2" xfId="61665"/>
    <cellStyle name="SAPLocked 2 20 9" xfId="7743"/>
    <cellStyle name="SAPLocked 2 20 9 2" xfId="61666"/>
    <cellStyle name="SAPLocked 2 21" xfId="7744"/>
    <cellStyle name="SAPLocked 2 21 10" xfId="7745"/>
    <cellStyle name="SAPLocked 2 21 10 2" xfId="61667"/>
    <cellStyle name="SAPLocked 2 21 11" xfId="7746"/>
    <cellStyle name="SAPLocked 2 21 11 2" xfId="61668"/>
    <cellStyle name="SAPLocked 2 21 12" xfId="7747"/>
    <cellStyle name="SAPLocked 2 21 2" xfId="7748"/>
    <cellStyle name="SAPLocked 2 21 2 2" xfId="61669"/>
    <cellStyle name="SAPLocked 2 21 3" xfId="7749"/>
    <cellStyle name="SAPLocked 2 21 3 2" xfId="61670"/>
    <cellStyle name="SAPLocked 2 21 4" xfId="7750"/>
    <cellStyle name="SAPLocked 2 21 4 2" xfId="61671"/>
    <cellStyle name="SAPLocked 2 21 5" xfId="7751"/>
    <cellStyle name="SAPLocked 2 21 5 2" xfId="61672"/>
    <cellStyle name="SAPLocked 2 21 6" xfId="7752"/>
    <cellStyle name="SAPLocked 2 21 6 2" xfId="61673"/>
    <cellStyle name="SAPLocked 2 21 7" xfId="7753"/>
    <cellStyle name="SAPLocked 2 21 7 2" xfId="61674"/>
    <cellStyle name="SAPLocked 2 21 8" xfId="7754"/>
    <cellStyle name="SAPLocked 2 21 8 2" xfId="61675"/>
    <cellStyle name="SAPLocked 2 21 9" xfId="7755"/>
    <cellStyle name="SAPLocked 2 21 9 2" xfId="61676"/>
    <cellStyle name="SAPLocked 2 22" xfId="7756"/>
    <cellStyle name="SAPLocked 2 22 2" xfId="61677"/>
    <cellStyle name="SAPLocked 2 23" xfId="7757"/>
    <cellStyle name="SAPLocked 2 23 2" xfId="61678"/>
    <cellStyle name="SAPLocked 2 24" xfId="7758"/>
    <cellStyle name="SAPLocked 2 24 2" xfId="61679"/>
    <cellStyle name="SAPLocked 2 25" xfId="7759"/>
    <cellStyle name="SAPLocked 2 25 2" xfId="61680"/>
    <cellStyle name="SAPLocked 2 26" xfId="7760"/>
    <cellStyle name="SAPLocked 2 26 2" xfId="61681"/>
    <cellStyle name="SAPLocked 2 27" xfId="7761"/>
    <cellStyle name="SAPLocked 2 27 2" xfId="61682"/>
    <cellStyle name="SAPLocked 2 28" xfId="7762"/>
    <cellStyle name="SAPLocked 2 28 2" xfId="61683"/>
    <cellStyle name="SAPLocked 2 29" xfId="7763"/>
    <cellStyle name="SAPLocked 2 29 2" xfId="61684"/>
    <cellStyle name="SAPLocked 2 3" xfId="7764"/>
    <cellStyle name="SAPLocked 2 3 10" xfId="7765"/>
    <cellStyle name="SAPLocked 2 3 10 2" xfId="61685"/>
    <cellStyle name="SAPLocked 2 3 11" xfId="7766"/>
    <cellStyle name="SAPLocked 2 3 11 2" xfId="61686"/>
    <cellStyle name="SAPLocked 2 3 12" xfId="7767"/>
    <cellStyle name="SAPLocked 2 3 12 2" xfId="61687"/>
    <cellStyle name="SAPLocked 2 3 13" xfId="7768"/>
    <cellStyle name="SAPLocked 2 3 2" xfId="7769"/>
    <cellStyle name="SAPLocked 2 3 2 10" xfId="7770"/>
    <cellStyle name="SAPLocked 2 3 2 10 2" xfId="61688"/>
    <cellStyle name="SAPLocked 2 3 2 11" xfId="7771"/>
    <cellStyle name="SAPLocked 2 3 2 11 2" xfId="61689"/>
    <cellStyle name="SAPLocked 2 3 2 12" xfId="7772"/>
    <cellStyle name="SAPLocked 2 3 2 2" xfId="7773"/>
    <cellStyle name="SAPLocked 2 3 2 2 2" xfId="61690"/>
    <cellStyle name="SAPLocked 2 3 2 3" xfId="7774"/>
    <cellStyle name="SAPLocked 2 3 2 3 2" xfId="61691"/>
    <cellStyle name="SAPLocked 2 3 2 4" xfId="7775"/>
    <cellStyle name="SAPLocked 2 3 2 4 2" xfId="61692"/>
    <cellStyle name="SAPLocked 2 3 2 5" xfId="7776"/>
    <cellStyle name="SAPLocked 2 3 2 5 2" xfId="61693"/>
    <cellStyle name="SAPLocked 2 3 2 6" xfId="7777"/>
    <cellStyle name="SAPLocked 2 3 2 6 2" xfId="61694"/>
    <cellStyle name="SAPLocked 2 3 2 7" xfId="7778"/>
    <cellStyle name="SAPLocked 2 3 2 7 2" xfId="61695"/>
    <cellStyle name="SAPLocked 2 3 2 8" xfId="7779"/>
    <cellStyle name="SAPLocked 2 3 2 8 2" xfId="61696"/>
    <cellStyle name="SAPLocked 2 3 2 9" xfId="7780"/>
    <cellStyle name="SAPLocked 2 3 2 9 2" xfId="61697"/>
    <cellStyle name="SAPLocked 2 3 3" xfId="7781"/>
    <cellStyle name="SAPLocked 2 3 3 2" xfId="61698"/>
    <cellStyle name="SAPLocked 2 3 4" xfId="7782"/>
    <cellStyle name="SAPLocked 2 3 4 2" xfId="61699"/>
    <cellStyle name="SAPLocked 2 3 5" xfId="7783"/>
    <cellStyle name="SAPLocked 2 3 5 2" xfId="61700"/>
    <cellStyle name="SAPLocked 2 3 6" xfId="7784"/>
    <cellStyle name="SAPLocked 2 3 6 2" xfId="61701"/>
    <cellStyle name="SAPLocked 2 3 7" xfId="7785"/>
    <cellStyle name="SAPLocked 2 3 7 2" xfId="61702"/>
    <cellStyle name="SAPLocked 2 3 8" xfId="7786"/>
    <cellStyle name="SAPLocked 2 3 8 2" xfId="61703"/>
    <cellStyle name="SAPLocked 2 3 9" xfId="7787"/>
    <cellStyle name="SAPLocked 2 3 9 2" xfId="61704"/>
    <cellStyle name="SAPLocked 2 30" xfId="7788"/>
    <cellStyle name="SAPLocked 2 4" xfId="7789"/>
    <cellStyle name="SAPLocked 2 4 10" xfId="7790"/>
    <cellStyle name="SAPLocked 2 4 10 2" xfId="61705"/>
    <cellStyle name="SAPLocked 2 4 11" xfId="7791"/>
    <cellStyle name="SAPLocked 2 4 11 2" xfId="61706"/>
    <cellStyle name="SAPLocked 2 4 12" xfId="7792"/>
    <cellStyle name="SAPLocked 2 4 12 2" xfId="61707"/>
    <cellStyle name="SAPLocked 2 4 13" xfId="7793"/>
    <cellStyle name="SAPLocked 2 4 2" xfId="7794"/>
    <cellStyle name="SAPLocked 2 4 2 10" xfId="7795"/>
    <cellStyle name="SAPLocked 2 4 2 10 2" xfId="61708"/>
    <cellStyle name="SAPLocked 2 4 2 11" xfId="7796"/>
    <cellStyle name="SAPLocked 2 4 2 11 2" xfId="61709"/>
    <cellStyle name="SAPLocked 2 4 2 12" xfId="7797"/>
    <cellStyle name="SAPLocked 2 4 2 2" xfId="7798"/>
    <cellStyle name="SAPLocked 2 4 2 2 2" xfId="61710"/>
    <cellStyle name="SAPLocked 2 4 2 3" xfId="7799"/>
    <cellStyle name="SAPLocked 2 4 2 3 2" xfId="61711"/>
    <cellStyle name="SAPLocked 2 4 2 4" xfId="7800"/>
    <cellStyle name="SAPLocked 2 4 2 4 2" xfId="61712"/>
    <cellStyle name="SAPLocked 2 4 2 5" xfId="7801"/>
    <cellStyle name="SAPLocked 2 4 2 5 2" xfId="61713"/>
    <cellStyle name="SAPLocked 2 4 2 6" xfId="7802"/>
    <cellStyle name="SAPLocked 2 4 2 6 2" xfId="61714"/>
    <cellStyle name="SAPLocked 2 4 2 7" xfId="7803"/>
    <cellStyle name="SAPLocked 2 4 2 7 2" xfId="61715"/>
    <cellStyle name="SAPLocked 2 4 2 8" xfId="7804"/>
    <cellStyle name="SAPLocked 2 4 2 8 2" xfId="61716"/>
    <cellStyle name="SAPLocked 2 4 2 9" xfId="7805"/>
    <cellStyle name="SAPLocked 2 4 2 9 2" xfId="61717"/>
    <cellStyle name="SAPLocked 2 4 3" xfId="7806"/>
    <cellStyle name="SAPLocked 2 4 3 2" xfId="61718"/>
    <cellStyle name="SAPLocked 2 4 4" xfId="7807"/>
    <cellStyle name="SAPLocked 2 4 4 2" xfId="61719"/>
    <cellStyle name="SAPLocked 2 4 5" xfId="7808"/>
    <cellStyle name="SAPLocked 2 4 5 2" xfId="61720"/>
    <cellStyle name="SAPLocked 2 4 6" xfId="7809"/>
    <cellStyle name="SAPLocked 2 4 6 2" xfId="61721"/>
    <cellStyle name="SAPLocked 2 4 7" xfId="7810"/>
    <cellStyle name="SAPLocked 2 4 7 2" xfId="61722"/>
    <cellStyle name="SAPLocked 2 4 8" xfId="7811"/>
    <cellStyle name="SAPLocked 2 4 8 2" xfId="61723"/>
    <cellStyle name="SAPLocked 2 4 9" xfId="7812"/>
    <cellStyle name="SAPLocked 2 4 9 2" xfId="61724"/>
    <cellStyle name="SAPLocked 2 5" xfId="7813"/>
    <cellStyle name="SAPLocked 2 5 10" xfId="7814"/>
    <cellStyle name="SAPLocked 2 5 10 2" xfId="61725"/>
    <cellStyle name="SAPLocked 2 5 11" xfId="7815"/>
    <cellStyle name="SAPLocked 2 5 11 2" xfId="61726"/>
    <cellStyle name="SAPLocked 2 5 12" xfId="7816"/>
    <cellStyle name="SAPLocked 2 5 12 2" xfId="61727"/>
    <cellStyle name="SAPLocked 2 5 13" xfId="7817"/>
    <cellStyle name="SAPLocked 2 5 2" xfId="7818"/>
    <cellStyle name="SAPLocked 2 5 2 10" xfId="7819"/>
    <cellStyle name="SAPLocked 2 5 2 10 2" xfId="61728"/>
    <cellStyle name="SAPLocked 2 5 2 11" xfId="7820"/>
    <cellStyle name="SAPLocked 2 5 2 11 2" xfId="61729"/>
    <cellStyle name="SAPLocked 2 5 2 12" xfId="7821"/>
    <cellStyle name="SAPLocked 2 5 2 2" xfId="7822"/>
    <cellStyle name="SAPLocked 2 5 2 2 2" xfId="61730"/>
    <cellStyle name="SAPLocked 2 5 2 3" xfId="7823"/>
    <cellStyle name="SAPLocked 2 5 2 3 2" xfId="61731"/>
    <cellStyle name="SAPLocked 2 5 2 4" xfId="7824"/>
    <cellStyle name="SAPLocked 2 5 2 4 2" xfId="61732"/>
    <cellStyle name="SAPLocked 2 5 2 5" xfId="7825"/>
    <cellStyle name="SAPLocked 2 5 2 5 2" xfId="61733"/>
    <cellStyle name="SAPLocked 2 5 2 6" xfId="7826"/>
    <cellStyle name="SAPLocked 2 5 2 6 2" xfId="61734"/>
    <cellStyle name="SAPLocked 2 5 2 7" xfId="7827"/>
    <cellStyle name="SAPLocked 2 5 2 7 2" xfId="61735"/>
    <cellStyle name="SAPLocked 2 5 2 8" xfId="7828"/>
    <cellStyle name="SAPLocked 2 5 2 8 2" xfId="61736"/>
    <cellStyle name="SAPLocked 2 5 2 9" xfId="7829"/>
    <cellStyle name="SAPLocked 2 5 2 9 2" xfId="61737"/>
    <cellStyle name="SAPLocked 2 5 3" xfId="7830"/>
    <cellStyle name="SAPLocked 2 5 3 2" xfId="61738"/>
    <cellStyle name="SAPLocked 2 5 4" xfId="7831"/>
    <cellStyle name="SAPLocked 2 5 4 2" xfId="61739"/>
    <cellStyle name="SAPLocked 2 5 5" xfId="7832"/>
    <cellStyle name="SAPLocked 2 5 5 2" xfId="61740"/>
    <cellStyle name="SAPLocked 2 5 6" xfId="7833"/>
    <cellStyle name="SAPLocked 2 5 6 2" xfId="61741"/>
    <cellStyle name="SAPLocked 2 5 7" xfId="7834"/>
    <cellStyle name="SAPLocked 2 5 7 2" xfId="61742"/>
    <cellStyle name="SAPLocked 2 5 8" xfId="7835"/>
    <cellStyle name="SAPLocked 2 5 8 2" xfId="61743"/>
    <cellStyle name="SAPLocked 2 5 9" xfId="7836"/>
    <cellStyle name="SAPLocked 2 5 9 2" xfId="61744"/>
    <cellStyle name="SAPLocked 2 6" xfId="7837"/>
    <cellStyle name="SAPLocked 2 6 10" xfId="7838"/>
    <cellStyle name="SAPLocked 2 6 10 2" xfId="61745"/>
    <cellStyle name="SAPLocked 2 6 11" xfId="7839"/>
    <cellStyle name="SAPLocked 2 6 11 2" xfId="61746"/>
    <cellStyle name="SAPLocked 2 6 12" xfId="7840"/>
    <cellStyle name="SAPLocked 2 6 12 2" xfId="61747"/>
    <cellStyle name="SAPLocked 2 6 13" xfId="7841"/>
    <cellStyle name="SAPLocked 2 6 2" xfId="7842"/>
    <cellStyle name="SAPLocked 2 6 2 10" xfId="7843"/>
    <cellStyle name="SAPLocked 2 6 2 10 2" xfId="61748"/>
    <cellStyle name="SAPLocked 2 6 2 11" xfId="7844"/>
    <cellStyle name="SAPLocked 2 6 2 11 2" xfId="61749"/>
    <cellStyle name="SAPLocked 2 6 2 12" xfId="7845"/>
    <cellStyle name="SAPLocked 2 6 2 2" xfId="7846"/>
    <cellStyle name="SAPLocked 2 6 2 2 2" xfId="61750"/>
    <cellStyle name="SAPLocked 2 6 2 3" xfId="7847"/>
    <cellStyle name="SAPLocked 2 6 2 3 2" xfId="61751"/>
    <cellStyle name="SAPLocked 2 6 2 4" xfId="7848"/>
    <cellStyle name="SAPLocked 2 6 2 4 2" xfId="61752"/>
    <cellStyle name="SAPLocked 2 6 2 5" xfId="7849"/>
    <cellStyle name="SAPLocked 2 6 2 5 2" xfId="61753"/>
    <cellStyle name="SAPLocked 2 6 2 6" xfId="7850"/>
    <cellStyle name="SAPLocked 2 6 2 6 2" xfId="61754"/>
    <cellStyle name="SAPLocked 2 6 2 7" xfId="7851"/>
    <cellStyle name="SAPLocked 2 6 2 7 2" xfId="61755"/>
    <cellStyle name="SAPLocked 2 6 2 8" xfId="7852"/>
    <cellStyle name="SAPLocked 2 6 2 8 2" xfId="61756"/>
    <cellStyle name="SAPLocked 2 6 2 9" xfId="7853"/>
    <cellStyle name="SAPLocked 2 6 2 9 2" xfId="61757"/>
    <cellStyle name="SAPLocked 2 6 3" xfId="7854"/>
    <cellStyle name="SAPLocked 2 6 3 2" xfId="61758"/>
    <cellStyle name="SAPLocked 2 6 4" xfId="7855"/>
    <cellStyle name="SAPLocked 2 6 4 2" xfId="61759"/>
    <cellStyle name="SAPLocked 2 6 5" xfId="7856"/>
    <cellStyle name="SAPLocked 2 6 5 2" xfId="61760"/>
    <cellStyle name="SAPLocked 2 6 6" xfId="7857"/>
    <cellStyle name="SAPLocked 2 6 6 2" xfId="61761"/>
    <cellStyle name="SAPLocked 2 6 7" xfId="7858"/>
    <cellStyle name="SAPLocked 2 6 7 2" xfId="61762"/>
    <cellStyle name="SAPLocked 2 6 8" xfId="7859"/>
    <cellStyle name="SAPLocked 2 6 8 2" xfId="61763"/>
    <cellStyle name="SAPLocked 2 6 9" xfId="7860"/>
    <cellStyle name="SAPLocked 2 6 9 2" xfId="61764"/>
    <cellStyle name="SAPLocked 2 7" xfId="7861"/>
    <cellStyle name="SAPLocked 2 7 10" xfId="7862"/>
    <cellStyle name="SAPLocked 2 7 10 2" xfId="61765"/>
    <cellStyle name="SAPLocked 2 7 11" xfId="7863"/>
    <cellStyle name="SAPLocked 2 7 11 2" xfId="61766"/>
    <cellStyle name="SAPLocked 2 7 12" xfId="7864"/>
    <cellStyle name="SAPLocked 2 7 12 2" xfId="61767"/>
    <cellStyle name="SAPLocked 2 7 13" xfId="7865"/>
    <cellStyle name="SAPLocked 2 7 2" xfId="7866"/>
    <cellStyle name="SAPLocked 2 7 2 10" xfId="7867"/>
    <cellStyle name="SAPLocked 2 7 2 10 2" xfId="61768"/>
    <cellStyle name="SAPLocked 2 7 2 11" xfId="7868"/>
    <cellStyle name="SAPLocked 2 7 2 11 2" xfId="61769"/>
    <cellStyle name="SAPLocked 2 7 2 12" xfId="7869"/>
    <cellStyle name="SAPLocked 2 7 2 2" xfId="7870"/>
    <cellStyle name="SAPLocked 2 7 2 2 2" xfId="61770"/>
    <cellStyle name="SAPLocked 2 7 2 3" xfId="7871"/>
    <cellStyle name="SAPLocked 2 7 2 3 2" xfId="61771"/>
    <cellStyle name="SAPLocked 2 7 2 4" xfId="7872"/>
    <cellStyle name="SAPLocked 2 7 2 4 2" xfId="61772"/>
    <cellStyle name="SAPLocked 2 7 2 5" xfId="7873"/>
    <cellStyle name="SAPLocked 2 7 2 5 2" xfId="61773"/>
    <cellStyle name="SAPLocked 2 7 2 6" xfId="7874"/>
    <cellStyle name="SAPLocked 2 7 2 6 2" xfId="61774"/>
    <cellStyle name="SAPLocked 2 7 2 7" xfId="7875"/>
    <cellStyle name="SAPLocked 2 7 2 7 2" xfId="61775"/>
    <cellStyle name="SAPLocked 2 7 2 8" xfId="7876"/>
    <cellStyle name="SAPLocked 2 7 2 8 2" xfId="61776"/>
    <cellStyle name="SAPLocked 2 7 2 9" xfId="7877"/>
    <cellStyle name="SAPLocked 2 7 2 9 2" xfId="61777"/>
    <cellStyle name="SAPLocked 2 7 3" xfId="7878"/>
    <cellStyle name="SAPLocked 2 7 3 2" xfId="61778"/>
    <cellStyle name="SAPLocked 2 7 4" xfId="7879"/>
    <cellStyle name="SAPLocked 2 7 4 2" xfId="61779"/>
    <cellStyle name="SAPLocked 2 7 5" xfId="7880"/>
    <cellStyle name="SAPLocked 2 7 5 2" xfId="61780"/>
    <cellStyle name="SAPLocked 2 7 6" xfId="7881"/>
    <cellStyle name="SAPLocked 2 7 6 2" xfId="61781"/>
    <cellStyle name="SAPLocked 2 7 7" xfId="7882"/>
    <cellStyle name="SAPLocked 2 7 7 2" xfId="61782"/>
    <cellStyle name="SAPLocked 2 7 8" xfId="7883"/>
    <cellStyle name="SAPLocked 2 7 8 2" xfId="61783"/>
    <cellStyle name="SAPLocked 2 7 9" xfId="7884"/>
    <cellStyle name="SAPLocked 2 7 9 2" xfId="61784"/>
    <cellStyle name="SAPLocked 2 8" xfId="7885"/>
    <cellStyle name="SAPLocked 2 8 10" xfId="7886"/>
    <cellStyle name="SAPLocked 2 8 10 2" xfId="61785"/>
    <cellStyle name="SAPLocked 2 8 11" xfId="7887"/>
    <cellStyle name="SAPLocked 2 8 11 2" xfId="61786"/>
    <cellStyle name="SAPLocked 2 8 12" xfId="7888"/>
    <cellStyle name="SAPLocked 2 8 12 2" xfId="61787"/>
    <cellStyle name="SAPLocked 2 8 13" xfId="7889"/>
    <cellStyle name="SAPLocked 2 8 2" xfId="7890"/>
    <cellStyle name="SAPLocked 2 8 2 10" xfId="7891"/>
    <cellStyle name="SAPLocked 2 8 2 10 2" xfId="61788"/>
    <cellStyle name="SAPLocked 2 8 2 11" xfId="7892"/>
    <cellStyle name="SAPLocked 2 8 2 11 2" xfId="61789"/>
    <cellStyle name="SAPLocked 2 8 2 12" xfId="7893"/>
    <cellStyle name="SAPLocked 2 8 2 2" xfId="7894"/>
    <cellStyle name="SAPLocked 2 8 2 2 2" xfId="61790"/>
    <cellStyle name="SAPLocked 2 8 2 3" xfId="7895"/>
    <cellStyle name="SAPLocked 2 8 2 3 2" xfId="61791"/>
    <cellStyle name="SAPLocked 2 8 2 4" xfId="7896"/>
    <cellStyle name="SAPLocked 2 8 2 4 2" xfId="61792"/>
    <cellStyle name="SAPLocked 2 8 2 5" xfId="7897"/>
    <cellStyle name="SAPLocked 2 8 2 5 2" xfId="61793"/>
    <cellStyle name="SAPLocked 2 8 2 6" xfId="7898"/>
    <cellStyle name="SAPLocked 2 8 2 6 2" xfId="61794"/>
    <cellStyle name="SAPLocked 2 8 2 7" xfId="7899"/>
    <cellStyle name="SAPLocked 2 8 2 7 2" xfId="61795"/>
    <cellStyle name="SAPLocked 2 8 2 8" xfId="7900"/>
    <cellStyle name="SAPLocked 2 8 2 8 2" xfId="61796"/>
    <cellStyle name="SAPLocked 2 8 2 9" xfId="7901"/>
    <cellStyle name="SAPLocked 2 8 2 9 2" xfId="61797"/>
    <cellStyle name="SAPLocked 2 8 3" xfId="7902"/>
    <cellStyle name="SAPLocked 2 8 3 2" xfId="61798"/>
    <cellStyle name="SAPLocked 2 8 4" xfId="7903"/>
    <cellStyle name="SAPLocked 2 8 4 2" xfId="61799"/>
    <cellStyle name="SAPLocked 2 8 5" xfId="7904"/>
    <cellStyle name="SAPLocked 2 8 5 2" xfId="61800"/>
    <cellStyle name="SAPLocked 2 8 6" xfId="7905"/>
    <cellStyle name="SAPLocked 2 8 6 2" xfId="61801"/>
    <cellStyle name="SAPLocked 2 8 7" xfId="7906"/>
    <cellStyle name="SAPLocked 2 8 7 2" xfId="61802"/>
    <cellStyle name="SAPLocked 2 8 8" xfId="7907"/>
    <cellStyle name="SAPLocked 2 8 8 2" xfId="61803"/>
    <cellStyle name="SAPLocked 2 8 9" xfId="7908"/>
    <cellStyle name="SAPLocked 2 8 9 2" xfId="61804"/>
    <cellStyle name="SAPLocked 2 9" xfId="7909"/>
    <cellStyle name="SAPLocked 2 9 10" xfId="7910"/>
    <cellStyle name="SAPLocked 2 9 10 2" xfId="61805"/>
    <cellStyle name="SAPLocked 2 9 11" xfId="7911"/>
    <cellStyle name="SAPLocked 2 9 11 2" xfId="61806"/>
    <cellStyle name="SAPLocked 2 9 12" xfId="7912"/>
    <cellStyle name="SAPLocked 2 9 12 2" xfId="61807"/>
    <cellStyle name="SAPLocked 2 9 13" xfId="7913"/>
    <cellStyle name="SAPLocked 2 9 2" xfId="7914"/>
    <cellStyle name="SAPLocked 2 9 2 10" xfId="7915"/>
    <cellStyle name="SAPLocked 2 9 2 10 2" xfId="61808"/>
    <cellStyle name="SAPLocked 2 9 2 11" xfId="7916"/>
    <cellStyle name="SAPLocked 2 9 2 11 2" xfId="61809"/>
    <cellStyle name="SAPLocked 2 9 2 12" xfId="7917"/>
    <cellStyle name="SAPLocked 2 9 2 2" xfId="7918"/>
    <cellStyle name="SAPLocked 2 9 2 2 2" xfId="61810"/>
    <cellStyle name="SAPLocked 2 9 2 3" xfId="7919"/>
    <cellStyle name="SAPLocked 2 9 2 3 2" xfId="61811"/>
    <cellStyle name="SAPLocked 2 9 2 4" xfId="7920"/>
    <cellStyle name="SAPLocked 2 9 2 4 2" xfId="61812"/>
    <cellStyle name="SAPLocked 2 9 2 5" xfId="7921"/>
    <cellStyle name="SAPLocked 2 9 2 5 2" xfId="61813"/>
    <cellStyle name="SAPLocked 2 9 2 6" xfId="7922"/>
    <cellStyle name="SAPLocked 2 9 2 6 2" xfId="61814"/>
    <cellStyle name="SAPLocked 2 9 2 7" xfId="7923"/>
    <cellStyle name="SAPLocked 2 9 2 7 2" xfId="61815"/>
    <cellStyle name="SAPLocked 2 9 2 8" xfId="7924"/>
    <cellStyle name="SAPLocked 2 9 2 8 2" xfId="61816"/>
    <cellStyle name="SAPLocked 2 9 2 9" xfId="7925"/>
    <cellStyle name="SAPLocked 2 9 2 9 2" xfId="61817"/>
    <cellStyle name="SAPLocked 2 9 3" xfId="7926"/>
    <cellStyle name="SAPLocked 2 9 3 2" xfId="61818"/>
    <cellStyle name="SAPLocked 2 9 4" xfId="7927"/>
    <cellStyle name="SAPLocked 2 9 4 2" xfId="61819"/>
    <cellStyle name="SAPLocked 2 9 5" xfId="7928"/>
    <cellStyle name="SAPLocked 2 9 5 2" xfId="61820"/>
    <cellStyle name="SAPLocked 2 9 6" xfId="7929"/>
    <cellStyle name="SAPLocked 2 9 6 2" xfId="61821"/>
    <cellStyle name="SAPLocked 2 9 7" xfId="7930"/>
    <cellStyle name="SAPLocked 2 9 7 2" xfId="61822"/>
    <cellStyle name="SAPLocked 2 9 8" xfId="7931"/>
    <cellStyle name="SAPLocked 2 9 8 2" xfId="61823"/>
    <cellStyle name="SAPLocked 2 9 9" xfId="7932"/>
    <cellStyle name="SAPLocked 2 9 9 2" xfId="61824"/>
    <cellStyle name="SAPLocked 20" xfId="7933"/>
    <cellStyle name="SAPLocked 20 10" xfId="7934"/>
    <cellStyle name="SAPLocked 20 10 2" xfId="61825"/>
    <cellStyle name="SAPLocked 20 11" xfId="7935"/>
    <cellStyle name="SAPLocked 20 11 2" xfId="61826"/>
    <cellStyle name="SAPLocked 20 12" xfId="7936"/>
    <cellStyle name="SAPLocked 20 12 2" xfId="61827"/>
    <cellStyle name="SAPLocked 20 13" xfId="7937"/>
    <cellStyle name="SAPLocked 20 2" xfId="7938"/>
    <cellStyle name="SAPLocked 20 2 10" xfId="7939"/>
    <cellStyle name="SAPLocked 20 2 10 2" xfId="61828"/>
    <cellStyle name="SAPLocked 20 2 11" xfId="7940"/>
    <cellStyle name="SAPLocked 20 2 11 2" xfId="61829"/>
    <cellStyle name="SAPLocked 20 2 12" xfId="7941"/>
    <cellStyle name="SAPLocked 20 2 2" xfId="7942"/>
    <cellStyle name="SAPLocked 20 2 2 2" xfId="61830"/>
    <cellStyle name="SAPLocked 20 2 3" xfId="7943"/>
    <cellStyle name="SAPLocked 20 2 3 2" xfId="61831"/>
    <cellStyle name="SAPLocked 20 2 4" xfId="7944"/>
    <cellStyle name="SAPLocked 20 2 4 2" xfId="61832"/>
    <cellStyle name="SAPLocked 20 2 5" xfId="7945"/>
    <cellStyle name="SAPLocked 20 2 5 2" xfId="61833"/>
    <cellStyle name="SAPLocked 20 2 6" xfId="7946"/>
    <cellStyle name="SAPLocked 20 2 6 2" xfId="61834"/>
    <cellStyle name="SAPLocked 20 2 7" xfId="7947"/>
    <cellStyle name="SAPLocked 20 2 7 2" xfId="61835"/>
    <cellStyle name="SAPLocked 20 2 8" xfId="7948"/>
    <cellStyle name="SAPLocked 20 2 8 2" xfId="61836"/>
    <cellStyle name="SAPLocked 20 2 9" xfId="7949"/>
    <cellStyle name="SAPLocked 20 2 9 2" xfId="61837"/>
    <cellStyle name="SAPLocked 20 3" xfId="7950"/>
    <cellStyle name="SAPLocked 20 3 2" xfId="61838"/>
    <cellStyle name="SAPLocked 20 4" xfId="7951"/>
    <cellStyle name="SAPLocked 20 4 2" xfId="61839"/>
    <cellStyle name="SAPLocked 20 5" xfId="7952"/>
    <cellStyle name="SAPLocked 20 5 2" xfId="61840"/>
    <cellStyle name="SAPLocked 20 6" xfId="7953"/>
    <cellStyle name="SAPLocked 20 6 2" xfId="61841"/>
    <cellStyle name="SAPLocked 20 7" xfId="7954"/>
    <cellStyle name="SAPLocked 20 7 2" xfId="61842"/>
    <cellStyle name="SAPLocked 20 8" xfId="7955"/>
    <cellStyle name="SAPLocked 20 8 2" xfId="61843"/>
    <cellStyle name="SAPLocked 20 9" xfId="7956"/>
    <cellStyle name="SAPLocked 20 9 2" xfId="61844"/>
    <cellStyle name="SAPLocked 21" xfId="7957"/>
    <cellStyle name="SAPLocked 21 10" xfId="7958"/>
    <cellStyle name="SAPLocked 21 10 2" xfId="61845"/>
    <cellStyle name="SAPLocked 21 11" xfId="7959"/>
    <cellStyle name="SAPLocked 21 11 2" xfId="61846"/>
    <cellStyle name="SAPLocked 21 12" xfId="7960"/>
    <cellStyle name="SAPLocked 21 12 2" xfId="61847"/>
    <cellStyle name="SAPLocked 21 13" xfId="7961"/>
    <cellStyle name="SAPLocked 21 2" xfId="7962"/>
    <cellStyle name="SAPLocked 21 2 10" xfId="7963"/>
    <cellStyle name="SAPLocked 21 2 10 2" xfId="61848"/>
    <cellStyle name="SAPLocked 21 2 11" xfId="7964"/>
    <cellStyle name="SAPLocked 21 2 11 2" xfId="61849"/>
    <cellStyle name="SAPLocked 21 2 12" xfId="7965"/>
    <cellStyle name="SAPLocked 21 2 2" xfId="7966"/>
    <cellStyle name="SAPLocked 21 2 2 2" xfId="61850"/>
    <cellStyle name="SAPLocked 21 2 3" xfId="7967"/>
    <cellStyle name="SAPLocked 21 2 3 2" xfId="61851"/>
    <cellStyle name="SAPLocked 21 2 4" xfId="7968"/>
    <cellStyle name="SAPLocked 21 2 4 2" xfId="61852"/>
    <cellStyle name="SAPLocked 21 2 5" xfId="7969"/>
    <cellStyle name="SAPLocked 21 2 5 2" xfId="61853"/>
    <cellStyle name="SAPLocked 21 2 6" xfId="7970"/>
    <cellStyle name="SAPLocked 21 2 6 2" xfId="61854"/>
    <cellStyle name="SAPLocked 21 2 7" xfId="7971"/>
    <cellStyle name="SAPLocked 21 2 7 2" xfId="61855"/>
    <cellStyle name="SAPLocked 21 2 8" xfId="7972"/>
    <cellStyle name="SAPLocked 21 2 8 2" xfId="61856"/>
    <cellStyle name="SAPLocked 21 2 9" xfId="7973"/>
    <cellStyle name="SAPLocked 21 2 9 2" xfId="61857"/>
    <cellStyle name="SAPLocked 21 3" xfId="7974"/>
    <cellStyle name="SAPLocked 21 3 2" xfId="61858"/>
    <cellStyle name="SAPLocked 21 4" xfId="7975"/>
    <cellStyle name="SAPLocked 21 4 2" xfId="61859"/>
    <cellStyle name="SAPLocked 21 5" xfId="7976"/>
    <cellStyle name="SAPLocked 21 5 2" xfId="61860"/>
    <cellStyle name="SAPLocked 21 6" xfId="7977"/>
    <cellStyle name="SAPLocked 21 6 2" xfId="61861"/>
    <cellStyle name="SAPLocked 21 7" xfId="7978"/>
    <cellStyle name="SAPLocked 21 7 2" xfId="61862"/>
    <cellStyle name="SAPLocked 21 8" xfId="7979"/>
    <cellStyle name="SAPLocked 21 8 2" xfId="61863"/>
    <cellStyle name="SAPLocked 21 9" xfId="7980"/>
    <cellStyle name="SAPLocked 21 9 2" xfId="61864"/>
    <cellStyle name="SAPLocked 22" xfId="7981"/>
    <cellStyle name="SAPLocked 22 10" xfId="7982"/>
    <cellStyle name="SAPLocked 22 10 2" xfId="61865"/>
    <cellStyle name="SAPLocked 22 11" xfId="7983"/>
    <cellStyle name="SAPLocked 22 11 2" xfId="61866"/>
    <cellStyle name="SAPLocked 22 12" xfId="7984"/>
    <cellStyle name="SAPLocked 22 2" xfId="7985"/>
    <cellStyle name="SAPLocked 22 2 2" xfId="61867"/>
    <cellStyle name="SAPLocked 22 3" xfId="7986"/>
    <cellStyle name="SAPLocked 22 3 2" xfId="61868"/>
    <cellStyle name="SAPLocked 22 4" xfId="7987"/>
    <cellStyle name="SAPLocked 22 4 2" xfId="61869"/>
    <cellStyle name="SAPLocked 22 5" xfId="7988"/>
    <cellStyle name="SAPLocked 22 5 2" xfId="61870"/>
    <cellStyle name="SAPLocked 22 6" xfId="7989"/>
    <cellStyle name="SAPLocked 22 6 2" xfId="61871"/>
    <cellStyle name="SAPLocked 22 7" xfId="7990"/>
    <cellStyle name="SAPLocked 22 7 2" xfId="61872"/>
    <cellStyle name="SAPLocked 22 8" xfId="7991"/>
    <cellStyle name="SAPLocked 22 8 2" xfId="61873"/>
    <cellStyle name="SAPLocked 22 9" xfId="7992"/>
    <cellStyle name="SAPLocked 22 9 2" xfId="61874"/>
    <cellStyle name="SAPLocked 23" xfId="7993"/>
    <cellStyle name="SAPLocked 23 2" xfId="61875"/>
    <cellStyle name="SAPLocked 24" xfId="7994"/>
    <cellStyle name="SAPLocked 24 2" xfId="61876"/>
    <cellStyle name="SAPLocked 25" xfId="7995"/>
    <cellStyle name="SAPLocked 25 2" xfId="61877"/>
    <cellStyle name="SAPLocked 26" xfId="7996"/>
    <cellStyle name="SAPLocked 26 2" xfId="61878"/>
    <cellStyle name="SAPLocked 27" xfId="7997"/>
    <cellStyle name="SAPLocked 27 2" xfId="61879"/>
    <cellStyle name="SAPLocked 28" xfId="7998"/>
    <cellStyle name="SAPLocked 28 2" xfId="61880"/>
    <cellStyle name="SAPLocked 29" xfId="7999"/>
    <cellStyle name="SAPLocked 29 2" xfId="61881"/>
    <cellStyle name="SAPLocked 3" xfId="8000"/>
    <cellStyle name="SAPLocked 3 10" xfId="8001"/>
    <cellStyle name="SAPLocked 3 10 2" xfId="61882"/>
    <cellStyle name="SAPLocked 3 11" xfId="8002"/>
    <cellStyle name="SAPLocked 3 11 2" xfId="61883"/>
    <cellStyle name="SAPLocked 3 12" xfId="8003"/>
    <cellStyle name="SAPLocked 3 12 2" xfId="61884"/>
    <cellStyle name="SAPLocked 3 13" xfId="8004"/>
    <cellStyle name="SAPLocked 3 2" xfId="8005"/>
    <cellStyle name="SAPLocked 3 2 10" xfId="8006"/>
    <cellStyle name="SAPLocked 3 2 10 2" xfId="61885"/>
    <cellStyle name="SAPLocked 3 2 11" xfId="8007"/>
    <cellStyle name="SAPLocked 3 2 11 2" xfId="61886"/>
    <cellStyle name="SAPLocked 3 2 12" xfId="8008"/>
    <cellStyle name="SAPLocked 3 2 2" xfId="8009"/>
    <cellStyle name="SAPLocked 3 2 2 2" xfId="61887"/>
    <cellStyle name="SAPLocked 3 2 3" xfId="8010"/>
    <cellStyle name="SAPLocked 3 2 3 2" xfId="61888"/>
    <cellStyle name="SAPLocked 3 2 4" xfId="8011"/>
    <cellStyle name="SAPLocked 3 2 4 2" xfId="61889"/>
    <cellStyle name="SAPLocked 3 2 5" xfId="8012"/>
    <cellStyle name="SAPLocked 3 2 5 2" xfId="61890"/>
    <cellStyle name="SAPLocked 3 2 6" xfId="8013"/>
    <cellStyle name="SAPLocked 3 2 6 2" xfId="61891"/>
    <cellStyle name="SAPLocked 3 2 7" xfId="8014"/>
    <cellStyle name="SAPLocked 3 2 7 2" xfId="61892"/>
    <cellStyle name="SAPLocked 3 2 8" xfId="8015"/>
    <cellStyle name="SAPLocked 3 2 8 2" xfId="61893"/>
    <cellStyle name="SAPLocked 3 2 9" xfId="8016"/>
    <cellStyle name="SAPLocked 3 2 9 2" xfId="61894"/>
    <cellStyle name="SAPLocked 3 3" xfId="8017"/>
    <cellStyle name="SAPLocked 3 3 2" xfId="61895"/>
    <cellStyle name="SAPLocked 3 4" xfId="8018"/>
    <cellStyle name="SAPLocked 3 4 2" xfId="61896"/>
    <cellStyle name="SAPLocked 3 5" xfId="8019"/>
    <cellStyle name="SAPLocked 3 5 2" xfId="61897"/>
    <cellStyle name="SAPLocked 3 6" xfId="8020"/>
    <cellStyle name="SAPLocked 3 6 2" xfId="61898"/>
    <cellStyle name="SAPLocked 3 7" xfId="8021"/>
    <cellStyle name="SAPLocked 3 7 2" xfId="61899"/>
    <cellStyle name="SAPLocked 3 8" xfId="8022"/>
    <cellStyle name="SAPLocked 3 8 2" xfId="61900"/>
    <cellStyle name="SAPLocked 3 9" xfId="8023"/>
    <cellStyle name="SAPLocked 3 9 2" xfId="61901"/>
    <cellStyle name="SAPLocked 30" xfId="8024"/>
    <cellStyle name="SAPLocked 30 2" xfId="61902"/>
    <cellStyle name="SAPLocked 31" xfId="8025"/>
    <cellStyle name="SAPLocked 4" xfId="8026"/>
    <cellStyle name="SAPLocked 4 10" xfId="8027"/>
    <cellStyle name="SAPLocked 4 10 2" xfId="61903"/>
    <cellStyle name="SAPLocked 4 11" xfId="8028"/>
    <cellStyle name="SAPLocked 4 11 2" xfId="61904"/>
    <cellStyle name="SAPLocked 4 12" xfId="8029"/>
    <cellStyle name="SAPLocked 4 12 2" xfId="61905"/>
    <cellStyle name="SAPLocked 4 13" xfId="8030"/>
    <cellStyle name="SAPLocked 4 2" xfId="8031"/>
    <cellStyle name="SAPLocked 4 2 10" xfId="8032"/>
    <cellStyle name="SAPLocked 4 2 10 2" xfId="61906"/>
    <cellStyle name="SAPLocked 4 2 11" xfId="8033"/>
    <cellStyle name="SAPLocked 4 2 11 2" xfId="61907"/>
    <cellStyle name="SAPLocked 4 2 12" xfId="8034"/>
    <cellStyle name="SAPLocked 4 2 2" xfId="8035"/>
    <cellStyle name="SAPLocked 4 2 2 2" xfId="61908"/>
    <cellStyle name="SAPLocked 4 2 3" xfId="8036"/>
    <cellStyle name="SAPLocked 4 2 3 2" xfId="61909"/>
    <cellStyle name="SAPLocked 4 2 4" xfId="8037"/>
    <cellStyle name="SAPLocked 4 2 4 2" xfId="61910"/>
    <cellStyle name="SAPLocked 4 2 5" xfId="8038"/>
    <cellStyle name="SAPLocked 4 2 5 2" xfId="61911"/>
    <cellStyle name="SAPLocked 4 2 6" xfId="8039"/>
    <cellStyle name="SAPLocked 4 2 6 2" xfId="61912"/>
    <cellStyle name="SAPLocked 4 2 7" xfId="8040"/>
    <cellStyle name="SAPLocked 4 2 7 2" xfId="61913"/>
    <cellStyle name="SAPLocked 4 2 8" xfId="8041"/>
    <cellStyle name="SAPLocked 4 2 8 2" xfId="61914"/>
    <cellStyle name="SAPLocked 4 2 9" xfId="8042"/>
    <cellStyle name="SAPLocked 4 2 9 2" xfId="61915"/>
    <cellStyle name="SAPLocked 4 3" xfId="8043"/>
    <cellStyle name="SAPLocked 4 3 2" xfId="61916"/>
    <cellStyle name="SAPLocked 4 4" xfId="8044"/>
    <cellStyle name="SAPLocked 4 4 2" xfId="61917"/>
    <cellStyle name="SAPLocked 4 5" xfId="8045"/>
    <cellStyle name="SAPLocked 4 5 2" xfId="61918"/>
    <cellStyle name="SAPLocked 4 6" xfId="8046"/>
    <cellStyle name="SAPLocked 4 6 2" xfId="61919"/>
    <cellStyle name="SAPLocked 4 7" xfId="8047"/>
    <cellStyle name="SAPLocked 4 7 2" xfId="61920"/>
    <cellStyle name="SAPLocked 4 8" xfId="8048"/>
    <cellStyle name="SAPLocked 4 8 2" xfId="61921"/>
    <cellStyle name="SAPLocked 4 9" xfId="8049"/>
    <cellStyle name="SAPLocked 4 9 2" xfId="61922"/>
    <cellStyle name="SAPLocked 5" xfId="8050"/>
    <cellStyle name="SAPLocked 5 10" xfId="8051"/>
    <cellStyle name="SAPLocked 5 10 2" xfId="61923"/>
    <cellStyle name="SAPLocked 5 11" xfId="8052"/>
    <cellStyle name="SAPLocked 5 11 2" xfId="61924"/>
    <cellStyle name="SAPLocked 5 12" xfId="8053"/>
    <cellStyle name="SAPLocked 5 12 2" xfId="61925"/>
    <cellStyle name="SAPLocked 5 13" xfId="8054"/>
    <cellStyle name="SAPLocked 5 2" xfId="8055"/>
    <cellStyle name="SAPLocked 5 2 10" xfId="8056"/>
    <cellStyle name="SAPLocked 5 2 10 2" xfId="61926"/>
    <cellStyle name="SAPLocked 5 2 11" xfId="8057"/>
    <cellStyle name="SAPLocked 5 2 11 2" xfId="61927"/>
    <cellStyle name="SAPLocked 5 2 12" xfId="8058"/>
    <cellStyle name="SAPLocked 5 2 2" xfId="8059"/>
    <cellStyle name="SAPLocked 5 2 2 2" xfId="61928"/>
    <cellStyle name="SAPLocked 5 2 3" xfId="8060"/>
    <cellStyle name="SAPLocked 5 2 3 2" xfId="61929"/>
    <cellStyle name="SAPLocked 5 2 4" xfId="8061"/>
    <cellStyle name="SAPLocked 5 2 4 2" xfId="61930"/>
    <cellStyle name="SAPLocked 5 2 5" xfId="8062"/>
    <cellStyle name="SAPLocked 5 2 5 2" xfId="61931"/>
    <cellStyle name="SAPLocked 5 2 6" xfId="8063"/>
    <cellStyle name="SAPLocked 5 2 6 2" xfId="61932"/>
    <cellStyle name="SAPLocked 5 2 7" xfId="8064"/>
    <cellStyle name="SAPLocked 5 2 7 2" xfId="61933"/>
    <cellStyle name="SAPLocked 5 2 8" xfId="8065"/>
    <cellStyle name="SAPLocked 5 2 8 2" xfId="61934"/>
    <cellStyle name="SAPLocked 5 2 9" xfId="8066"/>
    <cellStyle name="SAPLocked 5 2 9 2" xfId="61935"/>
    <cellStyle name="SAPLocked 5 3" xfId="8067"/>
    <cellStyle name="SAPLocked 5 3 2" xfId="61936"/>
    <cellStyle name="SAPLocked 5 4" xfId="8068"/>
    <cellStyle name="SAPLocked 5 4 2" xfId="61937"/>
    <cellStyle name="SAPLocked 5 5" xfId="8069"/>
    <cellStyle name="SAPLocked 5 5 2" xfId="61938"/>
    <cellStyle name="SAPLocked 5 6" xfId="8070"/>
    <cellStyle name="SAPLocked 5 6 2" xfId="61939"/>
    <cellStyle name="SAPLocked 5 7" xfId="8071"/>
    <cellStyle name="SAPLocked 5 7 2" xfId="61940"/>
    <cellStyle name="SAPLocked 5 8" xfId="8072"/>
    <cellStyle name="SAPLocked 5 8 2" xfId="61941"/>
    <cellStyle name="SAPLocked 5 9" xfId="8073"/>
    <cellStyle name="SAPLocked 5 9 2" xfId="61942"/>
    <cellStyle name="SAPLocked 6" xfId="8074"/>
    <cellStyle name="SAPLocked 6 10" xfId="8075"/>
    <cellStyle name="SAPLocked 6 10 2" xfId="61943"/>
    <cellStyle name="SAPLocked 6 11" xfId="8076"/>
    <cellStyle name="SAPLocked 6 11 2" xfId="61944"/>
    <cellStyle name="SAPLocked 6 12" xfId="8077"/>
    <cellStyle name="SAPLocked 6 12 2" xfId="61945"/>
    <cellStyle name="SAPLocked 6 13" xfId="8078"/>
    <cellStyle name="SAPLocked 6 2" xfId="8079"/>
    <cellStyle name="SAPLocked 6 2 10" xfId="8080"/>
    <cellStyle name="SAPLocked 6 2 10 2" xfId="61946"/>
    <cellStyle name="SAPLocked 6 2 11" xfId="8081"/>
    <cellStyle name="SAPLocked 6 2 11 2" xfId="61947"/>
    <cellStyle name="SAPLocked 6 2 12" xfId="8082"/>
    <cellStyle name="SAPLocked 6 2 2" xfId="8083"/>
    <cellStyle name="SAPLocked 6 2 2 2" xfId="61948"/>
    <cellStyle name="SAPLocked 6 2 3" xfId="8084"/>
    <cellStyle name="SAPLocked 6 2 3 2" xfId="61949"/>
    <cellStyle name="SAPLocked 6 2 4" xfId="8085"/>
    <cellStyle name="SAPLocked 6 2 4 2" xfId="61950"/>
    <cellStyle name="SAPLocked 6 2 5" xfId="8086"/>
    <cellStyle name="SAPLocked 6 2 5 2" xfId="61951"/>
    <cellStyle name="SAPLocked 6 2 6" xfId="8087"/>
    <cellStyle name="SAPLocked 6 2 6 2" xfId="61952"/>
    <cellStyle name="SAPLocked 6 2 7" xfId="8088"/>
    <cellStyle name="SAPLocked 6 2 7 2" xfId="61953"/>
    <cellStyle name="SAPLocked 6 2 8" xfId="8089"/>
    <cellStyle name="SAPLocked 6 2 8 2" xfId="61954"/>
    <cellStyle name="SAPLocked 6 2 9" xfId="8090"/>
    <cellStyle name="SAPLocked 6 2 9 2" xfId="61955"/>
    <cellStyle name="SAPLocked 6 3" xfId="8091"/>
    <cellStyle name="SAPLocked 6 3 2" xfId="61956"/>
    <cellStyle name="SAPLocked 6 4" xfId="8092"/>
    <cellStyle name="SAPLocked 6 4 2" xfId="61957"/>
    <cellStyle name="SAPLocked 6 5" xfId="8093"/>
    <cellStyle name="SAPLocked 6 5 2" xfId="61958"/>
    <cellStyle name="SAPLocked 6 6" xfId="8094"/>
    <cellStyle name="SAPLocked 6 6 2" xfId="61959"/>
    <cellStyle name="SAPLocked 6 7" xfId="8095"/>
    <cellStyle name="SAPLocked 6 7 2" xfId="61960"/>
    <cellStyle name="SAPLocked 6 8" xfId="8096"/>
    <cellStyle name="SAPLocked 6 8 2" xfId="61961"/>
    <cellStyle name="SAPLocked 6 9" xfId="8097"/>
    <cellStyle name="SAPLocked 6 9 2" xfId="61962"/>
    <cellStyle name="SAPLocked 7" xfId="8098"/>
    <cellStyle name="SAPLocked 7 10" xfId="8099"/>
    <cellStyle name="SAPLocked 7 10 2" xfId="61963"/>
    <cellStyle name="SAPLocked 7 11" xfId="8100"/>
    <cellStyle name="SAPLocked 7 11 2" xfId="61964"/>
    <cellStyle name="SAPLocked 7 12" xfId="8101"/>
    <cellStyle name="SAPLocked 7 12 2" xfId="61965"/>
    <cellStyle name="SAPLocked 7 13" xfId="8102"/>
    <cellStyle name="SAPLocked 7 2" xfId="8103"/>
    <cellStyle name="SAPLocked 7 2 10" xfId="8104"/>
    <cellStyle name="SAPLocked 7 2 10 2" xfId="61966"/>
    <cellStyle name="SAPLocked 7 2 11" xfId="8105"/>
    <cellStyle name="SAPLocked 7 2 11 2" xfId="61967"/>
    <cellStyle name="SAPLocked 7 2 12" xfId="8106"/>
    <cellStyle name="SAPLocked 7 2 2" xfId="8107"/>
    <cellStyle name="SAPLocked 7 2 2 2" xfId="61968"/>
    <cellStyle name="SAPLocked 7 2 3" xfId="8108"/>
    <cellStyle name="SAPLocked 7 2 3 2" xfId="61969"/>
    <cellStyle name="SAPLocked 7 2 4" xfId="8109"/>
    <cellStyle name="SAPLocked 7 2 4 2" xfId="61970"/>
    <cellStyle name="SAPLocked 7 2 5" xfId="8110"/>
    <cellStyle name="SAPLocked 7 2 5 2" xfId="61971"/>
    <cellStyle name="SAPLocked 7 2 6" xfId="8111"/>
    <cellStyle name="SAPLocked 7 2 6 2" xfId="61972"/>
    <cellStyle name="SAPLocked 7 2 7" xfId="8112"/>
    <cellStyle name="SAPLocked 7 2 7 2" xfId="61973"/>
    <cellStyle name="SAPLocked 7 2 8" xfId="8113"/>
    <cellStyle name="SAPLocked 7 2 8 2" xfId="61974"/>
    <cellStyle name="SAPLocked 7 2 9" xfId="8114"/>
    <cellStyle name="SAPLocked 7 2 9 2" xfId="61975"/>
    <cellStyle name="SAPLocked 7 3" xfId="8115"/>
    <cellStyle name="SAPLocked 7 3 2" xfId="61976"/>
    <cellStyle name="SAPLocked 7 4" xfId="8116"/>
    <cellStyle name="SAPLocked 7 4 2" xfId="61977"/>
    <cellStyle name="SAPLocked 7 5" xfId="8117"/>
    <cellStyle name="SAPLocked 7 5 2" xfId="61978"/>
    <cellStyle name="SAPLocked 7 6" xfId="8118"/>
    <cellStyle name="SAPLocked 7 6 2" xfId="61979"/>
    <cellStyle name="SAPLocked 7 7" xfId="8119"/>
    <cellStyle name="SAPLocked 7 7 2" xfId="61980"/>
    <cellStyle name="SAPLocked 7 8" xfId="8120"/>
    <cellStyle name="SAPLocked 7 8 2" xfId="61981"/>
    <cellStyle name="SAPLocked 7 9" xfId="8121"/>
    <cellStyle name="SAPLocked 7 9 2" xfId="61982"/>
    <cellStyle name="SAPLocked 8" xfId="8122"/>
    <cellStyle name="SAPLocked 8 10" xfId="8123"/>
    <cellStyle name="SAPLocked 8 10 2" xfId="61983"/>
    <cellStyle name="SAPLocked 8 11" xfId="8124"/>
    <cellStyle name="SAPLocked 8 11 2" xfId="61984"/>
    <cellStyle name="SAPLocked 8 12" xfId="8125"/>
    <cellStyle name="SAPLocked 8 12 2" xfId="61985"/>
    <cellStyle name="SAPLocked 8 13" xfId="8126"/>
    <cellStyle name="SAPLocked 8 2" xfId="8127"/>
    <cellStyle name="SAPLocked 8 2 10" xfId="8128"/>
    <cellStyle name="SAPLocked 8 2 10 2" xfId="61986"/>
    <cellStyle name="SAPLocked 8 2 11" xfId="8129"/>
    <cellStyle name="SAPLocked 8 2 11 2" xfId="61987"/>
    <cellStyle name="SAPLocked 8 2 12" xfId="8130"/>
    <cellStyle name="SAPLocked 8 2 2" xfId="8131"/>
    <cellStyle name="SAPLocked 8 2 2 2" xfId="61988"/>
    <cellStyle name="SAPLocked 8 2 3" xfId="8132"/>
    <cellStyle name="SAPLocked 8 2 3 2" xfId="61989"/>
    <cellStyle name="SAPLocked 8 2 4" xfId="8133"/>
    <cellStyle name="SAPLocked 8 2 4 2" xfId="61990"/>
    <cellStyle name="SAPLocked 8 2 5" xfId="8134"/>
    <cellStyle name="SAPLocked 8 2 5 2" xfId="61991"/>
    <cellStyle name="SAPLocked 8 2 6" xfId="8135"/>
    <cellStyle name="SAPLocked 8 2 6 2" xfId="61992"/>
    <cellStyle name="SAPLocked 8 2 7" xfId="8136"/>
    <cellStyle name="SAPLocked 8 2 7 2" xfId="61993"/>
    <cellStyle name="SAPLocked 8 2 8" xfId="8137"/>
    <cellStyle name="SAPLocked 8 2 8 2" xfId="61994"/>
    <cellStyle name="SAPLocked 8 2 9" xfId="8138"/>
    <cellStyle name="SAPLocked 8 2 9 2" xfId="61995"/>
    <cellStyle name="SAPLocked 8 3" xfId="8139"/>
    <cellStyle name="SAPLocked 8 3 2" xfId="61996"/>
    <cellStyle name="SAPLocked 8 4" xfId="8140"/>
    <cellStyle name="SAPLocked 8 4 2" xfId="61997"/>
    <cellStyle name="SAPLocked 8 5" xfId="8141"/>
    <cellStyle name="SAPLocked 8 5 2" xfId="61998"/>
    <cellStyle name="SAPLocked 8 6" xfId="8142"/>
    <cellStyle name="SAPLocked 8 6 2" xfId="61999"/>
    <cellStyle name="SAPLocked 8 7" xfId="8143"/>
    <cellStyle name="SAPLocked 8 7 2" xfId="62000"/>
    <cellStyle name="SAPLocked 8 8" xfId="8144"/>
    <cellStyle name="SAPLocked 8 8 2" xfId="62001"/>
    <cellStyle name="SAPLocked 8 9" xfId="8145"/>
    <cellStyle name="SAPLocked 8 9 2" xfId="62002"/>
    <cellStyle name="SAPLocked 9" xfId="8146"/>
    <cellStyle name="SAPLocked 9 10" xfId="8147"/>
    <cellStyle name="SAPLocked 9 10 2" xfId="62003"/>
    <cellStyle name="SAPLocked 9 11" xfId="8148"/>
    <cellStyle name="SAPLocked 9 11 2" xfId="62004"/>
    <cellStyle name="SAPLocked 9 12" xfId="8149"/>
    <cellStyle name="SAPLocked 9 12 2" xfId="62005"/>
    <cellStyle name="SAPLocked 9 13" xfId="8150"/>
    <cellStyle name="SAPLocked 9 2" xfId="8151"/>
    <cellStyle name="SAPLocked 9 2 10" xfId="8152"/>
    <cellStyle name="SAPLocked 9 2 10 2" xfId="62006"/>
    <cellStyle name="SAPLocked 9 2 11" xfId="8153"/>
    <cellStyle name="SAPLocked 9 2 11 2" xfId="62007"/>
    <cellStyle name="SAPLocked 9 2 12" xfId="8154"/>
    <cellStyle name="SAPLocked 9 2 2" xfId="8155"/>
    <cellStyle name="SAPLocked 9 2 2 2" xfId="62008"/>
    <cellStyle name="SAPLocked 9 2 3" xfId="8156"/>
    <cellStyle name="SAPLocked 9 2 3 2" xfId="62009"/>
    <cellStyle name="SAPLocked 9 2 4" xfId="8157"/>
    <cellStyle name="SAPLocked 9 2 4 2" xfId="62010"/>
    <cellStyle name="SAPLocked 9 2 5" xfId="8158"/>
    <cellStyle name="SAPLocked 9 2 5 2" xfId="62011"/>
    <cellStyle name="SAPLocked 9 2 6" xfId="8159"/>
    <cellStyle name="SAPLocked 9 2 6 2" xfId="62012"/>
    <cellStyle name="SAPLocked 9 2 7" xfId="8160"/>
    <cellStyle name="SAPLocked 9 2 7 2" xfId="62013"/>
    <cellStyle name="SAPLocked 9 2 8" xfId="8161"/>
    <cellStyle name="SAPLocked 9 2 8 2" xfId="62014"/>
    <cellStyle name="SAPLocked 9 2 9" xfId="8162"/>
    <cellStyle name="SAPLocked 9 2 9 2" xfId="62015"/>
    <cellStyle name="SAPLocked 9 3" xfId="8163"/>
    <cellStyle name="SAPLocked 9 3 2" xfId="62016"/>
    <cellStyle name="SAPLocked 9 4" xfId="8164"/>
    <cellStyle name="SAPLocked 9 4 2" xfId="62017"/>
    <cellStyle name="SAPLocked 9 5" xfId="8165"/>
    <cellStyle name="SAPLocked 9 5 2" xfId="62018"/>
    <cellStyle name="SAPLocked 9 6" xfId="8166"/>
    <cellStyle name="SAPLocked 9 6 2" xfId="62019"/>
    <cellStyle name="SAPLocked 9 7" xfId="8167"/>
    <cellStyle name="SAPLocked 9 7 2" xfId="62020"/>
    <cellStyle name="SAPLocked 9 8" xfId="8168"/>
    <cellStyle name="SAPLocked 9 8 2" xfId="62021"/>
    <cellStyle name="SAPLocked 9 9" xfId="8169"/>
    <cellStyle name="SAPLocked 9 9 2" xfId="62022"/>
    <cellStyle name="SAPMemberCell" xfId="62023"/>
    <cellStyle name="SAPMemberTotalCell" xfId="62024"/>
    <cellStyle name="Shade" xfId="8810"/>
    <cellStyle name="Standard_CORE_20040805_Movement types_Sets_V0.1_e" xfId="8170"/>
    <cellStyle name="STYL5 - Style5" xfId="8171"/>
    <cellStyle name="STYL5 - Style5 2" xfId="8172"/>
    <cellStyle name="STYL5 - Style5 2 2" xfId="57734"/>
    <cellStyle name="STYL5 - Style5 3" xfId="57735"/>
    <cellStyle name="STYL5 - Style5 3 2" xfId="57736"/>
    <cellStyle name="STYL6 - Style6" xfId="8173"/>
    <cellStyle name="STYL6 - Style6 2" xfId="8174"/>
    <cellStyle name="STYL6 - Style6 2 2" xfId="57737"/>
    <cellStyle name="STYL6 - Style6 3" xfId="57738"/>
    <cellStyle name="STYL6 - Style6 3 2" xfId="57739"/>
    <cellStyle name="Style 1" xfId="8763"/>
    <cellStyle name="STYLE1 - Style1" xfId="8175"/>
    <cellStyle name="STYLE1 - Style1 2" xfId="8176"/>
    <cellStyle name="STYLE1 - Style1 2 2" xfId="57740"/>
    <cellStyle name="STYLE1 - Style1 3" xfId="57741"/>
    <cellStyle name="STYLE1 - Style1 3 2" xfId="57742"/>
    <cellStyle name="STYLE2 - Style2" xfId="8177"/>
    <cellStyle name="STYLE2 - Style2 2" xfId="8178"/>
    <cellStyle name="STYLE2 - Style2 2 2" xfId="57743"/>
    <cellStyle name="STYLE2 - Style2 3" xfId="57744"/>
    <cellStyle name="STYLE2 - Style2 3 2" xfId="57745"/>
    <cellStyle name="STYLE3 - Style3" xfId="8179"/>
    <cellStyle name="STYLE3 - Style3 2" xfId="8180"/>
    <cellStyle name="STYLE3 - Style3 2 2" xfId="57746"/>
    <cellStyle name="STYLE3 - Style3 3" xfId="57747"/>
    <cellStyle name="STYLE3 - Style3 3 2" xfId="57748"/>
    <cellStyle name="STYLE4 - Style4" xfId="8181"/>
    <cellStyle name="STYLE4 - Style4 2" xfId="8182"/>
    <cellStyle name="STYLE4 - Style4 2 2" xfId="57749"/>
    <cellStyle name="STYLE4 - Style4 3" xfId="57750"/>
    <cellStyle name="STYLE4 - Style4 3 2" xfId="57751"/>
    <cellStyle name="Table  - Style5" xfId="57990"/>
    <cellStyle name="Text" xfId="57752"/>
    <cellStyle name="Title  - Style6" xfId="57991"/>
    <cellStyle name="Title 10" xfId="57753"/>
    <cellStyle name="Title 11" xfId="57754"/>
    <cellStyle name="Title 12" xfId="57755"/>
    <cellStyle name="Title 13" xfId="57756"/>
    <cellStyle name="Title 14" xfId="57757"/>
    <cellStyle name="Title 15" xfId="57758"/>
    <cellStyle name="Title 16" xfId="57759"/>
    <cellStyle name="Title 17" xfId="57760"/>
    <cellStyle name="Title 17 2" xfId="62025"/>
    <cellStyle name="Title 18" xfId="62026"/>
    <cellStyle name="Title 19" xfId="62027"/>
    <cellStyle name="Title 2" xfId="8183"/>
    <cellStyle name="Title 2 2" xfId="8184"/>
    <cellStyle name="Title 2 2 2" xfId="57761"/>
    <cellStyle name="Title 2 3" xfId="57762"/>
    <cellStyle name="Title 20" xfId="62028"/>
    <cellStyle name="Title 3" xfId="8185"/>
    <cellStyle name="Title 3 2" xfId="9375"/>
    <cellStyle name="Title 4" xfId="57763"/>
    <cellStyle name="Title 5" xfId="57764"/>
    <cellStyle name="Title 6" xfId="57765"/>
    <cellStyle name="Title 7" xfId="57766"/>
    <cellStyle name="Title 8" xfId="57767"/>
    <cellStyle name="Title 9" xfId="57768"/>
    <cellStyle name="Total 10" xfId="57769"/>
    <cellStyle name="Total 11" xfId="57770"/>
    <cellStyle name="Total 12" xfId="57771"/>
    <cellStyle name="Total 13" xfId="57772"/>
    <cellStyle name="Total 14" xfId="57773"/>
    <cellStyle name="Total 15" xfId="57774"/>
    <cellStyle name="Total 16" xfId="57775"/>
    <cellStyle name="Total 17" xfId="57776"/>
    <cellStyle name="Total 17 2" xfId="62029"/>
    <cellStyle name="Total 17 3" xfId="62030"/>
    <cellStyle name="Total 17 4" xfId="62031"/>
    <cellStyle name="Total 18" xfId="62032"/>
    <cellStyle name="Total 2" xfId="8186"/>
    <cellStyle name="Total 2 2" xfId="8187"/>
    <cellStyle name="Total 2 2 2" xfId="8188"/>
    <cellStyle name="Total 2 2 3" xfId="62033"/>
    <cellStyle name="Total 2 3" xfId="8189"/>
    <cellStyle name="Total 2 3 2" xfId="62034"/>
    <cellStyle name="Total 2 4" xfId="8190"/>
    <cellStyle name="Total 2 4 2" xfId="62035"/>
    <cellStyle name="Total 2 5" xfId="8191"/>
    <cellStyle name="Total 2 5 2" xfId="62036"/>
    <cellStyle name="Total 2 6" xfId="8192"/>
    <cellStyle name="Total 2 6 2" xfId="62037"/>
    <cellStyle name="Total 2 7" xfId="8193"/>
    <cellStyle name="Total 2 7 2" xfId="62038"/>
    <cellStyle name="Total 2 8" xfId="8194"/>
    <cellStyle name="Total 2 9" xfId="8195"/>
    <cellStyle name="Total 3" xfId="8196"/>
    <cellStyle name="Total 3 2" xfId="8197"/>
    <cellStyle name="Total 3 2 2" xfId="57992"/>
    <cellStyle name="Total 3 3" xfId="8198"/>
    <cellStyle name="Total 4" xfId="9376"/>
    <cellStyle name="Total 4 2" xfId="57777"/>
    <cellStyle name="Total 5" xfId="9377"/>
    <cellStyle name="Total 5 2" xfId="57778"/>
    <cellStyle name="Total 6" xfId="57779"/>
    <cellStyle name="Total 6 2" xfId="57780"/>
    <cellStyle name="Total 7" xfId="57781"/>
    <cellStyle name="Total 7 2" xfId="57782"/>
    <cellStyle name="Total 8" xfId="57783"/>
    <cellStyle name="Total 9" xfId="57784"/>
    <cellStyle name="TotCol - Style7" xfId="57993"/>
    <cellStyle name="TotRow - Style8" xfId="57994"/>
    <cellStyle name="Undefiniert" xfId="8199"/>
    <cellStyle name="Undefiniert 2" xfId="57785"/>
    <cellStyle name="UploadThisRowValue" xfId="8200"/>
    <cellStyle name="UploadThisRowValue 2" xfId="8201"/>
    <cellStyle name="UploadThisRowValue 2 2" xfId="57786"/>
    <cellStyle name="UploadThisRowValue 3" xfId="8202"/>
    <cellStyle name="UploadThisRowValue 4" xfId="9378"/>
    <cellStyle name="Währung_KURSE3Q" xfId="8811"/>
    <cellStyle name="Warning Text 10" xfId="57787"/>
    <cellStyle name="Warning Text 11" xfId="57788"/>
    <cellStyle name="Warning Text 12" xfId="57789"/>
    <cellStyle name="Warning Text 13" xfId="57790"/>
    <cellStyle name="Warning Text 14" xfId="57791"/>
    <cellStyle name="Warning Text 15" xfId="57792"/>
    <cellStyle name="Warning Text 16" xfId="57793"/>
    <cellStyle name="Warning Text 17" xfId="57794"/>
    <cellStyle name="Warning Text 2" xfId="8203"/>
    <cellStyle name="Warning Text 2 2" xfId="8204"/>
    <cellStyle name="Warning Text 2 2 2" xfId="62039"/>
    <cellStyle name="Warning Text 2 3" xfId="57795"/>
    <cellStyle name="Warning Text 2 4" xfId="57796"/>
    <cellStyle name="Warning Text 2 5" xfId="57797"/>
    <cellStyle name="Warning Text 2 6" xfId="57798"/>
    <cellStyle name="Warning Text 3" xfId="8205"/>
    <cellStyle name="Warning Text 3 2" xfId="9379"/>
    <cellStyle name="Warning Text 3 3" xfId="57799"/>
    <cellStyle name="Warning Text 4" xfId="8206"/>
    <cellStyle name="Warning Text 4 2" xfId="57800"/>
    <cellStyle name="Warning Text 5" xfId="9380"/>
    <cellStyle name="Warning Text 5 2" xfId="57801"/>
    <cellStyle name="Warning Text 6" xfId="57802"/>
    <cellStyle name="Warning Text 6 2" xfId="57803"/>
    <cellStyle name="Warning Text 7" xfId="57804"/>
    <cellStyle name="Warning Text 7 2" xfId="57805"/>
    <cellStyle name="Warning Text 8" xfId="57806"/>
    <cellStyle name="Warning Text 8 2" xfId="57807"/>
    <cellStyle name="Warning Text 9" xfId="5780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"/>
  <dimension ref="A1:AK80"/>
  <sheetViews>
    <sheetView showGridLines="0" zoomScale="55" zoomScaleNormal="55" workbookViewId="0">
      <selection activeCell="B2" sqref="B2"/>
    </sheetView>
  </sheetViews>
  <sheetFormatPr defaultColWidth="10.88671875" defaultRowHeight="15.75"/>
  <cols>
    <col min="1" max="1" width="3.6640625" style="267" customWidth="1"/>
    <col min="2" max="2" width="53.21875" style="266" customWidth="1"/>
    <col min="3" max="4" width="2.33203125" style="266" customWidth="1"/>
    <col min="5" max="5" width="16.6640625" style="266" customWidth="1"/>
    <col min="6" max="6" width="1.6640625" style="266" customWidth="1"/>
    <col min="7" max="7" width="16.6640625" style="266" customWidth="1"/>
    <col min="8" max="8" width="1.6640625" style="266" customWidth="1"/>
    <col min="9" max="9" width="16.6640625" style="266" customWidth="1"/>
    <col min="10" max="10" width="1.6640625" style="266" customWidth="1"/>
    <col min="11" max="11" width="16.6640625" style="266" customWidth="1"/>
    <col min="12" max="12" width="1.6640625" style="266" customWidth="1"/>
    <col min="13" max="13" width="16.6640625" style="266" customWidth="1"/>
    <col min="14" max="14" width="1.6640625" style="266" customWidth="1"/>
    <col min="15" max="15" width="16.6640625" style="266" customWidth="1"/>
    <col min="16" max="16" width="1.77734375" style="266" customWidth="1"/>
    <col min="17" max="17" width="16.6640625" style="266" customWidth="1"/>
    <col min="18" max="18" width="1.77734375" style="266" customWidth="1"/>
    <col min="19" max="19" width="16.6640625" style="266" customWidth="1"/>
    <col min="20" max="20" width="1.77734375" style="266" customWidth="1"/>
    <col min="21" max="21" width="16.6640625" style="266" customWidth="1"/>
    <col min="22" max="22" width="1.6640625" style="266" customWidth="1"/>
    <col min="23" max="23" width="16.6640625" style="266" customWidth="1"/>
    <col min="24" max="24" width="1.6640625" style="266" customWidth="1"/>
    <col min="25" max="25" width="16.6640625" style="266" customWidth="1"/>
    <col min="26" max="26" width="1.6640625" style="266" customWidth="1"/>
    <col min="27" max="27" width="16.6640625" style="266" customWidth="1"/>
    <col min="28" max="28" width="1.77734375" style="266" customWidth="1"/>
    <col min="29" max="29" width="16.6640625" style="266" customWidth="1"/>
    <col min="30" max="30" width="1.6640625" style="266" customWidth="1"/>
    <col min="31" max="31" width="16.6640625" style="266" customWidth="1"/>
    <col min="32" max="32" width="10.88671875" style="266"/>
    <col min="33" max="33" width="13.44140625" style="266" bestFit="1" customWidth="1"/>
    <col min="34" max="34" width="12" style="266" bestFit="1" customWidth="1"/>
    <col min="35" max="35" width="10.88671875" style="266"/>
    <col min="36" max="37" width="12" style="266" bestFit="1" customWidth="1"/>
    <col min="38" max="16384" width="10.88671875" style="266"/>
  </cols>
  <sheetData>
    <row r="1" spans="1:36" ht="21" customHeight="1">
      <c r="A1" s="263"/>
      <c r="B1" s="337" t="s">
        <v>31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5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339" t="s">
        <v>1105</v>
      </c>
    </row>
    <row r="2" spans="1:36" ht="21" customHeight="1">
      <c r="A2" s="263"/>
      <c r="B2" s="338" t="s">
        <v>1817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339" t="str">
        <f>'Rate Case Constants'!C38</f>
        <v>WITNESS:   D. K. ARBOUGH</v>
      </c>
    </row>
    <row r="3" spans="1:36" ht="21" customHeight="1">
      <c r="A3" s="264"/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339" t="s">
        <v>1286</v>
      </c>
    </row>
    <row r="4" spans="1:36" ht="21" customHeight="1">
      <c r="P4" s="268"/>
      <c r="R4" s="268"/>
      <c r="T4" s="268"/>
      <c r="AB4" s="268"/>
    </row>
    <row r="5" spans="1:36" ht="21" customHeight="1">
      <c r="A5" s="269" t="s">
        <v>434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</row>
    <row r="6" spans="1:36" ht="21" customHeight="1">
      <c r="A6" s="271"/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270"/>
      <c r="AE6" s="270"/>
    </row>
    <row r="7" spans="1:36" ht="21" customHeight="1">
      <c r="A7" s="487" t="s">
        <v>1353</v>
      </c>
      <c r="B7" s="487"/>
      <c r="C7" s="487"/>
      <c r="D7" s="487"/>
      <c r="E7" s="487"/>
      <c r="F7" s="487"/>
      <c r="G7" s="487"/>
      <c r="H7" s="487"/>
      <c r="I7" s="487"/>
      <c r="J7" s="487"/>
      <c r="K7" s="487"/>
      <c r="L7" s="487"/>
      <c r="M7" s="487"/>
      <c r="N7" s="487"/>
      <c r="O7" s="487"/>
      <c r="P7" s="487"/>
      <c r="Q7" s="487"/>
      <c r="R7" s="487"/>
      <c r="S7" s="487"/>
      <c r="T7" s="487"/>
      <c r="U7" s="487"/>
      <c r="V7" s="487"/>
      <c r="W7" s="487"/>
      <c r="X7" s="487"/>
      <c r="Y7" s="487"/>
      <c r="Z7" s="487"/>
      <c r="AA7" s="487"/>
      <c r="AB7" s="487"/>
      <c r="AC7" s="487"/>
      <c r="AD7" s="487"/>
      <c r="AE7" s="487"/>
    </row>
    <row r="8" spans="1:36" ht="21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</row>
    <row r="9" spans="1:36" ht="21" customHeight="1">
      <c r="A9" s="269"/>
      <c r="B9" s="270"/>
      <c r="C9" s="270"/>
      <c r="D9" s="270"/>
      <c r="E9" s="270"/>
      <c r="F9" s="270"/>
      <c r="G9" s="273"/>
      <c r="H9" s="270"/>
      <c r="I9" s="273"/>
      <c r="J9" s="270"/>
      <c r="K9" s="273"/>
      <c r="L9" s="270"/>
      <c r="M9" s="273"/>
      <c r="N9" s="270"/>
      <c r="O9" s="273"/>
      <c r="P9" s="270"/>
      <c r="Q9" s="270"/>
      <c r="R9" s="270"/>
      <c r="S9" s="270"/>
      <c r="T9" s="270"/>
      <c r="U9" s="273"/>
      <c r="V9" s="270"/>
      <c r="W9" s="273"/>
      <c r="X9" s="270"/>
      <c r="Y9" s="273"/>
      <c r="Z9" s="270"/>
      <c r="AA9" s="273"/>
      <c r="AB9" s="270"/>
      <c r="AC9" s="270"/>
      <c r="AD9" s="270"/>
      <c r="AE9" s="270"/>
    </row>
    <row r="10" spans="1:36" ht="21" customHeight="1">
      <c r="A10" s="274"/>
      <c r="B10" s="265"/>
      <c r="D10" s="268"/>
      <c r="M10" s="275" t="s">
        <v>1102</v>
      </c>
      <c r="O10" s="275" t="s">
        <v>1054</v>
      </c>
      <c r="AA10" s="275" t="s">
        <v>1054</v>
      </c>
    </row>
    <row r="11" spans="1:36" ht="21" customHeight="1">
      <c r="B11" s="276" t="s">
        <v>1055</v>
      </c>
      <c r="E11" s="277" t="s">
        <v>1056</v>
      </c>
      <c r="F11" s="277"/>
      <c r="G11" s="275" t="s">
        <v>1057</v>
      </c>
      <c r="H11" s="277"/>
      <c r="I11" s="275" t="s">
        <v>1058</v>
      </c>
      <c r="J11" s="277"/>
      <c r="K11" s="275" t="s">
        <v>1059</v>
      </c>
      <c r="L11" s="277"/>
      <c r="M11" s="275" t="s">
        <v>1103</v>
      </c>
      <c r="N11" s="277"/>
      <c r="O11" s="275" t="s">
        <v>10</v>
      </c>
      <c r="P11" s="277"/>
      <c r="Q11" s="275" t="s">
        <v>1060</v>
      </c>
      <c r="R11" s="277"/>
      <c r="S11" s="277" t="s">
        <v>1061</v>
      </c>
      <c r="T11" s="277"/>
      <c r="U11" s="275" t="s">
        <v>1062</v>
      </c>
      <c r="V11" s="277"/>
      <c r="W11" s="275" t="s">
        <v>1058</v>
      </c>
      <c r="X11" s="277"/>
      <c r="Y11" s="275" t="s">
        <v>1059</v>
      </c>
      <c r="Z11" s="277"/>
      <c r="AA11" s="275" t="s">
        <v>10</v>
      </c>
      <c r="AB11" s="277"/>
      <c r="AC11" s="275" t="s">
        <v>1063</v>
      </c>
      <c r="AD11" s="277"/>
      <c r="AE11" s="277" t="s">
        <v>1064</v>
      </c>
    </row>
    <row r="12" spans="1:36" ht="21" customHeight="1">
      <c r="B12" s="278">
        <v>-1</v>
      </c>
      <c r="E12" s="279" t="s">
        <v>1065</v>
      </c>
      <c r="F12" s="277"/>
      <c r="G12" s="279" t="s">
        <v>1066</v>
      </c>
      <c r="H12" s="277"/>
      <c r="I12" s="279">
        <v>-4</v>
      </c>
      <c r="J12" s="277"/>
      <c r="K12" s="279">
        <v>-5</v>
      </c>
      <c r="L12" s="277"/>
      <c r="M12" s="279">
        <v>-6</v>
      </c>
      <c r="N12" s="277"/>
      <c r="O12" s="279">
        <v>-7</v>
      </c>
      <c r="P12" s="277"/>
      <c r="Q12" s="279">
        <v>-8</v>
      </c>
      <c r="R12" s="277"/>
      <c r="S12" s="279">
        <v>-9</v>
      </c>
      <c r="T12" s="277"/>
      <c r="U12" s="279">
        <v>-10</v>
      </c>
      <c r="V12" s="277"/>
      <c r="W12" s="279">
        <v>-11</v>
      </c>
      <c r="X12" s="277"/>
      <c r="Y12" s="279">
        <v>-12</v>
      </c>
      <c r="Z12" s="277"/>
      <c r="AA12" s="279">
        <v>-13</v>
      </c>
      <c r="AB12" s="277"/>
      <c r="AC12" s="280">
        <v>-14</v>
      </c>
      <c r="AD12" s="277"/>
      <c r="AE12" s="280">
        <v>-15</v>
      </c>
      <c r="AG12" s="281"/>
      <c r="AJ12" s="281"/>
    </row>
    <row r="13" spans="1:36" ht="21" customHeight="1"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75" t="s">
        <v>1726</v>
      </c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75" t="s">
        <v>1727</v>
      </c>
      <c r="AD13" s="282"/>
      <c r="AE13" s="275" t="s">
        <v>1728</v>
      </c>
    </row>
    <row r="14" spans="1:36" ht="21" customHeight="1">
      <c r="A14" s="283">
        <f>1</f>
        <v>1</v>
      </c>
      <c r="B14" s="266" t="s">
        <v>1067</v>
      </c>
      <c r="E14" s="284">
        <v>5659423485.4459982</v>
      </c>
      <c r="F14" s="284"/>
      <c r="G14" s="284">
        <v>1250469702.0499997</v>
      </c>
      <c r="H14" s="284"/>
      <c r="I14" s="284">
        <v>8901782</v>
      </c>
      <c r="J14" s="284"/>
      <c r="K14" s="284">
        <v>138606783.70000002</v>
      </c>
      <c r="L14" s="284"/>
      <c r="M14" s="284">
        <v>0</v>
      </c>
      <c r="N14" s="284"/>
      <c r="O14" s="284">
        <v>0</v>
      </c>
      <c r="P14" s="284"/>
      <c r="Q14" s="284">
        <v>4261445217.6959982</v>
      </c>
      <c r="R14" s="284"/>
      <c r="S14" s="284">
        <f>SUM('SCH B-2'!E27,'SCH B-4'!H26)</f>
        <v>1224162017.7339997</v>
      </c>
      <c r="T14" s="284"/>
      <c r="U14" s="284">
        <f>-SUM('SCH B-2.2'!F14:F15,'SCH B-4'!I26)</f>
        <v>227652058.25999987</v>
      </c>
      <c r="V14" s="284"/>
      <c r="W14" s="284">
        <v>0</v>
      </c>
      <c r="X14" s="284"/>
      <c r="Y14" s="284">
        <f>-SUM('SCH B-2.2'!F12:F13,'SCH B-2.2'!F16)</f>
        <v>17239855.41</v>
      </c>
      <c r="Z14" s="284"/>
      <c r="AA14" s="284">
        <v>0</v>
      </c>
      <c r="AB14" s="284"/>
      <c r="AC14" s="284">
        <f>S14-SUM(U14:AA14)</f>
        <v>979270104.06399989</v>
      </c>
      <c r="AD14" s="284"/>
      <c r="AE14" s="285">
        <f>+E14+S14</f>
        <v>6883585503.1799984</v>
      </c>
    </row>
    <row r="15" spans="1:36" ht="12.75" customHeight="1">
      <c r="A15" s="286"/>
      <c r="E15" s="287"/>
      <c r="F15" s="287"/>
      <c r="G15" s="287"/>
      <c r="H15" s="287"/>
      <c r="I15" s="287"/>
      <c r="J15" s="287"/>
      <c r="K15" s="287"/>
      <c r="L15" s="287"/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287"/>
      <c r="AA15" s="287"/>
      <c r="AB15" s="287"/>
      <c r="AC15" s="287"/>
      <c r="AD15" s="287"/>
    </row>
    <row r="16" spans="1:36" ht="15" customHeight="1">
      <c r="A16" s="283">
        <f>1+A14</f>
        <v>2</v>
      </c>
      <c r="B16" s="266" t="s">
        <v>1068</v>
      </c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288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9"/>
    </row>
    <row r="17" spans="1:37" ht="21" customHeight="1">
      <c r="A17" s="283">
        <f>1+A16</f>
        <v>3</v>
      </c>
      <c r="B17" s="290" t="s">
        <v>1069</v>
      </c>
      <c r="E17" s="266">
        <v>1730313583.5714805</v>
      </c>
      <c r="G17" s="266">
        <v>40875563.626229718</v>
      </c>
      <c r="I17" s="291">
        <v>1959175.00886999</v>
      </c>
      <c r="K17" s="291">
        <v>43022143.279893994</v>
      </c>
      <c r="M17" s="291">
        <v>0</v>
      </c>
      <c r="O17" s="292">
        <v>0</v>
      </c>
      <c r="Q17" s="266">
        <v>1644456701.6564867</v>
      </c>
      <c r="S17" s="266">
        <f>-SUM('SCH B-3 B'!G109)</f>
        <v>353754610.94281614</v>
      </c>
      <c r="U17" s="266">
        <f>SUM('SCH B-3.1'!F14:F15)</f>
        <v>9315809.0719770007</v>
      </c>
      <c r="W17" s="292">
        <v>0</v>
      </c>
      <c r="Y17" s="266">
        <f>SUM('SCH B-3.1'!F12:F13,'SCH B-3.1'!F16)</f>
        <v>2803973.1294579878</v>
      </c>
      <c r="AA17" s="292">
        <v>0</v>
      </c>
      <c r="AC17" s="266">
        <f>S17-SUM(U17:AA17)</f>
        <v>341634828.74138117</v>
      </c>
      <c r="AE17" s="293">
        <f>+E17+S17</f>
        <v>2084068194.5142965</v>
      </c>
    </row>
    <row r="18" spans="1:37" ht="11.25" customHeight="1">
      <c r="A18" s="294"/>
      <c r="E18" s="295"/>
      <c r="G18" s="295"/>
      <c r="I18" s="295"/>
      <c r="K18" s="295"/>
      <c r="M18" s="295"/>
      <c r="O18" s="295"/>
      <c r="Q18" s="295"/>
      <c r="S18" s="295"/>
      <c r="U18" s="295"/>
      <c r="W18" s="295"/>
      <c r="Y18" s="295"/>
      <c r="AA18" s="295"/>
      <c r="AC18" s="295"/>
      <c r="AE18" s="295"/>
    </row>
    <row r="19" spans="1:37" ht="21" customHeight="1">
      <c r="A19" s="283">
        <f>1+A17</f>
        <v>4</v>
      </c>
      <c r="B19" s="266" t="s">
        <v>338</v>
      </c>
      <c r="E19" s="296">
        <v>3929109901.8745174</v>
      </c>
      <c r="F19" s="296"/>
      <c r="G19" s="296">
        <v>1209594138.42377</v>
      </c>
      <c r="H19" s="296"/>
      <c r="I19" s="291">
        <v>6942606.9911300102</v>
      </c>
      <c r="J19" s="296"/>
      <c r="K19" s="291">
        <v>95584640.420106024</v>
      </c>
      <c r="L19" s="296"/>
      <c r="M19" s="291">
        <v>0</v>
      </c>
      <c r="N19" s="296"/>
      <c r="O19" s="292">
        <v>0</v>
      </c>
      <c r="P19" s="296"/>
      <c r="Q19" s="296">
        <v>2616988516.0395117</v>
      </c>
      <c r="R19" s="296"/>
      <c r="S19" s="318">
        <f>+S14-S17</f>
        <v>870407406.79118359</v>
      </c>
      <c r="T19" s="296"/>
      <c r="U19" s="296">
        <f>+U14-U17</f>
        <v>218336249.18802288</v>
      </c>
      <c r="V19" s="296"/>
      <c r="W19" s="292">
        <f>+W14-W17</f>
        <v>0</v>
      </c>
      <c r="X19" s="296"/>
      <c r="Y19" s="296">
        <f>+Y14-Y17</f>
        <v>14435882.280542012</v>
      </c>
      <c r="Z19" s="296"/>
      <c r="AA19" s="292">
        <f>+AA14-AA17</f>
        <v>0</v>
      </c>
      <c r="AB19" s="296"/>
      <c r="AC19" s="296">
        <f>+AC14-AC17</f>
        <v>637635275.32261872</v>
      </c>
      <c r="AD19" s="296"/>
      <c r="AE19" s="296">
        <f>+AE14-AE17</f>
        <v>4799517308.6657019</v>
      </c>
      <c r="AG19" s="296"/>
      <c r="AH19" s="296"/>
      <c r="AJ19" s="296"/>
      <c r="AK19" s="296"/>
    </row>
    <row r="20" spans="1:37" ht="9.75" customHeight="1">
      <c r="A20" s="283"/>
      <c r="K20" s="297"/>
      <c r="M20" s="297"/>
    </row>
    <row r="21" spans="1:37" ht="15" customHeight="1">
      <c r="A21" s="283">
        <f>1+A19</f>
        <v>5</v>
      </c>
      <c r="B21" s="266" t="s">
        <v>1068</v>
      </c>
      <c r="K21" s="297"/>
      <c r="M21" s="297"/>
    </row>
    <row r="22" spans="1:37" ht="21" customHeight="1">
      <c r="A22" s="283">
        <f>A21+1</f>
        <v>6</v>
      </c>
      <c r="B22" s="290" t="s">
        <v>1070</v>
      </c>
      <c r="E22" s="266">
        <v>1444019.0809589629</v>
      </c>
      <c r="G22" s="292">
        <v>0</v>
      </c>
      <c r="H22" s="292"/>
      <c r="I22" s="292">
        <v>0</v>
      </c>
      <c r="J22" s="292"/>
      <c r="K22" s="291">
        <v>0</v>
      </c>
      <c r="L22" s="292"/>
      <c r="M22" s="291">
        <v>0</v>
      </c>
      <c r="O22" s="292">
        <v>0</v>
      </c>
      <c r="Q22" s="266">
        <v>1444019.0809589629</v>
      </c>
      <c r="S22" s="266">
        <f>'SCH B-6'!F12</f>
        <v>5333825.2990410374</v>
      </c>
      <c r="U22" s="291">
        <v>0</v>
      </c>
      <c r="W22" s="292">
        <v>0</v>
      </c>
      <c r="Y22" s="292">
        <v>0</v>
      </c>
      <c r="AA22" s="292">
        <v>0</v>
      </c>
      <c r="AC22" s="266">
        <f t="shared" ref="AC22:AC23" si="0">S22-SUM(U22:AA22)</f>
        <v>5333825.2990410374</v>
      </c>
      <c r="AE22" s="266">
        <f>+E22+S22</f>
        <v>6777844.3800000008</v>
      </c>
    </row>
    <row r="23" spans="1:37" ht="21" customHeight="1">
      <c r="A23" s="283">
        <f>A22+1</f>
        <v>7</v>
      </c>
      <c r="B23" s="290" t="s">
        <v>1071</v>
      </c>
      <c r="E23" s="266">
        <v>752994854.36087084</v>
      </c>
      <c r="G23" s="266">
        <v>239546905.8110137</v>
      </c>
      <c r="I23" s="291">
        <v>1429115.0951453899</v>
      </c>
      <c r="K23" s="291">
        <v>0</v>
      </c>
      <c r="M23" s="291">
        <v>0</v>
      </c>
      <c r="O23" s="292">
        <v>0</v>
      </c>
      <c r="Q23" s="266">
        <v>512018833.45471174</v>
      </c>
      <c r="S23" s="266">
        <f>'SCH B-6'!F16</f>
        <v>212885940.06410787</v>
      </c>
      <c r="U23" s="266">
        <f>-'GLT DEFTAX'!P3</f>
        <v>36037047.003845297</v>
      </c>
      <c r="W23" s="292">
        <v>0</v>
      </c>
      <c r="Y23" s="292">
        <v>0</v>
      </c>
      <c r="AA23" s="292">
        <v>0</v>
      </c>
      <c r="AC23" s="266">
        <f t="shared" si="0"/>
        <v>176848893.06026256</v>
      </c>
      <c r="AE23" s="266">
        <f>+E23+S23</f>
        <v>965880794.42497873</v>
      </c>
    </row>
    <row r="24" spans="1:37" ht="12" customHeight="1">
      <c r="A24" s="294"/>
      <c r="E24" s="295"/>
      <c r="G24" s="295"/>
      <c r="I24" s="295"/>
      <c r="K24" s="298"/>
      <c r="M24" s="298"/>
      <c r="O24" s="295"/>
      <c r="Q24" s="295"/>
      <c r="S24" s="295"/>
      <c r="U24" s="295"/>
      <c r="W24" s="295"/>
      <c r="Y24" s="295"/>
      <c r="AA24" s="295"/>
      <c r="AC24" s="295"/>
      <c r="AE24" s="295"/>
    </row>
    <row r="25" spans="1:37" ht="21" customHeight="1">
      <c r="A25" s="283">
        <f>1+A23</f>
        <v>8</v>
      </c>
      <c r="B25" s="290" t="s">
        <v>1072</v>
      </c>
      <c r="E25" s="296">
        <v>754438873.4418298</v>
      </c>
      <c r="F25" s="296"/>
      <c r="G25" s="296">
        <v>239546905.8110137</v>
      </c>
      <c r="H25" s="296"/>
      <c r="I25" s="291">
        <v>1429115.0951453899</v>
      </c>
      <c r="J25" s="296"/>
      <c r="K25" s="291">
        <v>0</v>
      </c>
      <c r="L25" s="296"/>
      <c r="M25" s="291">
        <v>0</v>
      </c>
      <c r="N25" s="296"/>
      <c r="O25" s="292">
        <v>0</v>
      </c>
      <c r="P25" s="296"/>
      <c r="Q25" s="296">
        <v>513462852.5356707</v>
      </c>
      <c r="R25" s="296"/>
      <c r="S25" s="296">
        <f>SUM(S22:S24)</f>
        <v>218219765.3631489</v>
      </c>
      <c r="T25" s="296"/>
      <c r="U25" s="296">
        <f>SUM(U22:U24)</f>
        <v>36037047.003845297</v>
      </c>
      <c r="V25" s="296"/>
      <c r="W25" s="292">
        <f>SUM(W22:W24)</f>
        <v>0</v>
      </c>
      <c r="X25" s="296"/>
      <c r="Y25" s="292">
        <f>SUM(Y22:Y24)</f>
        <v>0</v>
      </c>
      <c r="Z25" s="296"/>
      <c r="AA25" s="292">
        <f>SUM(AA22:AA24)</f>
        <v>0</v>
      </c>
      <c r="AB25" s="296"/>
      <c r="AC25" s="296">
        <f>SUM(AC22:AC24)</f>
        <v>182182718.35930359</v>
      </c>
      <c r="AD25" s="296"/>
      <c r="AE25" s="296">
        <f>SUM(AE22:AE24)</f>
        <v>972658638.80497873</v>
      </c>
    </row>
    <row r="26" spans="1:37" ht="12" customHeight="1">
      <c r="A26" s="294"/>
      <c r="K26" s="297"/>
      <c r="M26" s="297"/>
    </row>
    <row r="27" spans="1:37" ht="21" customHeight="1">
      <c r="A27" s="283">
        <f>1+A25</f>
        <v>9</v>
      </c>
      <c r="B27" s="266" t="s">
        <v>1073</v>
      </c>
      <c r="E27" s="296">
        <v>3174671028.4326878</v>
      </c>
      <c r="F27" s="296"/>
      <c r="G27" s="296">
        <v>970047232.61275625</v>
      </c>
      <c r="H27" s="296"/>
      <c r="I27" s="291">
        <v>5513491.8959846199</v>
      </c>
      <c r="J27" s="296"/>
      <c r="K27" s="291">
        <v>95584640.420106024</v>
      </c>
      <c r="L27" s="296"/>
      <c r="M27" s="291">
        <v>0</v>
      </c>
      <c r="N27" s="296"/>
      <c r="O27" s="292">
        <v>0</v>
      </c>
      <c r="P27" s="296"/>
      <c r="Q27" s="266">
        <v>2103525663.5038409</v>
      </c>
      <c r="R27" s="296"/>
      <c r="S27" s="296">
        <f>+S19-S25</f>
        <v>652187641.42803466</v>
      </c>
      <c r="T27" s="296"/>
      <c r="U27" s="296">
        <f>+U19-U25</f>
        <v>182299202.18417758</v>
      </c>
      <c r="V27" s="296"/>
      <c r="W27" s="292">
        <f>+W19-W25</f>
        <v>0</v>
      </c>
      <c r="X27" s="296"/>
      <c r="Y27" s="291">
        <f>+Y19-Y25</f>
        <v>14435882.280542012</v>
      </c>
      <c r="Z27" s="296"/>
      <c r="AA27" s="292">
        <f>+AA19-AA25</f>
        <v>0</v>
      </c>
      <c r="AB27" s="296"/>
      <c r="AC27" s="296">
        <f>+AC19-AC25</f>
        <v>455452556.96331513</v>
      </c>
      <c r="AD27" s="296"/>
      <c r="AE27" s="296">
        <f>+AE19-AE25</f>
        <v>3826858669.860723</v>
      </c>
    </row>
    <row r="28" spans="1:37" ht="12" customHeight="1">
      <c r="A28" s="294"/>
      <c r="I28" s="292"/>
      <c r="K28" s="291"/>
      <c r="M28" s="291"/>
      <c r="O28" s="292"/>
      <c r="Y28" s="292"/>
      <c r="AA28" s="292"/>
    </row>
    <row r="29" spans="1:37" ht="14.25" customHeight="1">
      <c r="A29" s="283">
        <f>1+A27</f>
        <v>10</v>
      </c>
      <c r="B29" s="266" t="s">
        <v>1074</v>
      </c>
      <c r="I29" s="292"/>
      <c r="K29" s="291"/>
      <c r="M29" s="291"/>
      <c r="O29" s="292"/>
      <c r="Y29" s="292"/>
      <c r="AA29" s="292"/>
    </row>
    <row r="30" spans="1:37" ht="21" customHeight="1">
      <c r="A30" s="283">
        <f>A29+1</f>
        <v>11</v>
      </c>
      <c r="B30" s="290" t="s">
        <v>1291</v>
      </c>
      <c r="E30" s="266">
        <v>103041495.4469256</v>
      </c>
      <c r="G30" s="291">
        <v>148.69230769230765</v>
      </c>
      <c r="I30" s="292">
        <v>0</v>
      </c>
      <c r="K30" s="291">
        <v>0</v>
      </c>
      <c r="M30" s="291">
        <v>6634534.3692577202</v>
      </c>
      <c r="O30" s="292">
        <v>0</v>
      </c>
      <c r="Q30" s="266">
        <v>96406812.385360181</v>
      </c>
      <c r="S30" s="266">
        <f>'SCH B-5'!G15</f>
        <v>300135.81076953898</v>
      </c>
      <c r="U30" s="292">
        <v>0</v>
      </c>
      <c r="W30" s="292">
        <v>0</v>
      </c>
      <c r="Y30" s="292">
        <v>0</v>
      </c>
      <c r="AA30" s="292">
        <v>0</v>
      </c>
      <c r="AC30" s="266">
        <f t="shared" ref="AC30:AC32" si="1">S30-SUM(U30:AA30)</f>
        <v>300135.81076953898</v>
      </c>
      <c r="AE30" s="266">
        <f>+E30+S30</f>
        <v>103341631.25769514</v>
      </c>
    </row>
    <row r="31" spans="1:37" ht="21" customHeight="1">
      <c r="A31" s="283">
        <f>A30+1</f>
        <v>12</v>
      </c>
      <c r="B31" s="290" t="s">
        <v>1075</v>
      </c>
      <c r="E31" s="292">
        <v>0</v>
      </c>
      <c r="G31" s="292">
        <v>0</v>
      </c>
      <c r="I31" s="292">
        <v>0</v>
      </c>
      <c r="K31" s="291">
        <v>0</v>
      </c>
      <c r="M31" s="291">
        <v>0</v>
      </c>
      <c r="O31" s="292">
        <v>0</v>
      </c>
      <c r="Q31" s="292">
        <v>0</v>
      </c>
      <c r="S31" s="266">
        <f>'SCH B-5'!G13</f>
        <v>26995902.295372717</v>
      </c>
      <c r="U31" s="292">
        <v>0</v>
      </c>
      <c r="W31" s="292">
        <v>0</v>
      </c>
      <c r="Y31" s="292">
        <v>0</v>
      </c>
      <c r="AA31" s="292">
        <v>0</v>
      </c>
      <c r="AC31" s="266">
        <f t="shared" si="1"/>
        <v>26995902.295372717</v>
      </c>
      <c r="AE31" s="266">
        <f>+E31+S31</f>
        <v>26995902.295372717</v>
      </c>
    </row>
    <row r="32" spans="1:37" ht="21" customHeight="1">
      <c r="A32" s="283">
        <f t="shared" ref="A32:A34" si="2">A31+1</f>
        <v>13</v>
      </c>
      <c r="B32" s="290" t="s">
        <v>1292</v>
      </c>
      <c r="E32" s="266">
        <v>11705968.543440759</v>
      </c>
      <c r="G32" s="292">
        <v>0</v>
      </c>
      <c r="I32" s="292">
        <v>0</v>
      </c>
      <c r="K32" s="291">
        <v>0</v>
      </c>
      <c r="M32" s="291">
        <v>0</v>
      </c>
      <c r="O32" s="292">
        <v>0</v>
      </c>
      <c r="Q32" s="266">
        <v>11705968.543440759</v>
      </c>
      <c r="S32" s="266">
        <f>'SCH B-5'!G17</f>
        <v>2058989.8499873052</v>
      </c>
      <c r="U32" s="292">
        <v>0</v>
      </c>
      <c r="W32" s="292">
        <v>0</v>
      </c>
      <c r="Y32" s="292">
        <v>0</v>
      </c>
      <c r="AA32" s="292">
        <v>0</v>
      </c>
      <c r="AC32" s="266">
        <f t="shared" si="1"/>
        <v>2058989.8499873052</v>
      </c>
      <c r="AE32" s="266">
        <f>+E32+S32</f>
        <v>13764958.393428065</v>
      </c>
    </row>
    <row r="33" spans="1:31" ht="21" customHeight="1">
      <c r="A33" s="283">
        <f t="shared" si="2"/>
        <v>14</v>
      </c>
      <c r="B33" s="290" t="s">
        <v>1076</v>
      </c>
      <c r="E33" s="266">
        <v>73572756</v>
      </c>
      <c r="G33" s="291">
        <v>1209117</v>
      </c>
      <c r="I33" s="292">
        <v>0</v>
      </c>
      <c r="K33" s="291">
        <v>0</v>
      </c>
      <c r="M33" s="291">
        <v>0</v>
      </c>
      <c r="O33" s="292">
        <v>0</v>
      </c>
      <c r="Q33" s="266">
        <v>72363639</v>
      </c>
      <c r="S33" s="266">
        <f>+S77</f>
        <v>9147384</v>
      </c>
      <c r="U33" s="292">
        <f>+U77</f>
        <v>0</v>
      </c>
      <c r="W33" s="292">
        <f>+W77</f>
        <v>0</v>
      </c>
      <c r="Y33" s="292">
        <f>+Y77</f>
        <v>0</v>
      </c>
      <c r="AA33" s="292">
        <v>0</v>
      </c>
      <c r="AC33" s="266">
        <f>S33-SUM(U33:AA33)</f>
        <v>9147384</v>
      </c>
      <c r="AE33" s="266">
        <f>+E33+S33</f>
        <v>82720140</v>
      </c>
    </row>
    <row r="34" spans="1:31" ht="21" customHeight="1">
      <c r="A34" s="283">
        <f t="shared" si="2"/>
        <v>15</v>
      </c>
      <c r="B34" s="290" t="s">
        <v>1352</v>
      </c>
      <c r="E34" s="266">
        <v>13085626.646410819</v>
      </c>
      <c r="G34" s="266">
        <v>13085626.646410819</v>
      </c>
      <c r="I34" s="292">
        <v>0</v>
      </c>
      <c r="K34" s="291">
        <v>0</v>
      </c>
      <c r="M34" s="291">
        <v>0</v>
      </c>
      <c r="O34" s="292">
        <v>0</v>
      </c>
      <c r="Q34" s="292">
        <v>0</v>
      </c>
      <c r="S34" s="292">
        <v>0</v>
      </c>
      <c r="U34" s="292">
        <v>0</v>
      </c>
      <c r="W34" s="292">
        <v>0</v>
      </c>
      <c r="Y34" s="292">
        <v>0</v>
      </c>
      <c r="AA34" s="292">
        <v>0</v>
      </c>
      <c r="AC34" s="292">
        <v>0</v>
      </c>
      <c r="AE34" s="266">
        <f>+E34+S34</f>
        <v>13085626.646410819</v>
      </c>
    </row>
    <row r="35" spans="1:31" ht="12" customHeight="1">
      <c r="A35" s="294"/>
      <c r="E35" s="295"/>
      <c r="G35" s="295"/>
      <c r="I35" s="295"/>
      <c r="K35" s="298"/>
      <c r="M35" s="298"/>
      <c r="O35" s="295"/>
      <c r="Q35" s="295"/>
      <c r="S35" s="295"/>
      <c r="U35" s="295"/>
      <c r="W35" s="295"/>
      <c r="Y35" s="295"/>
      <c r="AA35" s="295"/>
      <c r="AC35" s="295"/>
      <c r="AE35" s="295"/>
    </row>
    <row r="36" spans="1:31" ht="21" customHeight="1">
      <c r="A36" s="283">
        <f>A34+1</f>
        <v>16</v>
      </c>
      <c r="B36" s="290" t="s">
        <v>1077</v>
      </c>
      <c r="E36" s="296">
        <v>201405846.63677716</v>
      </c>
      <c r="G36" s="296">
        <v>14294892.338718511</v>
      </c>
      <c r="I36" s="292">
        <v>0</v>
      </c>
      <c r="K36" s="291">
        <v>0</v>
      </c>
      <c r="M36" s="291">
        <v>6634534.3692577202</v>
      </c>
      <c r="O36" s="292">
        <v>0</v>
      </c>
      <c r="Q36" s="296">
        <v>180476419.92880094</v>
      </c>
      <c r="S36" s="296">
        <f>SUM(S30:S35)</f>
        <v>38502411.956129566</v>
      </c>
      <c r="U36" s="292">
        <f>SUM(U30:U35)</f>
        <v>0</v>
      </c>
      <c r="W36" s="292">
        <f>SUM(W30:W35)</f>
        <v>0</v>
      </c>
      <c r="Y36" s="292">
        <f>SUM(Y30:Y35)</f>
        <v>0</v>
      </c>
      <c r="AA36" s="292">
        <f>SUM(AA30:AA35)</f>
        <v>0</v>
      </c>
      <c r="AC36" s="296">
        <f>SUM(AC30:AC35)</f>
        <v>38502411.956129566</v>
      </c>
      <c r="AE36" s="296">
        <f>SUM(AE30:AE35)</f>
        <v>239908258.59290674</v>
      </c>
    </row>
    <row r="37" spans="1:31" ht="14.25" customHeight="1">
      <c r="A37" s="294"/>
    </row>
    <row r="38" spans="1:31" ht="21" customHeight="1" thickBot="1">
      <c r="A38" s="283">
        <f>1+A36</f>
        <v>17</v>
      </c>
      <c r="B38" s="266" t="s">
        <v>1078</v>
      </c>
      <c r="E38" s="299">
        <v>3376076875.0694647</v>
      </c>
      <c r="G38" s="299">
        <v>984342124.95147479</v>
      </c>
      <c r="I38" s="299">
        <v>5513491.8959846199</v>
      </c>
      <c r="K38" s="299">
        <v>95584640.420106024</v>
      </c>
      <c r="M38" s="299">
        <v>6634534.3692577202</v>
      </c>
      <c r="O38" s="299">
        <v>0</v>
      </c>
      <c r="Q38" s="299">
        <v>2284002083.432642</v>
      </c>
      <c r="S38" s="299">
        <f>+S27+S36</f>
        <v>690690053.38416421</v>
      </c>
      <c r="U38" s="299">
        <f>+U27+U36</f>
        <v>182299202.18417758</v>
      </c>
      <c r="W38" s="299">
        <f>+W27+W36</f>
        <v>0</v>
      </c>
      <c r="Y38" s="299">
        <f>+Y27+Y36</f>
        <v>14435882.280542012</v>
      </c>
      <c r="AA38" s="299">
        <f>+AA27+AA36</f>
        <v>0</v>
      </c>
      <c r="AC38" s="299">
        <f>+AC27+AC36</f>
        <v>493954968.91944468</v>
      </c>
      <c r="AE38" s="299">
        <f>+AE27+AE36</f>
        <v>4066766928.45363</v>
      </c>
    </row>
    <row r="39" spans="1:31" ht="12.75" customHeight="1" thickTop="1">
      <c r="A39" s="294"/>
      <c r="E39" s="300"/>
      <c r="G39" s="300"/>
      <c r="I39" s="300"/>
      <c r="K39" s="300"/>
      <c r="M39" s="300"/>
      <c r="O39" s="300"/>
      <c r="Q39" s="300"/>
      <c r="S39" s="300"/>
      <c r="U39" s="300"/>
      <c r="W39" s="300"/>
      <c r="Y39" s="300"/>
      <c r="AA39" s="300"/>
      <c r="AC39" s="300"/>
      <c r="AE39" s="300"/>
    </row>
    <row r="40" spans="1:31" ht="21" customHeight="1">
      <c r="A40" s="283">
        <f>1+A38</f>
        <v>18</v>
      </c>
      <c r="B40" s="290" t="s">
        <v>1107</v>
      </c>
      <c r="K40" s="266">
        <v>-95584640.420106024</v>
      </c>
      <c r="Q40" s="266">
        <v>95584640.420106024</v>
      </c>
      <c r="Y40" s="266">
        <f>-Y38</f>
        <v>-14435882.280542012</v>
      </c>
      <c r="AC40" s="266">
        <f>S40-SUM(U40:AA40)</f>
        <v>14435882.280542012</v>
      </c>
      <c r="AE40" s="292">
        <f>+E40+S40</f>
        <v>0</v>
      </c>
    </row>
    <row r="41" spans="1:31" ht="14.25" customHeight="1">
      <c r="A41" s="294"/>
    </row>
    <row r="42" spans="1:31" ht="21" customHeight="1" thickBot="1">
      <c r="A42" s="283">
        <f>1+A40</f>
        <v>19</v>
      </c>
      <c r="B42" s="266" t="s">
        <v>1108</v>
      </c>
      <c r="E42" s="299">
        <v>3376076875.0694647</v>
      </c>
      <c r="G42" s="299">
        <v>984342124.95147479</v>
      </c>
      <c r="I42" s="299">
        <v>5513491.8959846199</v>
      </c>
      <c r="K42" s="299">
        <v>0</v>
      </c>
      <c r="M42" s="299">
        <v>6634534.3692577202</v>
      </c>
      <c r="O42" s="299">
        <v>0</v>
      </c>
      <c r="Q42" s="299">
        <v>2379586723.8527479</v>
      </c>
      <c r="S42" s="299">
        <f>S38+S40</f>
        <v>690690053.38416421</v>
      </c>
      <c r="U42" s="299">
        <f>U38+U40</f>
        <v>182299202.18417758</v>
      </c>
      <c r="W42" s="299">
        <f>W38+W40</f>
        <v>0</v>
      </c>
      <c r="Y42" s="299">
        <f>Y38+Y40</f>
        <v>0</v>
      </c>
      <c r="AA42" s="299">
        <f>AA38+AA40</f>
        <v>0</v>
      </c>
      <c r="AC42" s="299">
        <f>AC38+AC40</f>
        <v>508390851.1999867</v>
      </c>
      <c r="AE42" s="299">
        <f>AE38+AE40</f>
        <v>4066766928.45363</v>
      </c>
    </row>
    <row r="43" spans="1:31" ht="12.75" customHeight="1" thickTop="1">
      <c r="A43" s="294"/>
      <c r="E43" s="300"/>
      <c r="G43" s="300"/>
      <c r="I43" s="300"/>
      <c r="K43" s="300"/>
      <c r="M43" s="300"/>
      <c r="O43" s="300"/>
      <c r="Q43" s="300"/>
      <c r="S43" s="300"/>
      <c r="U43" s="300"/>
      <c r="W43" s="300"/>
      <c r="Y43" s="300"/>
      <c r="AA43" s="300"/>
      <c r="AC43" s="300"/>
      <c r="AE43" s="300"/>
    </row>
    <row r="44" spans="1:31" ht="21" customHeight="1" thickBot="1">
      <c r="A44" s="283">
        <f>1+A42</f>
        <v>20</v>
      </c>
      <c r="B44" s="281" t="s">
        <v>1079</v>
      </c>
      <c r="E44" s="301">
        <f>ROUND(+E42/$AE42,4)</f>
        <v>0.83020000000000005</v>
      </c>
      <c r="F44" s="296"/>
      <c r="G44" s="301">
        <f>ROUND(+G42/$AE42,4)</f>
        <v>0.24199999999999999</v>
      </c>
      <c r="H44" s="296"/>
      <c r="I44" s="301">
        <f>ROUND(+I42/$AE42,4)</f>
        <v>1.4E-3</v>
      </c>
      <c r="J44" s="296"/>
      <c r="K44" s="301">
        <f>ROUND(+K42/$AE42,4)</f>
        <v>0</v>
      </c>
      <c r="L44" s="296"/>
      <c r="M44" s="301">
        <f>ROUND(+M42/$AE42,4)</f>
        <v>1.6000000000000001E-3</v>
      </c>
      <c r="N44" s="296"/>
      <c r="O44" s="301">
        <f>ROUND(+O42/$AE42,4)</f>
        <v>0</v>
      </c>
      <c r="Q44" s="301">
        <f>ROUND(+Q42/$AE42,4)</f>
        <v>0.58509999999999995</v>
      </c>
      <c r="S44" s="301">
        <f>ROUND(+S42/$AE42,4)</f>
        <v>0.16980000000000001</v>
      </c>
      <c r="U44" s="301">
        <f>ROUND(+U42/$AE42,4)</f>
        <v>4.48E-2</v>
      </c>
      <c r="V44" s="296"/>
      <c r="W44" s="301">
        <f>ROUND(+W42/$AE42,4)</f>
        <v>0</v>
      </c>
      <c r="X44" s="296"/>
      <c r="Y44" s="301">
        <f>ROUND(+Y42/$AE42,4)</f>
        <v>0</v>
      </c>
      <c r="Z44" s="296"/>
      <c r="AA44" s="301">
        <f>ROUND(+AA42/$AE42,4)</f>
        <v>0</v>
      </c>
      <c r="AC44" s="301">
        <f>ROUND(+AC42/$AE42,6)</f>
        <v>0.12501100000000001</v>
      </c>
      <c r="AD44" s="296"/>
      <c r="AE44" s="301">
        <f>ROUND(+AE42/$AE42,4)</f>
        <v>1</v>
      </c>
    </row>
    <row r="45" spans="1:31" ht="16.5" thickTop="1">
      <c r="A45" s="294"/>
      <c r="Q45" s="302"/>
      <c r="AC45" s="302"/>
    </row>
    <row r="46" spans="1:31">
      <c r="A46" s="303"/>
      <c r="Q46" s="302"/>
      <c r="R46" s="296"/>
      <c r="S46" s="302"/>
      <c r="AC46" s="302"/>
    </row>
    <row r="47" spans="1:31" ht="18.95" customHeight="1">
      <c r="A47" s="304" t="s">
        <v>1080</v>
      </c>
      <c r="B47" s="281" t="s">
        <v>1081</v>
      </c>
      <c r="Q47" s="305"/>
      <c r="S47" s="305"/>
      <c r="AC47" s="305"/>
    </row>
    <row r="48" spans="1:31" ht="18.95" customHeight="1">
      <c r="A48" s="304" t="s">
        <v>1082</v>
      </c>
      <c r="B48" s="266" t="s">
        <v>1083</v>
      </c>
    </row>
    <row r="49" spans="1:31" ht="18.95" customHeight="1">
      <c r="A49" s="304" t="s">
        <v>1084</v>
      </c>
      <c r="B49" s="266" t="s">
        <v>1087</v>
      </c>
    </row>
    <row r="50" spans="1:31" ht="18.95" customHeight="1">
      <c r="A50" s="304" t="s">
        <v>1086</v>
      </c>
      <c r="B50" s="266" t="s">
        <v>1085</v>
      </c>
    </row>
    <row r="51" spans="1:31" ht="18.95" customHeight="1">
      <c r="A51" s="304"/>
    </row>
    <row r="52" spans="1:31" ht="18.95" customHeight="1">
      <c r="A52" s="304"/>
    </row>
    <row r="53" spans="1:31" ht="21" customHeight="1">
      <c r="B53" s="337" t="str">
        <f>B1</f>
        <v>DATA:__X__BASE  PERIOD____FORECASTED  PERIOD</v>
      </c>
      <c r="P53" s="268"/>
      <c r="R53" s="268"/>
      <c r="T53" s="268"/>
      <c r="AB53" s="268"/>
      <c r="AE53" s="339" t="str">
        <f>AE1</f>
        <v>SUPPORTING SCHEDULE B-1.1</v>
      </c>
    </row>
    <row r="54" spans="1:31" ht="21" customHeight="1">
      <c r="B54" s="337" t="str">
        <f>B2</f>
        <v>TYPE OF FILING: _____ ORIGINAL  _____ UPDATED  __X__ REVISED</v>
      </c>
      <c r="P54" s="268"/>
      <c r="R54" s="268"/>
      <c r="T54" s="268"/>
      <c r="AB54" s="268"/>
      <c r="AE54" s="340" t="str">
        <f>AE2</f>
        <v>WITNESS:   D. K. ARBOUGH</v>
      </c>
    </row>
    <row r="55" spans="1:31" ht="21" customHeight="1">
      <c r="P55" s="268"/>
      <c r="R55" s="268"/>
      <c r="T55" s="268"/>
      <c r="AB55" s="268"/>
      <c r="AE55" s="339" t="s">
        <v>1285</v>
      </c>
    </row>
    <row r="56" spans="1:31" ht="21" customHeight="1"/>
    <row r="57" spans="1:31" ht="21" customHeight="1">
      <c r="A57" s="488" t="s">
        <v>434</v>
      </c>
      <c r="B57" s="488"/>
      <c r="C57" s="488"/>
      <c r="D57" s="488"/>
      <c r="E57" s="488"/>
      <c r="F57" s="488"/>
      <c r="G57" s="488"/>
      <c r="H57" s="488"/>
      <c r="I57" s="488"/>
      <c r="J57" s="488"/>
      <c r="K57" s="488"/>
      <c r="L57" s="488"/>
      <c r="M57" s="488"/>
      <c r="N57" s="488"/>
      <c r="O57" s="488"/>
      <c r="P57" s="488"/>
      <c r="Q57" s="488"/>
      <c r="R57" s="488"/>
      <c r="S57" s="488"/>
      <c r="T57" s="488"/>
      <c r="U57" s="488"/>
      <c r="V57" s="488"/>
      <c r="W57" s="488"/>
      <c r="X57" s="488"/>
      <c r="Y57" s="488"/>
      <c r="Z57" s="488"/>
      <c r="AA57" s="488"/>
      <c r="AB57" s="488"/>
      <c r="AC57" s="488"/>
      <c r="AD57" s="488"/>
      <c r="AE57" s="488"/>
    </row>
    <row r="58" spans="1:31" ht="21" customHeight="1">
      <c r="A58" s="271"/>
      <c r="B58" s="270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</row>
    <row r="59" spans="1:31" ht="21" customHeight="1">
      <c r="A59" s="489" t="s">
        <v>1088</v>
      </c>
      <c r="B59" s="489"/>
      <c r="C59" s="489"/>
      <c r="D59" s="489"/>
      <c r="E59" s="489"/>
      <c r="F59" s="489"/>
      <c r="G59" s="489"/>
      <c r="H59" s="489"/>
      <c r="I59" s="489"/>
      <c r="J59" s="489"/>
      <c r="K59" s="489"/>
      <c r="L59" s="489"/>
      <c r="M59" s="489"/>
      <c r="N59" s="489"/>
      <c r="O59" s="489"/>
      <c r="P59" s="489"/>
      <c r="Q59" s="489"/>
      <c r="R59" s="489"/>
      <c r="S59" s="489"/>
      <c r="T59" s="489"/>
      <c r="U59" s="489"/>
      <c r="V59" s="489"/>
      <c r="W59" s="489"/>
      <c r="X59" s="489"/>
      <c r="Y59" s="489"/>
      <c r="Z59" s="489"/>
      <c r="AA59" s="489"/>
      <c r="AB59" s="489"/>
      <c r="AC59" s="489"/>
      <c r="AD59" s="489"/>
      <c r="AE59" s="489"/>
    </row>
    <row r="60" spans="1:31" ht="21" customHeight="1">
      <c r="A60" s="487" t="s">
        <v>1723</v>
      </c>
      <c r="B60" s="487"/>
      <c r="C60" s="487"/>
      <c r="D60" s="487"/>
      <c r="E60" s="487"/>
      <c r="F60" s="487"/>
      <c r="G60" s="487"/>
      <c r="H60" s="487"/>
      <c r="I60" s="487"/>
      <c r="J60" s="487"/>
      <c r="K60" s="487"/>
      <c r="L60" s="487"/>
      <c r="M60" s="487"/>
      <c r="N60" s="487"/>
      <c r="O60" s="487"/>
      <c r="P60" s="487"/>
      <c r="Q60" s="487"/>
      <c r="R60" s="487"/>
      <c r="S60" s="487"/>
      <c r="T60" s="487"/>
      <c r="U60" s="487"/>
      <c r="V60" s="487"/>
      <c r="W60" s="487"/>
      <c r="X60" s="487"/>
      <c r="Y60" s="487"/>
      <c r="Z60" s="487"/>
      <c r="AA60" s="487"/>
      <c r="AB60" s="487"/>
      <c r="AC60" s="487"/>
      <c r="AD60" s="487"/>
      <c r="AE60" s="487"/>
    </row>
    <row r="61" spans="1:31" ht="21" customHeight="1">
      <c r="A61" s="272"/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</row>
    <row r="62" spans="1:31" ht="21" customHeight="1">
      <c r="A62" s="269"/>
      <c r="B62" s="270"/>
      <c r="C62" s="270"/>
      <c r="D62" s="270"/>
      <c r="E62" s="270"/>
      <c r="F62" s="270"/>
      <c r="H62" s="270"/>
      <c r="J62" s="270"/>
      <c r="L62" s="270"/>
      <c r="N62" s="270"/>
      <c r="P62" s="270"/>
      <c r="Q62" s="270"/>
      <c r="R62" s="270"/>
      <c r="S62" s="270"/>
      <c r="T62" s="270"/>
      <c r="V62" s="270"/>
      <c r="X62" s="270"/>
      <c r="Z62" s="270"/>
      <c r="AB62" s="270"/>
      <c r="AC62" s="270"/>
      <c r="AD62" s="270"/>
      <c r="AE62" s="270"/>
    </row>
    <row r="63" spans="1:31" ht="21" customHeight="1">
      <c r="A63" s="274"/>
      <c r="D63" s="268"/>
      <c r="M63" s="275" t="s">
        <v>1102</v>
      </c>
      <c r="O63" s="275" t="s">
        <v>1054</v>
      </c>
      <c r="AA63" s="275" t="s">
        <v>1054</v>
      </c>
    </row>
    <row r="64" spans="1:31" ht="21" customHeight="1">
      <c r="B64" s="276" t="s">
        <v>1055</v>
      </c>
      <c r="E64" s="277" t="s">
        <v>1056</v>
      </c>
      <c r="F64" s="277"/>
      <c r="G64" s="275" t="s">
        <v>1057</v>
      </c>
      <c r="H64" s="277"/>
      <c r="I64" s="275" t="s">
        <v>1058</v>
      </c>
      <c r="J64" s="277"/>
      <c r="K64" s="275" t="s">
        <v>1059</v>
      </c>
      <c r="L64" s="277"/>
      <c r="M64" s="275" t="s">
        <v>1103</v>
      </c>
      <c r="N64" s="277"/>
      <c r="O64" s="275" t="s">
        <v>10</v>
      </c>
      <c r="P64" s="277"/>
      <c r="Q64" s="275" t="s">
        <v>1060</v>
      </c>
      <c r="R64" s="277"/>
      <c r="S64" s="277" t="s">
        <v>1061</v>
      </c>
      <c r="T64" s="277"/>
      <c r="U64" s="275" t="s">
        <v>1062</v>
      </c>
      <c r="V64" s="277"/>
      <c r="W64" s="275" t="s">
        <v>1058</v>
      </c>
      <c r="X64" s="277"/>
      <c r="Y64" s="275" t="s">
        <v>1059</v>
      </c>
      <c r="Z64" s="277"/>
      <c r="AA64" s="275" t="s">
        <v>10</v>
      </c>
      <c r="AB64" s="277"/>
      <c r="AC64" s="275" t="s">
        <v>1063</v>
      </c>
      <c r="AD64" s="277"/>
      <c r="AE64" s="277" t="s">
        <v>1064</v>
      </c>
    </row>
    <row r="65" spans="1:36" ht="21" customHeight="1">
      <c r="B65" s="278">
        <v>-1</v>
      </c>
      <c r="E65" s="279" t="s">
        <v>1065</v>
      </c>
      <c r="F65" s="277"/>
      <c r="G65" s="279" t="s">
        <v>1066</v>
      </c>
      <c r="H65" s="277"/>
      <c r="I65" s="279">
        <v>-4</v>
      </c>
      <c r="J65" s="277"/>
      <c r="K65" s="279">
        <v>-5</v>
      </c>
      <c r="L65" s="277"/>
      <c r="M65" s="279">
        <v>-6</v>
      </c>
      <c r="N65" s="277"/>
      <c r="O65" s="279">
        <v>-7</v>
      </c>
      <c r="P65" s="277"/>
      <c r="Q65" s="279">
        <v>-8</v>
      </c>
      <c r="R65" s="277"/>
      <c r="S65" s="279">
        <v>-9</v>
      </c>
      <c r="T65" s="277"/>
      <c r="U65" s="279">
        <v>-10</v>
      </c>
      <c r="V65" s="277"/>
      <c r="W65" s="279">
        <v>-11</v>
      </c>
      <c r="X65" s="277"/>
      <c r="Y65" s="279">
        <v>-12</v>
      </c>
      <c r="Z65" s="277"/>
      <c r="AA65" s="279">
        <v>-13</v>
      </c>
      <c r="AB65" s="277"/>
      <c r="AC65" s="280">
        <v>-14</v>
      </c>
      <c r="AD65" s="277"/>
      <c r="AE65" s="280">
        <v>-15</v>
      </c>
      <c r="AG65" s="281"/>
      <c r="AJ65" s="281"/>
    </row>
    <row r="66" spans="1:36" ht="21" customHeight="1">
      <c r="E66" s="282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75" t="s">
        <v>1726</v>
      </c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75" t="s">
        <v>1727</v>
      </c>
      <c r="AD66" s="282"/>
      <c r="AE66" s="275" t="s">
        <v>1728</v>
      </c>
    </row>
    <row r="67" spans="1:36">
      <c r="A67" s="294" t="s">
        <v>1089</v>
      </c>
      <c r="B67" s="266" t="s">
        <v>1090</v>
      </c>
      <c r="E67" s="282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77"/>
      <c r="R67" s="306"/>
      <c r="S67" s="282"/>
      <c r="T67" s="282"/>
      <c r="U67" s="282"/>
      <c r="V67" s="282"/>
      <c r="W67" s="282"/>
      <c r="X67" s="282"/>
      <c r="Y67" s="282"/>
      <c r="Z67" s="282"/>
      <c r="AA67" s="282"/>
      <c r="AB67" s="282"/>
      <c r="AC67" s="277"/>
      <c r="AD67" s="282"/>
      <c r="AE67" s="277"/>
    </row>
    <row r="68" spans="1:36" ht="21" customHeight="1">
      <c r="A68" s="294"/>
      <c r="B68" s="266" t="s">
        <v>1724</v>
      </c>
      <c r="E68" s="284">
        <v>644460744.94684672</v>
      </c>
      <c r="F68" s="284"/>
      <c r="G68" s="284">
        <v>9672932.1099999975</v>
      </c>
      <c r="H68" s="284"/>
      <c r="I68" s="284">
        <v>0</v>
      </c>
      <c r="J68" s="284"/>
      <c r="K68" s="284">
        <v>0</v>
      </c>
      <c r="L68" s="284"/>
      <c r="M68" s="284">
        <v>0</v>
      </c>
      <c r="N68" s="284"/>
      <c r="O68" s="284">
        <v>0</v>
      </c>
      <c r="P68" s="284"/>
      <c r="Q68" s="284">
        <v>634787812.83684671</v>
      </c>
      <c r="R68" s="307"/>
      <c r="S68" s="284">
        <f>'SCH B-5.2'!E13</f>
        <v>199342420.19595844</v>
      </c>
      <c r="T68" s="284"/>
      <c r="U68" s="284">
        <v>0</v>
      </c>
      <c r="V68" s="284"/>
      <c r="W68" s="284">
        <v>0</v>
      </c>
      <c r="X68" s="284"/>
      <c r="Y68" s="284">
        <v>0</v>
      </c>
      <c r="Z68" s="284"/>
      <c r="AA68" s="284">
        <v>0</v>
      </c>
      <c r="AB68" s="284"/>
      <c r="AC68" s="284">
        <f>S68-SUM(U68:AA68)</f>
        <v>199342420.19595844</v>
      </c>
      <c r="AD68" s="284"/>
      <c r="AE68" s="285">
        <f>+E68+S68</f>
        <v>843803165.1428051</v>
      </c>
    </row>
    <row r="69" spans="1:36" ht="13.5" customHeight="1">
      <c r="A69" s="294"/>
      <c r="E69" s="296"/>
      <c r="F69" s="287"/>
      <c r="G69" s="296"/>
      <c r="H69" s="287"/>
      <c r="I69" s="296"/>
      <c r="J69" s="287"/>
      <c r="K69" s="296"/>
      <c r="L69" s="287"/>
      <c r="M69" s="296"/>
      <c r="N69" s="287"/>
      <c r="P69" s="287"/>
      <c r="Q69" s="296"/>
      <c r="R69" s="308"/>
      <c r="S69" s="296"/>
      <c r="T69" s="287"/>
      <c r="U69" s="296"/>
      <c r="V69" s="287"/>
      <c r="W69" s="296"/>
      <c r="X69" s="287"/>
      <c r="Y69" s="296"/>
      <c r="Z69" s="287"/>
      <c r="AA69" s="296"/>
      <c r="AB69" s="287"/>
      <c r="AC69" s="296"/>
      <c r="AD69" s="287"/>
      <c r="AE69" s="296"/>
    </row>
    <row r="70" spans="1:36" ht="21" customHeight="1">
      <c r="A70" s="309" t="s">
        <v>1091</v>
      </c>
      <c r="B70" s="266" t="s">
        <v>1068</v>
      </c>
      <c r="E70" s="310"/>
      <c r="F70" s="288"/>
      <c r="G70" s="310"/>
      <c r="H70" s="288"/>
      <c r="I70" s="310"/>
      <c r="J70" s="288"/>
      <c r="K70" s="310"/>
      <c r="L70" s="288"/>
      <c r="M70" s="310"/>
      <c r="N70" s="288"/>
      <c r="P70" s="288"/>
      <c r="Q70" s="310"/>
      <c r="R70" s="310"/>
      <c r="S70" s="310"/>
      <c r="T70" s="288"/>
      <c r="U70" s="310"/>
      <c r="V70" s="288"/>
      <c r="W70" s="310"/>
      <c r="X70" s="288"/>
      <c r="Y70" s="310"/>
      <c r="Z70" s="288"/>
      <c r="AA70" s="310"/>
      <c r="AB70" s="288"/>
      <c r="AC70" s="310"/>
      <c r="AD70" s="288"/>
      <c r="AE70" s="289"/>
    </row>
    <row r="71" spans="1:36" ht="21" customHeight="1">
      <c r="A71" s="309" t="s">
        <v>1092</v>
      </c>
      <c r="B71" s="311" t="s">
        <v>1093</v>
      </c>
      <c r="C71" s="296"/>
      <c r="D71" s="296"/>
      <c r="E71" s="266">
        <v>55878693.589999996</v>
      </c>
      <c r="F71" s="296"/>
      <c r="G71" s="292">
        <v>0</v>
      </c>
      <c r="H71" s="296"/>
      <c r="I71" s="292">
        <v>0</v>
      </c>
      <c r="J71" s="296"/>
      <c r="K71" s="292">
        <v>0</v>
      </c>
      <c r="L71" s="296"/>
      <c r="M71" s="292">
        <v>0</v>
      </c>
      <c r="N71" s="296"/>
      <c r="O71" s="292">
        <v>0</v>
      </c>
      <c r="P71" s="296"/>
      <c r="Q71" s="266">
        <v>55878693.589999996</v>
      </c>
      <c r="R71" s="296"/>
      <c r="S71" s="312"/>
      <c r="T71" s="296"/>
      <c r="U71" s="312"/>
      <c r="V71" s="296"/>
      <c r="W71" s="312"/>
      <c r="X71" s="296"/>
      <c r="Y71" s="312"/>
      <c r="Z71" s="296"/>
      <c r="AA71" s="312"/>
      <c r="AB71" s="296"/>
      <c r="AC71" s="312"/>
      <c r="AD71" s="296"/>
      <c r="AE71" s="313">
        <f>+E71+S71</f>
        <v>55878693.589999996</v>
      </c>
    </row>
    <row r="72" spans="1:36" ht="21" customHeight="1">
      <c r="A72" s="309" t="s">
        <v>1094</v>
      </c>
      <c r="B72" s="311" t="s">
        <v>1095</v>
      </c>
      <c r="C72" s="296"/>
      <c r="D72" s="296"/>
      <c r="E72" s="295"/>
      <c r="F72" s="296"/>
      <c r="G72" s="295"/>
      <c r="H72" s="296"/>
      <c r="I72" s="295"/>
      <c r="J72" s="296"/>
      <c r="K72" s="295"/>
      <c r="L72" s="296"/>
      <c r="M72" s="295"/>
      <c r="N72" s="296"/>
      <c r="O72" s="295"/>
      <c r="P72" s="296"/>
      <c r="Q72" s="295"/>
      <c r="R72" s="296"/>
      <c r="S72" s="295">
        <f>'SCH B-5.2'!E15</f>
        <v>126163346.71621749</v>
      </c>
      <c r="T72" s="296"/>
      <c r="U72" s="314">
        <v>0</v>
      </c>
      <c r="V72" s="296"/>
      <c r="W72" s="314">
        <v>0</v>
      </c>
      <c r="X72" s="296"/>
      <c r="Y72" s="314">
        <v>0</v>
      </c>
      <c r="Z72" s="296"/>
      <c r="AA72" s="314">
        <v>0</v>
      </c>
      <c r="AB72" s="296"/>
      <c r="AC72" s="317">
        <f>S72-SUM(U72:AA72)</f>
        <v>126163346.71621749</v>
      </c>
      <c r="AD72" s="296"/>
      <c r="AE72" s="295">
        <f>E72+S72</f>
        <v>126163346.71621749</v>
      </c>
    </row>
    <row r="73" spans="1:36" ht="21" customHeight="1">
      <c r="A73" s="309" t="s">
        <v>1096</v>
      </c>
      <c r="B73" s="315" t="s">
        <v>1072</v>
      </c>
      <c r="C73" s="296"/>
      <c r="D73" s="296"/>
      <c r="E73" s="300">
        <v>55878693.589999996</v>
      </c>
      <c r="F73" s="296"/>
      <c r="G73" s="300">
        <v>0</v>
      </c>
      <c r="H73" s="296"/>
      <c r="I73" s="300">
        <v>0</v>
      </c>
      <c r="J73" s="296"/>
      <c r="K73" s="300">
        <v>0</v>
      </c>
      <c r="L73" s="296"/>
      <c r="M73" s="300">
        <v>0</v>
      </c>
      <c r="N73" s="296"/>
      <c r="O73" s="300">
        <v>0</v>
      </c>
      <c r="P73" s="296"/>
      <c r="Q73" s="300">
        <v>55878693.589999996</v>
      </c>
      <c r="R73" s="296"/>
      <c r="S73" s="300">
        <f>SUM(S71:S72)</f>
        <v>126163346.71621749</v>
      </c>
      <c r="T73" s="296"/>
      <c r="U73" s="300">
        <f>SUM(U71:U72)</f>
        <v>0</v>
      </c>
      <c r="V73" s="296"/>
      <c r="W73" s="300">
        <f>SUM(W71:W72)</f>
        <v>0</v>
      </c>
      <c r="X73" s="296"/>
      <c r="Y73" s="300">
        <f>SUM(Y71:Y72)</f>
        <v>0</v>
      </c>
      <c r="Z73" s="296"/>
      <c r="AA73" s="300">
        <f>SUM(AA71:AA72)</f>
        <v>0</v>
      </c>
      <c r="AB73" s="296"/>
      <c r="AC73" s="300">
        <f>SUM(AC71:AC72)</f>
        <v>126163346.71621749</v>
      </c>
      <c r="AD73" s="296"/>
      <c r="AE73" s="300">
        <f>SUM(AE71:AE72)</f>
        <v>182042040.30621749</v>
      </c>
    </row>
    <row r="74" spans="1:36" ht="12" customHeight="1">
      <c r="A74" s="309"/>
      <c r="B74" s="296"/>
      <c r="C74" s="296"/>
      <c r="D74" s="296"/>
      <c r="E74" s="296"/>
      <c r="F74" s="296"/>
      <c r="G74" s="296"/>
      <c r="H74" s="296"/>
      <c r="I74" s="296"/>
      <c r="J74" s="296"/>
      <c r="K74" s="296"/>
      <c r="L74" s="296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6"/>
      <c r="AD74" s="296"/>
      <c r="AE74" s="296"/>
    </row>
    <row r="75" spans="1:36" ht="24.75" customHeight="1" thickBot="1">
      <c r="A75" s="309" t="s">
        <v>1097</v>
      </c>
      <c r="B75" s="296" t="s">
        <v>1098</v>
      </c>
      <c r="C75" s="296"/>
      <c r="D75" s="296"/>
      <c r="E75" s="299">
        <v>588582051.35684669</v>
      </c>
      <c r="F75" s="296"/>
      <c r="G75" s="299">
        <v>9672932.1099999975</v>
      </c>
      <c r="H75" s="296"/>
      <c r="I75" s="299">
        <v>0</v>
      </c>
      <c r="J75" s="296"/>
      <c r="K75" s="299">
        <v>0</v>
      </c>
      <c r="L75" s="296"/>
      <c r="M75" s="299">
        <v>0</v>
      </c>
      <c r="N75" s="296"/>
      <c r="O75" s="299">
        <v>0</v>
      </c>
      <c r="P75" s="296"/>
      <c r="Q75" s="299">
        <v>578909119.24684668</v>
      </c>
      <c r="R75" s="296"/>
      <c r="S75" s="299">
        <f>+S68-S73</f>
        <v>73179073.479740947</v>
      </c>
      <c r="T75" s="296"/>
      <c r="U75" s="299">
        <f>+U68-U73</f>
        <v>0</v>
      </c>
      <c r="V75" s="296"/>
      <c r="W75" s="299">
        <f>+W68-W73</f>
        <v>0</v>
      </c>
      <c r="X75" s="296"/>
      <c r="Y75" s="299">
        <f>+Y68-Y73</f>
        <v>0</v>
      </c>
      <c r="Z75" s="296"/>
      <c r="AA75" s="299">
        <f>+AA68-AA73</f>
        <v>0</v>
      </c>
      <c r="AB75" s="296"/>
      <c r="AC75" s="299">
        <f>+AC68-AC73</f>
        <v>73179073.479740947</v>
      </c>
      <c r="AD75" s="296"/>
      <c r="AE75" s="299">
        <f>+AE68-AE73</f>
        <v>661761124.83658767</v>
      </c>
    </row>
    <row r="76" spans="1:36" ht="21" customHeight="1" thickTop="1">
      <c r="A76" s="309"/>
      <c r="B76" s="296"/>
      <c r="C76" s="296"/>
      <c r="D76" s="296"/>
      <c r="E76" s="296"/>
      <c r="F76" s="296"/>
      <c r="G76" s="296"/>
      <c r="H76" s="296"/>
      <c r="I76" s="296"/>
      <c r="J76" s="296"/>
      <c r="K76" s="296"/>
      <c r="L76" s="296"/>
      <c r="M76" s="296"/>
      <c r="N76" s="296"/>
      <c r="O76" s="296"/>
      <c r="P76" s="296"/>
      <c r="Q76" s="296"/>
      <c r="R76" s="296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</row>
    <row r="77" spans="1:36" ht="21" customHeight="1" thickBot="1">
      <c r="A77" s="309" t="s">
        <v>1099</v>
      </c>
      <c r="B77" s="296" t="s">
        <v>1100</v>
      </c>
      <c r="C77" s="296"/>
      <c r="D77" s="296"/>
      <c r="E77" s="316">
        <f>ROUND(+E75*0.125,0)</f>
        <v>73572756</v>
      </c>
      <c r="F77" s="296"/>
      <c r="G77" s="316">
        <f>ROUND(+G75*0.125,0)</f>
        <v>1209117</v>
      </c>
      <c r="H77" s="296"/>
      <c r="I77" s="316">
        <f>ROUND(+I75*0.125,0)</f>
        <v>0</v>
      </c>
      <c r="J77" s="296"/>
      <c r="K77" s="316">
        <f>ROUND(+K75*0.125,0)</f>
        <v>0</v>
      </c>
      <c r="L77" s="296"/>
      <c r="M77" s="316">
        <f>ROUND(+M75*0.125,0)</f>
        <v>0</v>
      </c>
      <c r="N77" s="296"/>
      <c r="O77" s="316">
        <f>ROUND(+O75*0.125,0)</f>
        <v>0</v>
      </c>
      <c r="P77" s="296"/>
      <c r="Q77" s="316">
        <f>ROUND(+Q75*0.125,0)</f>
        <v>72363640</v>
      </c>
      <c r="R77" s="296"/>
      <c r="S77" s="316">
        <f>ROUND(+S75*0.125,0)</f>
        <v>9147384</v>
      </c>
      <c r="T77" s="296"/>
      <c r="U77" s="316">
        <f>ROUND(+U75*0.125,0)</f>
        <v>0</v>
      </c>
      <c r="V77" s="296"/>
      <c r="W77" s="316">
        <f>ROUND(+W75*0.125,0)</f>
        <v>0</v>
      </c>
      <c r="X77" s="296"/>
      <c r="Y77" s="316">
        <f>ROUND(+Y75*0.125,0)</f>
        <v>0</v>
      </c>
      <c r="Z77" s="296"/>
      <c r="AA77" s="316">
        <f>ROUND(+AA75*0.125,0)</f>
        <v>0</v>
      </c>
      <c r="AB77" s="296"/>
      <c r="AC77" s="316">
        <f>ROUND(+AC75*0.125,0)</f>
        <v>9147384</v>
      </c>
      <c r="AD77" s="296"/>
      <c r="AE77" s="316">
        <f>+E77+S77</f>
        <v>82720140</v>
      </c>
    </row>
    <row r="78" spans="1:36" ht="16.5" thickTop="1">
      <c r="C78" s="296"/>
      <c r="D78" s="296"/>
    </row>
    <row r="79" spans="1:36">
      <c r="A79" s="309"/>
      <c r="B79" s="315"/>
      <c r="C79" s="296"/>
      <c r="D79" s="296"/>
      <c r="E79" s="296"/>
      <c r="F79" s="296"/>
      <c r="G79" s="300"/>
      <c r="H79" s="296"/>
      <c r="I79" s="300"/>
      <c r="J79" s="296"/>
      <c r="K79" s="300"/>
      <c r="L79" s="296"/>
      <c r="M79" s="300"/>
      <c r="N79" s="296"/>
      <c r="O79" s="300"/>
      <c r="P79" s="296"/>
      <c r="Q79" s="296"/>
      <c r="R79" s="296"/>
      <c r="S79" s="296"/>
      <c r="T79" s="296"/>
      <c r="U79" s="300"/>
      <c r="V79" s="296"/>
      <c r="W79" s="300"/>
      <c r="X79" s="296"/>
      <c r="Y79" s="300"/>
      <c r="Z79" s="296"/>
      <c r="AA79" s="300"/>
      <c r="AB79" s="296"/>
      <c r="AC79" s="296"/>
      <c r="AD79" s="296"/>
      <c r="AE79" s="296"/>
    </row>
    <row r="80" spans="1:36">
      <c r="A80" s="309"/>
      <c r="B80" s="315"/>
      <c r="C80" s="296"/>
      <c r="D80" s="296"/>
      <c r="E80" s="296"/>
      <c r="F80" s="296"/>
      <c r="G80" s="296"/>
      <c r="H80" s="296"/>
      <c r="I80" s="296"/>
      <c r="J80" s="296"/>
      <c r="K80" s="296"/>
      <c r="L80" s="296"/>
      <c r="M80" s="296"/>
      <c r="N80" s="296"/>
      <c r="O80" s="296"/>
      <c r="P80" s="296"/>
      <c r="Q80" s="296"/>
      <c r="R80" s="296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</row>
  </sheetData>
  <mergeCells count="4">
    <mergeCell ref="A7:AE7"/>
    <mergeCell ref="A57:AE57"/>
    <mergeCell ref="A59:AE59"/>
    <mergeCell ref="A60:AE60"/>
  </mergeCells>
  <printOptions horizontalCentered="1" gridLinesSet="0"/>
  <pageMargins left="0.5" right="0.5" top="1" bottom="0.5" header="0.75" footer="0.5"/>
  <pageSetup scale="37" orientation="landscape" r:id="rId1"/>
  <headerFooter alignWithMargins="0"/>
  <rowBreaks count="1" manualBreakCount="1">
    <brk id="52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M49"/>
  <sheetViews>
    <sheetView zoomScaleNormal="100" workbookViewId="0">
      <selection activeCell="M23" sqref="M23"/>
    </sheetView>
  </sheetViews>
  <sheetFormatPr defaultColWidth="9" defaultRowHeight="12.75"/>
  <cols>
    <col min="1" max="1" width="6" style="33" customWidth="1"/>
    <col min="2" max="2" width="7.6640625" style="33" customWidth="1"/>
    <col min="3" max="3" width="29.77734375" style="33" customWidth="1"/>
    <col min="4" max="4" width="14.109375" style="33" customWidth="1"/>
    <col min="5" max="6" width="16.109375" style="33" customWidth="1"/>
    <col min="7" max="7" width="15.33203125" style="33" customWidth="1"/>
    <col min="8" max="8" width="31.33203125" style="33" customWidth="1"/>
    <col min="9" max="9" width="1.6640625" style="33" customWidth="1"/>
    <col min="10" max="10" width="9" style="33"/>
    <col min="11" max="11" width="13.88671875" style="33" customWidth="1"/>
    <col min="12" max="12" width="9" style="33"/>
    <col min="13" max="13" width="11.44140625" style="33" customWidth="1"/>
    <col min="14" max="16384" width="9" style="33"/>
  </cols>
  <sheetData>
    <row r="1" spans="1:13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  <c r="G1" s="494"/>
      <c r="H1" s="494"/>
    </row>
    <row r="2" spans="1:13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  <c r="G2" s="494"/>
      <c r="H2" s="494"/>
    </row>
    <row r="3" spans="1:13" s="32" customFormat="1" ht="20.100000000000001" customHeight="1">
      <c r="A3" s="494" t="s">
        <v>102</v>
      </c>
      <c r="B3" s="494"/>
      <c r="C3" s="494"/>
      <c r="D3" s="494"/>
      <c r="E3" s="494"/>
      <c r="F3" s="494"/>
      <c r="G3" s="494"/>
      <c r="H3" s="494"/>
    </row>
    <row r="4" spans="1:13" s="32" customFormat="1" ht="20.100000000000001" customHeight="1">
      <c r="A4" s="494" t="str">
        <f>'Rate Case Constants'!C12</f>
        <v>AS OF FEBRUARY 28, 2017</v>
      </c>
      <c r="B4" s="494"/>
      <c r="C4" s="494"/>
      <c r="D4" s="494"/>
      <c r="E4" s="494"/>
      <c r="F4" s="494"/>
      <c r="G4" s="494"/>
      <c r="H4" s="494"/>
    </row>
    <row r="5" spans="1:13" s="32" customFormat="1" ht="20.100000000000001" customHeight="1">
      <c r="A5" s="48"/>
      <c r="B5" s="48"/>
      <c r="C5" s="48"/>
      <c r="D5" s="48"/>
      <c r="E5" s="48"/>
      <c r="F5" s="48"/>
      <c r="G5" s="48"/>
      <c r="H5" s="48"/>
    </row>
    <row r="6" spans="1:13" s="32" customFormat="1" ht="20.100000000000001" customHeight="1">
      <c r="A6" s="31" t="s">
        <v>31</v>
      </c>
      <c r="B6" s="31"/>
      <c r="G6" s="38"/>
      <c r="H6" s="38" t="s">
        <v>101</v>
      </c>
    </row>
    <row r="7" spans="1:13" s="32" customFormat="1" ht="20.100000000000001" customHeight="1">
      <c r="A7" s="32" t="str">
        <f>'Rate Case Constants'!C29</f>
        <v>TYPE OF FILING: __X__ ORIGINAL  _____ UPDATED  _____ REVISED</v>
      </c>
      <c r="G7" s="38"/>
      <c r="H7" s="38" t="s">
        <v>64</v>
      </c>
    </row>
    <row r="8" spans="1:13" s="32" customFormat="1" ht="20.100000000000001" customHeight="1">
      <c r="A8" s="31" t="s">
        <v>151</v>
      </c>
      <c r="B8" s="31"/>
      <c r="F8" s="31"/>
      <c r="G8" s="39"/>
      <c r="H8" s="39" t="str">
        <f>'Rate Case Constants'!C36</f>
        <v>WITNESS:   C. M. GARRETT</v>
      </c>
    </row>
    <row r="9" spans="1:13" s="32" customFormat="1" ht="20.100000000000001" customHeight="1"/>
    <row r="10" spans="1:13" ht="58.5" customHeight="1">
      <c r="A10" s="40" t="s">
        <v>29</v>
      </c>
      <c r="B10" s="40" t="s">
        <v>32</v>
      </c>
      <c r="C10" s="43" t="s">
        <v>33</v>
      </c>
      <c r="D10" s="40" t="s">
        <v>103</v>
      </c>
      <c r="E10" s="40" t="s">
        <v>104</v>
      </c>
      <c r="F10" s="40" t="s">
        <v>105</v>
      </c>
      <c r="G10" s="40" t="s">
        <v>106</v>
      </c>
      <c r="H10" s="40" t="s">
        <v>107</v>
      </c>
      <c r="K10" s="379"/>
    </row>
    <row r="11" spans="1:13" ht="23.1" customHeight="1">
      <c r="A11" s="44"/>
      <c r="B11" s="44"/>
      <c r="C11" s="45"/>
      <c r="D11" s="46" t="s">
        <v>40</v>
      </c>
      <c r="E11" s="46"/>
      <c r="F11" s="46" t="s">
        <v>40</v>
      </c>
      <c r="G11" s="46"/>
      <c r="H11" s="46"/>
      <c r="K11" s="390"/>
    </row>
    <row r="12" spans="1:13" ht="18.95" customHeight="1">
      <c r="A12" s="72">
        <v>1</v>
      </c>
      <c r="B12" s="342">
        <f>'SCH B-2.1 B'!B30</f>
        <v>358</v>
      </c>
      <c r="C12" s="31" t="str">
        <f>'SCH B-2.1 B'!C30</f>
        <v>ARO Cost Gas UG Store</v>
      </c>
      <c r="D12" s="343">
        <f>SUMIFS('FCPIS B'!$S$6:$S$50,'FCPIS B'!$E$6:$E$50,$J12,'FCPIS B'!$C$6:$C$50,$B12)*-1000</f>
        <v>-4432697.84</v>
      </c>
      <c r="E12" s="68">
        <v>1</v>
      </c>
      <c r="F12" s="343">
        <f t="shared" ref="F12:F16" si="0">D12*E12</f>
        <v>-4432697.84</v>
      </c>
      <c r="H12" s="32" t="s">
        <v>260</v>
      </c>
      <c r="J12" s="32" t="s">
        <v>1059</v>
      </c>
      <c r="K12" s="52"/>
      <c r="L12" s="52"/>
      <c r="M12" s="414"/>
    </row>
    <row r="13" spans="1:13" ht="18.95" customHeight="1">
      <c r="A13" s="184">
        <f>A12+1</f>
        <v>2</v>
      </c>
      <c r="B13" s="342">
        <f>'SCH B-2.1 B'!B36</f>
        <v>372</v>
      </c>
      <c r="C13" s="31" t="str">
        <f>'SCH B-2.1 B'!C36</f>
        <v>ARO Cost Gas Transmission</v>
      </c>
      <c r="D13" s="343">
        <f>SUMIFS('FCPIS B'!$S$6:$S$50,'FCPIS B'!$E$6:$E$50,$J13,'FCPIS B'!$C$6:$C$50,$B13)*-1000</f>
        <v>-2332004.91</v>
      </c>
      <c r="E13" s="68">
        <v>1</v>
      </c>
      <c r="F13" s="343">
        <f t="shared" si="0"/>
        <v>-2332004.91</v>
      </c>
      <c r="H13" s="32" t="s">
        <v>260</v>
      </c>
      <c r="J13" s="32" t="s">
        <v>1059</v>
      </c>
      <c r="K13" s="52"/>
      <c r="M13" s="414"/>
    </row>
    <row r="14" spans="1:13" ht="18.95" customHeight="1">
      <c r="A14" s="184">
        <f>A13+1</f>
        <v>3</v>
      </c>
      <c r="B14" s="342">
        <v>376</v>
      </c>
      <c r="C14" s="31" t="s">
        <v>609</v>
      </c>
      <c r="D14" s="343">
        <f>SUMIFS('FCPIS B'!$S$6:$S$50,'FCPIS B'!$E$6:$E$50,$J14,'FCPIS B'!$C$6:$C$50,$B14)*-1000</f>
        <v>-70172442.2299999</v>
      </c>
      <c r="E14" s="68">
        <v>1</v>
      </c>
      <c r="F14" s="343">
        <f t="shared" si="0"/>
        <v>-70172442.2299999</v>
      </c>
      <c r="H14" s="32" t="s">
        <v>784</v>
      </c>
      <c r="J14" s="32" t="s">
        <v>1062</v>
      </c>
      <c r="K14" s="52"/>
    </row>
    <row r="15" spans="1:13" ht="18.95" customHeight="1">
      <c r="A15" s="184">
        <f t="shared" ref="A15:A16" si="1">A14+1</f>
        <v>4</v>
      </c>
      <c r="B15" s="342">
        <v>380</v>
      </c>
      <c r="C15" s="31" t="s">
        <v>417</v>
      </c>
      <c r="D15" s="343">
        <f>SUMIFS('FCPIS B'!$S$6:$S$50,'FCPIS B'!$E$6:$E$50,$J15,'FCPIS B'!$C$6:$C$50,$B15)*-1000-'FCPIS B'!P201*-1000</f>
        <v>-157392551.77999997</v>
      </c>
      <c r="E15" s="68">
        <v>1</v>
      </c>
      <c r="F15" s="343">
        <f t="shared" si="0"/>
        <v>-157392551.77999997</v>
      </c>
      <c r="H15" s="32" t="s">
        <v>784</v>
      </c>
      <c r="J15" s="32" t="s">
        <v>1062</v>
      </c>
      <c r="K15" s="390"/>
    </row>
    <row r="16" spans="1:13" ht="18.95" customHeight="1">
      <c r="A16" s="184">
        <f t="shared" si="1"/>
        <v>5</v>
      </c>
      <c r="B16" s="342">
        <f>'SCH B-2.1 B'!B62</f>
        <v>388</v>
      </c>
      <c r="C16" s="31" t="str">
        <f>'SCH B-2.1 B'!C62</f>
        <v>ARO Cost Gas Distribution</v>
      </c>
      <c r="D16" s="343">
        <f>SUMIFS('FCPIS B'!$S$6:$S$50,'FCPIS B'!$E$6:$E$50,$J16,'FCPIS B'!$C$6:$C$50,$B16)*-1000</f>
        <v>-10475152.66</v>
      </c>
      <c r="E16" s="68">
        <v>1</v>
      </c>
      <c r="F16" s="343">
        <f t="shared" si="0"/>
        <v>-10475152.66</v>
      </c>
      <c r="H16" s="32" t="s">
        <v>260</v>
      </c>
      <c r="J16" s="32" t="s">
        <v>1059</v>
      </c>
      <c r="K16" s="52"/>
    </row>
    <row r="17" spans="1:13" ht="18.95" customHeight="1">
      <c r="A17" s="72"/>
      <c r="B17" s="342"/>
      <c r="C17" s="31"/>
      <c r="D17" s="343"/>
      <c r="E17" s="68"/>
      <c r="F17" s="343"/>
      <c r="H17" s="32"/>
      <c r="K17" s="52"/>
    </row>
    <row r="18" spans="1:13" ht="18.95" customHeight="1" thickBot="1">
      <c r="A18" s="437">
        <f>A16+1</f>
        <v>6</v>
      </c>
      <c r="B18" s="342"/>
      <c r="C18" s="31" t="s">
        <v>785</v>
      </c>
      <c r="D18" s="344">
        <f>SUM(D12:D17)</f>
        <v>-244804849.41999987</v>
      </c>
      <c r="E18" s="68"/>
      <c r="F18" s="344">
        <f>SUM(F12:F17)</f>
        <v>-244804849.41999987</v>
      </c>
      <c r="H18" s="32"/>
      <c r="K18" s="52"/>
    </row>
    <row r="19" spans="1:13" ht="18.95" customHeight="1" thickTop="1">
      <c r="B19" s="35"/>
      <c r="D19" s="50"/>
    </row>
    <row r="20" spans="1:13" s="32" customFormat="1" ht="20.100000000000001" customHeight="1">
      <c r="A20" s="494" t="str">
        <f>$A$1</f>
        <v>LOUISVILLE GAS AND ELECTRIC COMPANY</v>
      </c>
      <c r="B20" s="494"/>
      <c r="C20" s="494"/>
      <c r="D20" s="494"/>
      <c r="E20" s="494"/>
      <c r="F20" s="494"/>
      <c r="G20" s="494"/>
      <c r="H20" s="494"/>
    </row>
    <row r="21" spans="1:13" s="32" customFormat="1" ht="20.100000000000001" customHeight="1">
      <c r="A21" s="494" t="str">
        <f>$A$2</f>
        <v>CASE NO. 2016-00371 - GAS OPERATIONS</v>
      </c>
      <c r="B21" s="494"/>
      <c r="C21" s="494"/>
      <c r="D21" s="494"/>
      <c r="E21" s="494"/>
      <c r="F21" s="494"/>
      <c r="G21" s="494"/>
      <c r="H21" s="494"/>
    </row>
    <row r="22" spans="1:13" s="32" customFormat="1" ht="20.100000000000001" customHeight="1">
      <c r="A22" s="494" t="str">
        <f>$A$3</f>
        <v>PROPOSED ADJUSTMENTS TO PLANT IN SERVICE</v>
      </c>
      <c r="B22" s="494"/>
      <c r="C22" s="494"/>
      <c r="D22" s="494"/>
      <c r="E22" s="494"/>
      <c r="F22" s="494"/>
      <c r="G22" s="494"/>
      <c r="H22" s="494"/>
    </row>
    <row r="23" spans="1:13" s="32" customFormat="1" ht="20.100000000000001" customHeight="1">
      <c r="A23" s="494" t="str">
        <f>'Rate Case Constants'!C18</f>
        <v>AS OF JUNE 30, 2018</v>
      </c>
      <c r="B23" s="494"/>
      <c r="C23" s="494"/>
      <c r="D23" s="494"/>
      <c r="E23" s="494"/>
      <c r="F23" s="494"/>
      <c r="G23" s="494"/>
      <c r="H23" s="494"/>
    </row>
    <row r="24" spans="1:13" s="32" customFormat="1" ht="20.100000000000001" customHeight="1">
      <c r="A24" s="48"/>
      <c r="B24" s="48"/>
      <c r="C24" s="48"/>
      <c r="D24" s="48"/>
      <c r="E24" s="48"/>
      <c r="F24" s="48"/>
      <c r="G24" s="48"/>
      <c r="H24" s="48"/>
    </row>
    <row r="25" spans="1:13" s="32" customFormat="1" ht="20.100000000000001" customHeight="1">
      <c r="A25" s="31" t="s">
        <v>48</v>
      </c>
      <c r="B25" s="31"/>
      <c r="G25" s="38"/>
      <c r="H25" s="38" t="s">
        <v>101</v>
      </c>
    </row>
    <row r="26" spans="1:13" s="32" customFormat="1" ht="20.100000000000001" customHeight="1">
      <c r="A26" s="31" t="str">
        <f>$A$7</f>
        <v>TYPE OF FILING: __X__ ORIGINAL  _____ UPDATED  _____ REVISED</v>
      </c>
      <c r="G26" s="38"/>
      <c r="H26" s="38" t="s">
        <v>72</v>
      </c>
    </row>
    <row r="27" spans="1:13" s="32" customFormat="1" ht="20.100000000000001" customHeight="1">
      <c r="A27" s="31" t="str">
        <f>$A$8</f>
        <v>WORKPAPER REFERENCE NO(S).:</v>
      </c>
      <c r="B27" s="31"/>
      <c r="F27" s="31"/>
      <c r="G27" s="39"/>
      <c r="H27" s="39" t="str">
        <f>$H$8</f>
        <v>WITNESS:   C. M. GARRETT</v>
      </c>
    </row>
    <row r="28" spans="1:13" s="32" customFormat="1" ht="20.100000000000001" customHeight="1"/>
    <row r="29" spans="1:13" ht="58.5" customHeight="1">
      <c r="A29" s="40" t="s">
        <v>29</v>
      </c>
      <c r="B29" s="40" t="s">
        <v>32</v>
      </c>
      <c r="C29" s="43" t="s">
        <v>33</v>
      </c>
      <c r="D29" s="40" t="s">
        <v>103</v>
      </c>
      <c r="E29" s="40" t="s">
        <v>104</v>
      </c>
      <c r="F29" s="40" t="s">
        <v>105</v>
      </c>
      <c r="G29" s="40" t="s">
        <v>106</v>
      </c>
      <c r="H29" s="40" t="s">
        <v>107</v>
      </c>
      <c r="K29" s="379"/>
    </row>
    <row r="30" spans="1:13" ht="23.1" customHeight="1">
      <c r="A30" s="44"/>
      <c r="B30" s="44"/>
      <c r="C30" s="45"/>
      <c r="D30" s="46" t="s">
        <v>40</v>
      </c>
      <c r="E30" s="46"/>
      <c r="F30" s="46" t="s">
        <v>40</v>
      </c>
      <c r="G30" s="46"/>
      <c r="H30" s="46"/>
      <c r="K30" s="390"/>
    </row>
    <row r="31" spans="1:13" ht="18.95" customHeight="1">
      <c r="A31" s="184">
        <v>1</v>
      </c>
      <c r="B31" s="342">
        <v>358</v>
      </c>
      <c r="C31" s="31" t="s">
        <v>606</v>
      </c>
      <c r="D31" s="343">
        <f>SUMIFS('FCPIS F'!$T$6:$T$50,'FCPIS F'!$E$6:$E$50,$J31,'FCPIS F'!$C$6:$C$50,$B31)*-1000</f>
        <v>-4432697.84</v>
      </c>
      <c r="E31" s="68">
        <v>1</v>
      </c>
      <c r="F31" s="343">
        <f t="shared" ref="F31:F35" si="2">D31*E31</f>
        <v>-4432697.84</v>
      </c>
      <c r="H31" s="32" t="s">
        <v>260</v>
      </c>
      <c r="J31" s="32" t="s">
        <v>1059</v>
      </c>
      <c r="K31" s="52"/>
      <c r="L31" s="52"/>
      <c r="M31" s="414"/>
    </row>
    <row r="32" spans="1:13" ht="18.95" customHeight="1">
      <c r="A32" s="184">
        <f>A31+1</f>
        <v>2</v>
      </c>
      <c r="B32" s="342">
        <v>372</v>
      </c>
      <c r="C32" s="31" t="s">
        <v>611</v>
      </c>
      <c r="D32" s="343">
        <f>SUMIFS('FCPIS F'!$T$6:$T$50,'FCPIS F'!$E$6:$E$50,$J32,'FCPIS F'!$C$6:$C$50,$B32)*-1000</f>
        <v>-2332004.91</v>
      </c>
      <c r="E32" s="68">
        <v>1</v>
      </c>
      <c r="F32" s="343">
        <f t="shared" si="2"/>
        <v>-2332004.91</v>
      </c>
      <c r="H32" s="32" t="s">
        <v>260</v>
      </c>
      <c r="J32" s="32" t="s">
        <v>1059</v>
      </c>
      <c r="K32" s="52"/>
      <c r="M32" s="414"/>
    </row>
    <row r="33" spans="1:11" ht="18.95" customHeight="1">
      <c r="A33" s="184">
        <f>A32+1</f>
        <v>3</v>
      </c>
      <c r="B33" s="342">
        <v>376</v>
      </c>
      <c r="C33" s="31" t="s">
        <v>609</v>
      </c>
      <c r="D33" s="343">
        <f>SUMIFS('FCPIS F'!$T$6:$T$50,'FCPIS F'!$E$6:$E$50,$J33,'FCPIS F'!$C$6:$C$50,$B33)*-1000</f>
        <v>-6897546.1792307328</v>
      </c>
      <c r="E33" s="68">
        <v>1</v>
      </c>
      <c r="F33" s="343">
        <f t="shared" si="2"/>
        <v>-6897546.1792307328</v>
      </c>
      <c r="H33" s="32" t="s">
        <v>784</v>
      </c>
      <c r="J33" s="32" t="s">
        <v>1062</v>
      </c>
      <c r="K33" s="52"/>
    </row>
    <row r="34" spans="1:11" ht="18.95" customHeight="1">
      <c r="A34" s="184">
        <f t="shared" ref="A34:A35" si="3">A33+1</f>
        <v>4</v>
      </c>
      <c r="B34" s="342">
        <v>380</v>
      </c>
      <c r="C34" s="31" t="s">
        <v>417</v>
      </c>
      <c r="D34" s="343">
        <f>SUMIFS('FCPIS F'!$T$6:$T$50,'FCPIS F'!$E$6:$E$50,$J34,'FCPIS F'!$C$6:$C$50,$B34)*-1000</f>
        <v>-14023554.754615385</v>
      </c>
      <c r="E34" s="68">
        <v>1</v>
      </c>
      <c r="F34" s="343">
        <f t="shared" si="2"/>
        <v>-14023554.754615385</v>
      </c>
      <c r="H34" s="32" t="s">
        <v>784</v>
      </c>
      <c r="J34" s="32" t="s">
        <v>1062</v>
      </c>
      <c r="K34" s="390"/>
    </row>
    <row r="35" spans="1:11" ht="18.95" customHeight="1">
      <c r="A35" s="184">
        <f t="shared" si="3"/>
        <v>5</v>
      </c>
      <c r="B35" s="342">
        <v>388</v>
      </c>
      <c r="C35" s="31" t="s">
        <v>617</v>
      </c>
      <c r="D35" s="343">
        <f>SUMIFS('FCPIS F'!$T$6:$T$50,'FCPIS F'!$E$6:$E$50,$J35,'FCPIS F'!$C$6:$C$50,$B35)*-1000</f>
        <v>-10475152.659999996</v>
      </c>
      <c r="E35" s="68">
        <v>1</v>
      </c>
      <c r="F35" s="343">
        <f t="shared" si="2"/>
        <v>-10475152.659999996</v>
      </c>
      <c r="H35" s="32" t="s">
        <v>260</v>
      </c>
      <c r="J35" s="32" t="s">
        <v>1059</v>
      </c>
      <c r="K35" s="52"/>
    </row>
    <row r="36" spans="1:11" ht="18.95" customHeight="1">
      <c r="A36" s="184"/>
      <c r="B36" s="342"/>
      <c r="C36" s="31"/>
      <c r="D36" s="343"/>
      <c r="E36" s="68"/>
      <c r="F36" s="343"/>
      <c r="H36" s="32"/>
      <c r="K36" s="52"/>
    </row>
    <row r="37" spans="1:11" ht="18.95" customHeight="1" thickBot="1">
      <c r="A37" s="184">
        <f>A35+1</f>
        <v>6</v>
      </c>
      <c r="B37" s="342"/>
      <c r="C37" s="31" t="s">
        <v>785</v>
      </c>
      <c r="D37" s="344">
        <f>SUM(D31:D36)</f>
        <v>-38160956.343846112</v>
      </c>
      <c r="E37" s="68"/>
      <c r="F37" s="344">
        <f>SUM(F31:F36)</f>
        <v>-38160956.343846112</v>
      </c>
      <c r="H37" s="32"/>
      <c r="K37" s="52"/>
    </row>
    <row r="38" spans="1:11" ht="18.95" customHeight="1" thickTop="1">
      <c r="A38" s="184"/>
      <c r="B38" s="35"/>
      <c r="C38" s="42"/>
      <c r="D38" s="52"/>
      <c r="E38" s="62"/>
      <c r="F38" s="52"/>
      <c r="H38" s="77"/>
    </row>
    <row r="39" spans="1:11" ht="18.95" customHeight="1"/>
    <row r="40" spans="1:11" ht="18.95" customHeight="1"/>
    <row r="41" spans="1:11" ht="18.95" customHeight="1"/>
    <row r="42" spans="1:11" ht="18.95" customHeight="1"/>
    <row r="43" spans="1:11" ht="18.95" customHeight="1"/>
    <row r="44" spans="1:11" ht="18.95" customHeight="1"/>
    <row r="45" spans="1:11" ht="18.95" customHeight="1"/>
    <row r="46" spans="1:11" ht="18.95" customHeight="1"/>
    <row r="47" spans="1:11" ht="18.95" customHeight="1"/>
    <row r="48" spans="1:11" ht="18.95" customHeight="1"/>
    <row r="49" ht="18.95" customHeight="1"/>
  </sheetData>
  <mergeCells count="8">
    <mergeCell ref="A22:H22"/>
    <mergeCell ref="A23:H23"/>
    <mergeCell ref="A1:H1"/>
    <mergeCell ref="A2:H2"/>
    <mergeCell ref="A3:H3"/>
    <mergeCell ref="A4:H4"/>
    <mergeCell ref="A20:H20"/>
    <mergeCell ref="A21:H21"/>
  </mergeCells>
  <pageMargins left="0.95" right="0.5" top="0.75" bottom="0.75" header="0.3" footer="0.3"/>
  <pageSetup scale="61" fitToHeight="0" orientation="portrait" r:id="rId1"/>
  <rowBreaks count="1" manualBreakCount="1">
    <brk id="1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H124"/>
  <sheetViews>
    <sheetView zoomScaleNormal="100" workbookViewId="0">
      <selection sqref="A1:H1"/>
    </sheetView>
  </sheetViews>
  <sheetFormatPr defaultColWidth="9" defaultRowHeight="12.75"/>
  <cols>
    <col min="1" max="1" width="6" style="33" customWidth="1"/>
    <col min="2" max="2" width="10.6640625" style="33" customWidth="1"/>
    <col min="3" max="3" width="38.33203125" style="33" customWidth="1"/>
    <col min="4" max="8" width="13.6640625" style="33" customWidth="1"/>
    <col min="9" max="9" width="1.6640625" style="33" customWidth="1"/>
    <col min="10" max="16384" width="9" style="33"/>
  </cols>
  <sheetData>
    <row r="1" spans="1:8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  <c r="G1" s="494"/>
      <c r="H1" s="494"/>
    </row>
    <row r="2" spans="1:8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  <c r="G2" s="494"/>
      <c r="H2" s="494"/>
    </row>
    <row r="3" spans="1:8" s="32" customFormat="1" ht="20.100000000000001" customHeight="1">
      <c r="A3" s="494" t="s">
        <v>30</v>
      </c>
      <c r="B3" s="494"/>
      <c r="C3" s="494"/>
      <c r="D3" s="494"/>
      <c r="E3" s="494"/>
      <c r="F3" s="494"/>
      <c r="G3" s="494"/>
      <c r="H3" s="494"/>
    </row>
    <row r="4" spans="1:8" s="32" customFormat="1" ht="20.100000000000001" customHeight="1">
      <c r="A4" s="494" t="str">
        <f>'Rate Case Constants'!C14</f>
        <v>FROM MARCH 1, 2016 TO FEBRUARY 28, 2017</v>
      </c>
      <c r="B4" s="494"/>
      <c r="C4" s="494"/>
      <c r="D4" s="494"/>
      <c r="E4" s="494"/>
      <c r="F4" s="494"/>
      <c r="G4" s="494"/>
      <c r="H4" s="494"/>
    </row>
    <row r="5" spans="1:8" s="32" customFormat="1" ht="20.100000000000001" customHeight="1">
      <c r="A5" s="47"/>
      <c r="B5" s="47"/>
      <c r="C5" s="47"/>
      <c r="D5" s="47"/>
      <c r="E5" s="47"/>
      <c r="F5" s="47"/>
      <c r="G5" s="47"/>
      <c r="H5" s="47"/>
    </row>
    <row r="6" spans="1:8" s="32" customFormat="1" ht="20.100000000000001" customHeight="1">
      <c r="A6" s="31" t="s">
        <v>31</v>
      </c>
      <c r="B6" s="31"/>
      <c r="G6" s="38"/>
      <c r="H6" s="38" t="s">
        <v>37</v>
      </c>
    </row>
    <row r="7" spans="1:8" s="32" customFormat="1" ht="20.100000000000001" customHeight="1">
      <c r="A7" s="32" t="str">
        <f>'Rate Case Constants'!C29</f>
        <v>TYPE OF FILING: __X__ ORIGINAL  _____ UPDATED  _____ REVISED</v>
      </c>
      <c r="G7" s="38"/>
      <c r="H7" s="38" t="s">
        <v>60</v>
      </c>
    </row>
    <row r="8" spans="1:8" s="32" customFormat="1" ht="20.100000000000001" customHeight="1">
      <c r="A8" s="31" t="s">
        <v>151</v>
      </c>
      <c r="B8" s="31"/>
      <c r="F8" s="31"/>
      <c r="G8" s="39"/>
      <c r="H8" s="39" t="str">
        <f>'Rate Case Constants'!C36</f>
        <v>WITNESS:   C. M. GARRETT</v>
      </c>
    </row>
    <row r="9" spans="1:8" s="32" customFormat="1" ht="20.100000000000001" customHeight="1"/>
    <row r="10" spans="1:8" ht="58.5" customHeight="1">
      <c r="A10" s="40" t="s">
        <v>29</v>
      </c>
      <c r="B10" s="40" t="s">
        <v>32</v>
      </c>
      <c r="C10" s="43" t="s">
        <v>33</v>
      </c>
      <c r="D10" s="40" t="s">
        <v>34</v>
      </c>
      <c r="E10" s="40" t="s">
        <v>35</v>
      </c>
      <c r="F10" s="40" t="s">
        <v>36</v>
      </c>
      <c r="G10" s="40" t="s">
        <v>38</v>
      </c>
      <c r="H10" s="40" t="s">
        <v>39</v>
      </c>
    </row>
    <row r="11" spans="1:8" ht="23.1" customHeight="1">
      <c r="A11" s="44"/>
      <c r="B11" s="44"/>
      <c r="C11" s="45"/>
      <c r="D11" s="46" t="s">
        <v>40</v>
      </c>
      <c r="E11" s="46" t="s">
        <v>40</v>
      </c>
      <c r="F11" s="46" t="s">
        <v>40</v>
      </c>
      <c r="G11" s="46" t="s">
        <v>40</v>
      </c>
      <c r="H11" s="46" t="s">
        <v>40</v>
      </c>
    </row>
    <row r="12" spans="1:8" ht="23.1" customHeight="1">
      <c r="A12" s="37">
        <v>1</v>
      </c>
      <c r="B12" s="37"/>
      <c r="C12" s="49" t="s">
        <v>571</v>
      </c>
      <c r="D12" s="41"/>
      <c r="E12" s="41"/>
      <c r="F12" s="41"/>
      <c r="G12" s="41"/>
      <c r="H12" s="41"/>
    </row>
    <row r="13" spans="1:8" ht="18.95" customHeight="1">
      <c r="A13" s="34">
        <f>A12+1</f>
        <v>2</v>
      </c>
      <c r="B13" s="35" t="s">
        <v>411</v>
      </c>
      <c r="C13" s="42" t="s">
        <v>412</v>
      </c>
      <c r="D13" s="50">
        <f>SUMIFS('PIS B'!$D$11:$D$112,'PIS B'!$A$11:$A$112,$B$65,'PIS B'!$B$11:$B$112,'SCH B-2.3 B'!$B13)</f>
        <v>0</v>
      </c>
      <c r="E13" s="50">
        <f>SUMIFS('PIS B'!$F$11:$F$112,'PIS B'!$A$11:$A$112,$B$65,'PIS B'!$B$11:$B$112,'SCH B-2.3 B'!$B13)</f>
        <v>0</v>
      </c>
      <c r="F13" s="50">
        <f>SUMIFS('PIS B'!$H$11:$H$112,'PIS B'!$A$11:$A$112,$B$65,'PIS B'!$B$11:$B$112,'SCH B-2.3 B'!$B13)</f>
        <v>0</v>
      </c>
      <c r="G13" s="50">
        <f>SUMIFS('PIS B'!$J$11:$J$112,'PIS B'!$A$11:$A$112,$B$65,'PIS B'!$B$11:$B$112,'SCH B-2.3 B'!$B13)</f>
        <v>0</v>
      </c>
      <c r="H13" s="50">
        <f>SUM(D13:G13)</f>
        <v>0</v>
      </c>
    </row>
    <row r="14" spans="1:8" ht="18.95" customHeight="1">
      <c r="A14" s="34">
        <f t="shared" ref="A14:A63" si="0">A13+1</f>
        <v>3</v>
      </c>
      <c r="B14" s="35" t="s">
        <v>413</v>
      </c>
      <c r="C14" s="42" t="s">
        <v>414</v>
      </c>
      <c r="D14" s="50">
        <f>SUMIFS('PIS B'!$D$11:$D$112,'PIS B'!$A$11:$A$112,$B$65,'PIS B'!$B$11:$B$112,'SCH B-2.3 B'!$B14)</f>
        <v>387.49</v>
      </c>
      <c r="E14" s="50">
        <f>SUMIFS('PIS B'!$F$11:$F$112,'PIS B'!$A$11:$A$112,$B$65,'PIS B'!$B$11:$B$112,'SCH B-2.3 B'!$B14)</f>
        <v>0</v>
      </c>
      <c r="F14" s="51">
        <f>SUMIFS('PIS B'!$H$11:$H$112,'PIS B'!$A$11:$A$112,$B$65,'PIS B'!$B$11:$B$112,'SCH B-2.3 B'!$B14)</f>
        <v>0</v>
      </c>
      <c r="G14" s="51">
        <f>SUMIFS('PIS B'!$J$11:$J$112,'PIS B'!$A$11:$A$112,$B$65,'PIS B'!$B$11:$B$112,'SCH B-2.3 B'!$B14)</f>
        <v>0</v>
      </c>
      <c r="H14" s="51">
        <f t="shared" ref="H14:H15" si="1">SUM(D14:G14)</f>
        <v>387.49</v>
      </c>
    </row>
    <row r="15" spans="1:8" ht="18.95" customHeight="1">
      <c r="A15" s="34">
        <f t="shared" si="0"/>
        <v>4</v>
      </c>
      <c r="B15" s="35" t="s">
        <v>415</v>
      </c>
      <c r="C15" s="42" t="s">
        <v>416</v>
      </c>
      <c r="D15" s="53">
        <f>SUMIFS('PIS B'!$D$11:$D$112,'PIS B'!$A$11:$A$112,$B$65,'PIS B'!$B$11:$B$112,'SCH B-2.3 B'!$B15)</f>
        <v>0</v>
      </c>
      <c r="E15" s="53">
        <f>SUMIFS('PIS B'!$F$11:$F$112,'PIS B'!$A$11:$A$112,$B$65,'PIS B'!$B$11:$B$112,'SCH B-2.3 B'!$B15)</f>
        <v>0</v>
      </c>
      <c r="F15" s="53">
        <f>SUMIFS('PIS B'!$H$11:$H$112,'PIS B'!$A$11:$A$112,$B$65,'PIS B'!$B$11:$B$112,'SCH B-2.3 B'!$B15)</f>
        <v>0</v>
      </c>
      <c r="G15" s="53">
        <f>SUMIFS('PIS B'!$J$11:$J$112,'PIS B'!$A$11:$A$112,$B$65,'PIS B'!$B$11:$B$112,'SCH B-2.3 B'!$B15)</f>
        <v>0</v>
      </c>
      <c r="H15" s="53">
        <f t="shared" si="1"/>
        <v>0</v>
      </c>
    </row>
    <row r="16" spans="1:8" ht="18.95" customHeight="1">
      <c r="A16" s="34">
        <f t="shared" si="0"/>
        <v>5</v>
      </c>
      <c r="B16" s="34"/>
      <c r="C16" s="42" t="s">
        <v>41</v>
      </c>
      <c r="D16" s="50">
        <f>SUM(D13:D15)</f>
        <v>387.49</v>
      </c>
      <c r="E16" s="50">
        <f>SUM(E13:E15)</f>
        <v>0</v>
      </c>
      <c r="F16" s="50">
        <f>SUM(F13:F15)</f>
        <v>0</v>
      </c>
      <c r="G16" s="50">
        <f>SUM(G13:G15)</f>
        <v>0</v>
      </c>
      <c r="H16" s="50">
        <f>SUM(H13:H15)</f>
        <v>387.49</v>
      </c>
    </row>
    <row r="17" spans="1:8" ht="18.95" customHeight="1">
      <c r="A17" s="34"/>
      <c r="B17" s="34"/>
      <c r="D17" s="36"/>
      <c r="E17" s="36"/>
      <c r="F17" s="36"/>
      <c r="G17" s="36"/>
      <c r="H17" s="36"/>
    </row>
    <row r="18" spans="1:8" ht="18.95" customHeight="1">
      <c r="A18" s="34">
        <f>A16+1</f>
        <v>6</v>
      </c>
      <c r="B18" s="34"/>
      <c r="C18" s="54" t="s">
        <v>572</v>
      </c>
      <c r="D18" s="36"/>
      <c r="E18" s="36"/>
      <c r="F18" s="36"/>
      <c r="G18" s="36"/>
      <c r="H18" s="36"/>
    </row>
    <row r="19" spans="1:8" ht="18.95" customHeight="1">
      <c r="A19" s="34">
        <f t="shared" si="0"/>
        <v>7</v>
      </c>
      <c r="B19" s="35">
        <v>350</v>
      </c>
      <c r="C19" s="42" t="s">
        <v>43</v>
      </c>
      <c r="D19" s="52">
        <f>SUMIFS('PIS B'!$D$11:$D$112,'PIS B'!$B$11:$B$112,'SCH B-2.3 B'!$B19)</f>
        <v>137733.56</v>
      </c>
      <c r="E19" s="52">
        <f>SUMIFS('PIS B'!$F$11:$F$112,'PIS B'!$B$11:$B$112,'SCH B-2.3 B'!$B19)</f>
        <v>0</v>
      </c>
      <c r="F19" s="52">
        <f>SUMIFS('PIS B'!$H$11:$H$112,'PIS B'!$B$11:$B$112,'SCH B-2.3 B'!$B19)</f>
        <v>0</v>
      </c>
      <c r="G19" s="52">
        <f>SUMIFS('PIS B'!$J$11:$J$112,'PIS B'!$B$11:$B$112,'SCH B-2.3 B'!$B19)</f>
        <v>-3657</v>
      </c>
      <c r="H19" s="52">
        <f t="shared" ref="H19:H30" si="2">SUM(D19:G19)</f>
        <v>134076.56</v>
      </c>
    </row>
    <row r="20" spans="1:8" ht="18" customHeight="1">
      <c r="A20" s="34">
        <f t="shared" si="0"/>
        <v>8</v>
      </c>
      <c r="B20" s="35">
        <v>351</v>
      </c>
      <c r="C20" s="42" t="s">
        <v>42</v>
      </c>
      <c r="D20" s="52">
        <f>SUMIFS('PIS B'!$D$11:$D$112,'PIS B'!$B$11:$B$112,'SCH B-2.3 B'!$B20)</f>
        <v>14937157.23</v>
      </c>
      <c r="E20" s="52">
        <f>SUMIFS('PIS B'!$F$11:$F$112,'PIS B'!$B$11:$B$112,'SCH B-2.3 B'!$B20)</f>
        <v>838176.84999999986</v>
      </c>
      <c r="F20" s="52">
        <f>SUMIFS('PIS B'!$H$11:$H$112,'PIS B'!$B$11:$B$112,'SCH B-2.3 B'!$B20)</f>
        <v>-8207.67</v>
      </c>
      <c r="G20" s="52">
        <f>SUMIFS('PIS B'!$J$11:$J$112,'PIS B'!$B$11:$B$112,'SCH B-2.3 B'!$B20)</f>
        <v>0</v>
      </c>
      <c r="H20" s="52">
        <f t="shared" si="2"/>
        <v>15767126.41</v>
      </c>
    </row>
    <row r="21" spans="1:8" ht="18.95" customHeight="1">
      <c r="A21" s="34">
        <f t="shared" si="0"/>
        <v>9</v>
      </c>
      <c r="B21" s="35">
        <v>352</v>
      </c>
      <c r="C21" s="42" t="s">
        <v>597</v>
      </c>
      <c r="D21" s="52">
        <f>SUMIFS('PIS B'!$D$11:$D$112,'PIS B'!$B$11:$B$112,'SCH B-2.3 B'!$B21)</f>
        <v>19130528.169999901</v>
      </c>
      <c r="E21" s="52">
        <f>SUMIFS('PIS B'!$F$11:$F$112,'PIS B'!$B$11:$B$112,'SCH B-2.3 B'!$B21)</f>
        <v>1015135.2000000001</v>
      </c>
      <c r="F21" s="52">
        <f>SUMIFS('PIS B'!$H$11:$H$112,'PIS B'!$B$11:$B$112,'SCH B-2.3 B'!$B21)</f>
        <v>0</v>
      </c>
      <c r="G21" s="52">
        <f>SUMIFS('PIS B'!$J$11:$J$112,'PIS B'!$B$11:$B$112,'SCH B-2.3 B'!$B21)</f>
        <v>0</v>
      </c>
      <c r="H21" s="52">
        <f t="shared" si="2"/>
        <v>20145663.3699999</v>
      </c>
    </row>
    <row r="22" spans="1:8" ht="18.95" customHeight="1">
      <c r="A22" s="34">
        <f t="shared" si="0"/>
        <v>10</v>
      </c>
      <c r="B22" s="35">
        <v>352.1</v>
      </c>
      <c r="C22" s="42" t="s">
        <v>598</v>
      </c>
      <c r="D22" s="52">
        <f>SUMIFS('PIS B'!$D$11:$D$112,'PIS B'!$B$11:$B$112,'SCH B-2.3 B'!$B22)</f>
        <v>548241.14</v>
      </c>
      <c r="E22" s="52">
        <f>SUMIFS('PIS B'!$F$11:$F$112,'PIS B'!$B$11:$B$112,'SCH B-2.3 B'!$B22)</f>
        <v>0</v>
      </c>
      <c r="F22" s="52">
        <f>SUMIFS('PIS B'!$H$11:$H$112,'PIS B'!$B$11:$B$112,'SCH B-2.3 B'!$B22)</f>
        <v>0</v>
      </c>
      <c r="G22" s="52">
        <f>SUMIFS('PIS B'!$J$11:$J$112,'PIS B'!$B$11:$B$112,'SCH B-2.3 B'!$B22)</f>
        <v>0</v>
      </c>
      <c r="H22" s="52">
        <f t="shared" ref="H22:H24" si="3">SUM(D22:G22)</f>
        <v>548241.14</v>
      </c>
    </row>
    <row r="23" spans="1:8" ht="18.95" customHeight="1">
      <c r="A23" s="34">
        <f t="shared" si="0"/>
        <v>11</v>
      </c>
      <c r="B23" s="35">
        <v>352.2</v>
      </c>
      <c r="C23" s="42" t="s">
        <v>599</v>
      </c>
      <c r="D23" s="52">
        <f>SUMIFS('PIS B'!$D$11:$D$112,'PIS B'!$B$11:$B$112,'SCH B-2.3 B'!$B23)</f>
        <v>400511.39999999997</v>
      </c>
      <c r="E23" s="52">
        <f>SUMIFS('PIS B'!$F$11:$F$112,'PIS B'!$B$11:$B$112,'SCH B-2.3 B'!$B23)</f>
        <v>0</v>
      </c>
      <c r="F23" s="52">
        <f>SUMIFS('PIS B'!$H$11:$H$112,'PIS B'!$B$11:$B$112,'SCH B-2.3 B'!$B23)</f>
        <v>0</v>
      </c>
      <c r="G23" s="52">
        <f>SUMIFS('PIS B'!$J$11:$J$112,'PIS B'!$B$11:$B$112,'SCH B-2.3 B'!$B23)</f>
        <v>0</v>
      </c>
      <c r="H23" s="52">
        <f t="shared" si="3"/>
        <v>400511.39999999997</v>
      </c>
    </row>
    <row r="24" spans="1:8" ht="18.95" customHeight="1">
      <c r="A24" s="34">
        <f t="shared" si="0"/>
        <v>12</v>
      </c>
      <c r="B24" s="35" t="s">
        <v>1104</v>
      </c>
      <c r="C24" s="42" t="s">
        <v>600</v>
      </c>
      <c r="D24" s="52">
        <f>SUMIFS('PIS B'!$D$11:$D$112,'PIS B'!$B$11:$B$112,'SCH B-2.3 B'!$B24)</f>
        <v>11788845</v>
      </c>
      <c r="E24" s="52">
        <f>SUMIFS('PIS B'!$F$11:$F$112,'PIS B'!$B$11:$B$112,'SCH B-2.3 B'!$B24)</f>
        <v>0</v>
      </c>
      <c r="F24" s="52">
        <f>SUMIFS('PIS B'!$H$11:$H$112,'PIS B'!$B$11:$B$112,'SCH B-2.3 B'!$B24)</f>
        <v>0</v>
      </c>
      <c r="G24" s="52">
        <f>SUMIFS('PIS B'!$J$11:$J$112,'PIS B'!$B$11:$B$112,'SCH B-2.3 B'!$B24)</f>
        <v>0</v>
      </c>
      <c r="H24" s="52">
        <f t="shared" si="3"/>
        <v>11788845</v>
      </c>
    </row>
    <row r="25" spans="1:8" ht="18.95" customHeight="1">
      <c r="A25" s="34">
        <f t="shared" si="0"/>
        <v>13</v>
      </c>
      <c r="B25" s="35">
        <v>353</v>
      </c>
      <c r="C25" s="42" t="s">
        <v>601</v>
      </c>
      <c r="D25" s="52">
        <f>SUMIFS('PIS B'!$D$11:$D$112,'PIS B'!$B$11:$B$112,'SCH B-2.3 B'!$B25)</f>
        <v>21951171.490000002</v>
      </c>
      <c r="E25" s="52">
        <f>SUMIFS('PIS B'!$F$11:$F$112,'PIS B'!$B$11:$B$112,'SCH B-2.3 B'!$B25)</f>
        <v>1132283.599999998</v>
      </c>
      <c r="F25" s="52">
        <f>SUMIFS('PIS B'!$H$11:$H$112,'PIS B'!$B$11:$B$112,'SCH B-2.3 B'!$B25)</f>
        <v>-2568.4899999999898</v>
      </c>
      <c r="G25" s="52">
        <f>SUMIFS('PIS B'!$J$11:$J$112,'PIS B'!$B$11:$B$112,'SCH B-2.3 B'!$B25)</f>
        <v>0</v>
      </c>
      <c r="H25" s="52">
        <f t="shared" ref="H25" si="4">SUM(D25:G25)</f>
        <v>23080886.600000001</v>
      </c>
    </row>
    <row r="26" spans="1:8" ht="18.95" customHeight="1">
      <c r="A26" s="34">
        <f t="shared" si="0"/>
        <v>14</v>
      </c>
      <c r="B26" s="35">
        <v>354</v>
      </c>
      <c r="C26" s="42" t="s">
        <v>602</v>
      </c>
      <c r="D26" s="52">
        <f>SUMIFS('PIS B'!$D$11:$D$112,'PIS B'!$B$11:$B$112,'SCH B-2.3 B'!$B26)</f>
        <v>47688419.020000003</v>
      </c>
      <c r="E26" s="52">
        <f>SUMIFS('PIS B'!$F$11:$F$112,'PIS B'!$B$11:$B$112,'SCH B-2.3 B'!$B26)</f>
        <v>9072191.6099999994</v>
      </c>
      <c r="F26" s="52">
        <f>SUMIFS('PIS B'!$H$11:$H$112,'PIS B'!$B$11:$B$112,'SCH B-2.3 B'!$B26)</f>
        <v>-316154.84000000003</v>
      </c>
      <c r="G26" s="52">
        <f>SUMIFS('PIS B'!$J$11:$J$112,'PIS B'!$B$11:$B$112,'SCH B-2.3 B'!$B26)</f>
        <v>0</v>
      </c>
      <c r="H26" s="52">
        <f t="shared" si="2"/>
        <v>56444455.789999999</v>
      </c>
    </row>
    <row r="27" spans="1:8" ht="18.95" customHeight="1">
      <c r="A27" s="34">
        <f t="shared" si="0"/>
        <v>15</v>
      </c>
      <c r="B27" s="35">
        <v>355</v>
      </c>
      <c r="C27" s="42" t="s">
        <v>603</v>
      </c>
      <c r="D27" s="52">
        <f>SUMIFS('PIS B'!$D$11:$D$112,'PIS B'!$B$11:$B$112,'SCH B-2.3 B'!$B27)</f>
        <v>1749308.77</v>
      </c>
      <c r="E27" s="52">
        <f>SUMIFS('PIS B'!$F$11:$F$112,'PIS B'!$B$11:$B$112,'SCH B-2.3 B'!$B27)</f>
        <v>525667.65</v>
      </c>
      <c r="F27" s="52">
        <f>SUMIFS('PIS B'!$H$11:$H$112,'PIS B'!$B$11:$B$112,'SCH B-2.3 B'!$B27)</f>
        <v>0</v>
      </c>
      <c r="G27" s="52">
        <f>SUMIFS('PIS B'!$J$11:$J$112,'PIS B'!$B$11:$B$112,'SCH B-2.3 B'!$B27)</f>
        <v>0</v>
      </c>
      <c r="H27" s="52">
        <f t="shared" si="2"/>
        <v>2274976.42</v>
      </c>
    </row>
    <row r="28" spans="1:8" ht="18.95" customHeight="1">
      <c r="A28" s="34">
        <f t="shared" si="0"/>
        <v>16</v>
      </c>
      <c r="B28" s="35">
        <v>356</v>
      </c>
      <c r="C28" s="42" t="s">
        <v>604</v>
      </c>
      <c r="D28" s="52">
        <f>SUMIFS('PIS B'!$D$11:$D$112,'PIS B'!$B$11:$B$112,'SCH B-2.3 B'!$B28)</f>
        <v>19845187.960000001</v>
      </c>
      <c r="E28" s="52">
        <f>SUMIFS('PIS B'!$F$11:$F$112,'PIS B'!$B$11:$B$112,'SCH B-2.3 B'!$B28)</f>
        <v>3196034.959999999</v>
      </c>
      <c r="F28" s="52">
        <f>SUMIFS('PIS B'!$H$11:$H$112,'PIS B'!$B$11:$B$112,'SCH B-2.3 B'!$B28)</f>
        <v>-31971.51</v>
      </c>
      <c r="G28" s="52">
        <f>SUMIFS('PIS B'!$J$11:$J$112,'PIS B'!$B$11:$B$112,'SCH B-2.3 B'!$B28)</f>
        <v>0</v>
      </c>
      <c r="H28" s="52">
        <f t="shared" si="2"/>
        <v>23009251.41</v>
      </c>
    </row>
    <row r="29" spans="1:8" ht="18.95" customHeight="1">
      <c r="A29" s="34">
        <f t="shared" si="0"/>
        <v>17</v>
      </c>
      <c r="B29" s="35">
        <v>357</v>
      </c>
      <c r="C29" s="42" t="s">
        <v>605</v>
      </c>
      <c r="D29" s="52">
        <f>SUMIFS('PIS B'!$D$11:$D$112,'PIS B'!$B$11:$B$112,'SCH B-2.3 B'!$B29)</f>
        <v>3154110.41</v>
      </c>
      <c r="E29" s="52">
        <f>SUMIFS('PIS B'!$F$11:$F$112,'PIS B'!$B$11:$B$112,'SCH B-2.3 B'!$B29)</f>
        <v>1487676.9799999997</v>
      </c>
      <c r="F29" s="52">
        <f>SUMIFS('PIS B'!$H$11:$H$112,'PIS B'!$B$11:$B$112,'SCH B-2.3 B'!$B29)</f>
        <v>0</v>
      </c>
      <c r="G29" s="52">
        <f>SUMIFS('PIS B'!$J$11:$J$112,'PIS B'!$B$11:$B$112,'SCH B-2.3 B'!$B29)</f>
        <v>0</v>
      </c>
      <c r="H29" s="52">
        <f t="shared" ref="H29" si="5">SUM(D29:G29)</f>
        <v>4641787.3899999997</v>
      </c>
    </row>
    <row r="30" spans="1:8" ht="18.95" customHeight="1">
      <c r="A30" s="34">
        <f t="shared" si="0"/>
        <v>18</v>
      </c>
      <c r="B30" s="35">
        <v>358</v>
      </c>
      <c r="C30" s="42" t="s">
        <v>606</v>
      </c>
      <c r="D30" s="53">
        <f>SUMIFS('PIS B'!$D$11:$D$112,'PIS B'!$B$11:$B$112,'SCH B-2.3 B'!$B30)</f>
        <v>4437148.12</v>
      </c>
      <c r="E30" s="53">
        <f>SUMIFS('PIS B'!$F$11:$F$112,'PIS B'!$B$11:$B$112,'SCH B-2.3 B'!$B30)</f>
        <v>0</v>
      </c>
      <c r="F30" s="53">
        <f>SUMIFS('PIS B'!$H$11:$H$112,'PIS B'!$B$11:$B$112,'SCH B-2.3 B'!$B30)</f>
        <v>-4450.2800000000007</v>
      </c>
      <c r="G30" s="53">
        <f>SUMIFS('PIS B'!$J$11:$J$112,'PIS B'!$B$11:$B$112,'SCH B-2.3 B'!$B30)</f>
        <v>0</v>
      </c>
      <c r="H30" s="53">
        <f t="shared" si="2"/>
        <v>4432697.84</v>
      </c>
    </row>
    <row r="31" spans="1:8" ht="18.95" customHeight="1">
      <c r="A31" s="34">
        <f t="shared" si="0"/>
        <v>19</v>
      </c>
      <c r="C31" s="42" t="s">
        <v>608</v>
      </c>
      <c r="D31" s="50">
        <f>SUM(D19:D30)</f>
        <v>145768362.26999989</v>
      </c>
      <c r="E31" s="50">
        <f>SUM(E19:E30)</f>
        <v>17267166.849999998</v>
      </c>
      <c r="F31" s="50">
        <f>SUM(F19:F30)</f>
        <v>-363352.79000000004</v>
      </c>
      <c r="G31" s="50">
        <f>SUM(G19:G30)</f>
        <v>-3657</v>
      </c>
      <c r="H31" s="50">
        <f>SUM(H19:H30)</f>
        <v>162668519.32999989</v>
      </c>
    </row>
    <row r="32" spans="1:8" ht="18.95" customHeight="1">
      <c r="A32" s="34"/>
      <c r="C32" s="42"/>
    </row>
    <row r="33" spans="1:8" ht="18.95" customHeight="1">
      <c r="A33" s="34">
        <f>A31+1</f>
        <v>20</v>
      </c>
      <c r="C33" s="54" t="s">
        <v>591</v>
      </c>
    </row>
    <row r="34" spans="1:8" ht="18.95" customHeight="1">
      <c r="A34" s="34">
        <f t="shared" si="0"/>
        <v>21</v>
      </c>
      <c r="B34" s="35">
        <v>365</v>
      </c>
      <c r="C34" s="42" t="s">
        <v>610</v>
      </c>
      <c r="D34" s="52">
        <f>SUMIFS('PIS B'!$D$11:$D$112,'PIS B'!$B$11:$B$112,'SCH B-2.3 B'!$B34)</f>
        <v>220659.049999999</v>
      </c>
      <c r="E34" s="52">
        <f>SUMIFS('PIS B'!$F$11:$F$112,'PIS B'!$B$11:$B$112,'SCH B-2.3 B'!$B34)</f>
        <v>0</v>
      </c>
      <c r="F34" s="52">
        <f>SUMIFS('PIS B'!$H$11:$H$112,'PIS B'!$B$11:$B$112,'SCH B-2.3 B'!$B34)</f>
        <v>0</v>
      </c>
      <c r="G34" s="52">
        <f>SUMIFS('PIS B'!$J$11:$J$112,'PIS B'!$B$11:$B$112,'SCH B-2.3 B'!$B34)</f>
        <v>0</v>
      </c>
      <c r="H34" s="52">
        <f t="shared" ref="H34:H36" si="6">SUM(D34:G34)</f>
        <v>220659.049999999</v>
      </c>
    </row>
    <row r="35" spans="1:8" ht="18.95" customHeight="1">
      <c r="A35" s="34">
        <f t="shared" si="0"/>
        <v>22</v>
      </c>
      <c r="B35" s="35">
        <v>367</v>
      </c>
      <c r="C35" s="42" t="s">
        <v>609</v>
      </c>
      <c r="D35" s="52">
        <f>SUMIFS('PIS B'!$D$11:$D$112,'PIS B'!$B$11:$B$112,'SCH B-2.3 B'!$B35)</f>
        <v>51029182.57</v>
      </c>
      <c r="E35" s="52">
        <f>SUMIFS('PIS B'!$F$11:$F$112,'PIS B'!$B$11:$B$112,'SCH B-2.3 B'!$B35)</f>
        <v>1955719.5199999998</v>
      </c>
      <c r="F35" s="52">
        <f>SUMIFS('PIS B'!$H$11:$H$112,'PIS B'!$B$11:$B$112,'SCH B-2.3 B'!$B35)</f>
        <v>-86944.069999999905</v>
      </c>
      <c r="G35" s="52">
        <f>SUMIFS('PIS B'!$J$11:$J$112,'PIS B'!$B$11:$B$112,'SCH B-2.3 B'!$B35)</f>
        <v>0</v>
      </c>
      <c r="H35" s="52">
        <f t="shared" si="6"/>
        <v>52897958.020000003</v>
      </c>
    </row>
    <row r="36" spans="1:8" ht="18.95" customHeight="1">
      <c r="A36" s="34">
        <f t="shared" si="0"/>
        <v>23</v>
      </c>
      <c r="B36" s="35">
        <v>372</v>
      </c>
      <c r="C36" s="42" t="s">
        <v>611</v>
      </c>
      <c r="D36" s="53">
        <f>SUMIFS('PIS B'!$D$11:$D$112,'PIS B'!$B$11:$B$112,'SCH B-2.3 B'!$B36)</f>
        <v>2332004.91</v>
      </c>
      <c r="E36" s="53">
        <f>SUMIFS('PIS B'!$F$11:$F$112,'PIS B'!$B$11:$B$112,'SCH B-2.3 B'!$B36)</f>
        <v>0</v>
      </c>
      <c r="F36" s="53">
        <f>SUMIFS('PIS B'!$H$11:$H$112,'PIS B'!$B$11:$B$112,'SCH B-2.3 B'!$B36)</f>
        <v>0</v>
      </c>
      <c r="G36" s="53">
        <f>SUMIFS('PIS B'!$J$11:$J$112,'PIS B'!$B$11:$B$112,'SCH B-2.3 B'!$B36)</f>
        <v>0</v>
      </c>
      <c r="H36" s="53">
        <f t="shared" si="6"/>
        <v>2332004.91</v>
      </c>
    </row>
    <row r="37" spans="1:8" ht="18.95" customHeight="1">
      <c r="A37" s="34">
        <f>A36+1</f>
        <v>24</v>
      </c>
      <c r="B37" s="35" t="s">
        <v>117</v>
      </c>
      <c r="C37" s="42" t="s">
        <v>612</v>
      </c>
      <c r="D37" s="50">
        <f>SUM(D34:D36)</f>
        <v>53581846.530000001</v>
      </c>
      <c r="E37" s="50">
        <f>SUM(E34:E36)</f>
        <v>1955719.5199999998</v>
      </c>
      <c r="F37" s="50">
        <f>SUM(F34:F36)</f>
        <v>-86944.069999999905</v>
      </c>
      <c r="G37" s="50">
        <f>SUM(G34:G36)</f>
        <v>0</v>
      </c>
      <c r="H37" s="50">
        <f>SUM(H34:H36)</f>
        <v>55450621.980000004</v>
      </c>
    </row>
    <row r="38" spans="1:8" ht="18.95" customHeight="1">
      <c r="A38" s="34"/>
      <c r="B38" s="35"/>
      <c r="C38" s="42"/>
      <c r="D38" s="50"/>
      <c r="E38" s="50"/>
      <c r="F38" s="50"/>
      <c r="G38" s="50"/>
      <c r="H38" s="50"/>
    </row>
    <row r="39" spans="1:8" ht="18.95" customHeight="1">
      <c r="A39" s="34">
        <f>A37+1</f>
        <v>25</v>
      </c>
      <c r="C39" s="54" t="s">
        <v>546</v>
      </c>
    </row>
    <row r="40" spans="1:8" ht="18.95" customHeight="1">
      <c r="A40" s="34">
        <f t="shared" si="0"/>
        <v>26</v>
      </c>
      <c r="B40" s="35">
        <v>374</v>
      </c>
      <c r="C40" s="42" t="s">
        <v>43</v>
      </c>
      <c r="D40" s="52">
        <f>SUMIFS('PIS B'!$D$11:$D$112,'PIS B'!$B$11:$B$112,'SCH B-2.3 B'!$B40)</f>
        <v>134496.91</v>
      </c>
      <c r="E40" s="52">
        <f>SUMIFS('PIS B'!$F$11:$F$112,'PIS B'!$B$11:$B$112,'SCH B-2.3 B'!$B40)</f>
        <v>0</v>
      </c>
      <c r="F40" s="52">
        <f>SUMIFS('PIS B'!$H$11:$H$112,'PIS B'!$B$11:$B$112,'SCH B-2.3 B'!$B40)</f>
        <v>0</v>
      </c>
      <c r="G40" s="52">
        <f>SUMIFS('PIS B'!$J$11:$J$112,'PIS B'!$B$11:$B$112,'SCH B-2.3 B'!$B40)</f>
        <v>0</v>
      </c>
      <c r="H40" s="52">
        <f t="shared" ref="H40:H62" si="7">SUM(D40:G40)</f>
        <v>134496.91</v>
      </c>
    </row>
    <row r="41" spans="1:8" ht="18.95" customHeight="1">
      <c r="A41" s="34">
        <f t="shared" si="0"/>
        <v>27</v>
      </c>
      <c r="B41" s="35">
        <v>375</v>
      </c>
      <c r="C41" s="42" t="s">
        <v>42</v>
      </c>
      <c r="D41" s="52">
        <f>SUMIFS('PIS B'!$D$11:$D$112,'PIS B'!$B$11:$B$112,'SCH B-2.3 B'!$B41)</f>
        <v>1144992.48999999</v>
      </c>
      <c r="E41" s="52">
        <f>SUMIFS('PIS B'!$F$11:$F$112,'PIS B'!$B$11:$B$112,'SCH B-2.3 B'!$B41)</f>
        <v>11417.42</v>
      </c>
      <c r="F41" s="52">
        <f>SUMIFS('PIS B'!$H$11:$H$112,'PIS B'!$B$11:$B$112,'SCH B-2.3 B'!$B41)</f>
        <v>-597.48</v>
      </c>
      <c r="G41" s="52">
        <f>SUMIFS('PIS B'!$J$11:$J$112,'PIS B'!$B$11:$B$112,'SCH B-2.3 B'!$B41)</f>
        <v>0</v>
      </c>
      <c r="H41" s="52">
        <f t="shared" si="7"/>
        <v>1155812.4299999899</v>
      </c>
    </row>
    <row r="42" spans="1:8" ht="18.95" customHeight="1">
      <c r="A42" s="34">
        <f t="shared" si="0"/>
        <v>28</v>
      </c>
      <c r="B42" s="35">
        <v>376</v>
      </c>
      <c r="C42" s="42" t="s">
        <v>609</v>
      </c>
      <c r="D42" s="52">
        <f>SUMIFS('PIS B'!$D$11:$D$112,'PIS B'!$B$11:$B$112,'SCH B-2.3 B'!$B42)</f>
        <v>384848434.36000001</v>
      </c>
      <c r="E42" s="52">
        <f>SUMIFS('PIS B'!$F$11:$F$112,'PIS B'!$B$11:$B$112,'SCH B-2.3 B'!$B42)</f>
        <v>34665170.209999971</v>
      </c>
      <c r="F42" s="52">
        <f>SUMIFS('PIS B'!$H$11:$H$112,'PIS B'!$B$11:$B$112,'SCH B-2.3 B'!$B42)</f>
        <v>-2254400.46</v>
      </c>
      <c r="G42" s="52">
        <f>SUMIFS('PIS B'!$J$11:$J$112,'PIS B'!$B$11:$B$112,'SCH B-2.3 B'!$B42)</f>
        <v>0</v>
      </c>
      <c r="H42" s="52">
        <f t="shared" si="7"/>
        <v>417259204.11000001</v>
      </c>
    </row>
    <row r="43" spans="1:8" ht="18.95" customHeight="1">
      <c r="A43" s="34">
        <f t="shared" si="0"/>
        <v>29</v>
      </c>
      <c r="B43" s="35">
        <v>377</v>
      </c>
      <c r="C43" s="42" t="s">
        <v>602</v>
      </c>
      <c r="D43" s="52">
        <f>SUMIFS('PIS B'!$D$11:$D$112,'PIS B'!$B$11:$B$112,'SCH B-2.3 B'!$B43)</f>
        <v>0</v>
      </c>
      <c r="E43" s="52">
        <f>SUMIFS('PIS B'!$F$11:$F$112,'PIS B'!$B$11:$B$112,'SCH B-2.3 B'!$B43)</f>
        <v>0</v>
      </c>
      <c r="F43" s="52">
        <f>SUMIFS('PIS B'!$H$11:$H$112,'PIS B'!$B$11:$B$112,'SCH B-2.3 B'!$B43)</f>
        <v>0</v>
      </c>
      <c r="G43" s="52">
        <f>SUMIFS('PIS B'!$J$11:$J$112,'PIS B'!$B$11:$B$112,'SCH B-2.3 B'!$B43)</f>
        <v>0</v>
      </c>
      <c r="H43" s="52">
        <f t="shared" ref="H43" si="8">SUM(D43:G43)</f>
        <v>0</v>
      </c>
    </row>
    <row r="44" spans="1:8" ht="18.95" customHeight="1">
      <c r="A44" s="34">
        <f t="shared" si="0"/>
        <v>30</v>
      </c>
      <c r="B44" s="35">
        <v>378</v>
      </c>
      <c r="C44" s="42" t="s">
        <v>613</v>
      </c>
      <c r="D44" s="52">
        <f>SUMIFS('PIS B'!$D$11:$D$112,'PIS B'!$B$11:$B$112,'SCH B-2.3 B'!$B44)</f>
        <v>17577946.260000002</v>
      </c>
      <c r="E44" s="52">
        <f>SUMIFS('PIS B'!$F$11:$F$112,'PIS B'!$B$11:$B$112,'SCH B-2.3 B'!$B44)</f>
        <v>5216766.699999989</v>
      </c>
      <c r="F44" s="52">
        <f>SUMIFS('PIS B'!$H$11:$H$112,'PIS B'!$B$11:$B$112,'SCH B-2.3 B'!$B44)</f>
        <v>-14816.109999999999</v>
      </c>
      <c r="G44" s="52">
        <f>SUMIFS('PIS B'!$J$11:$J$112,'PIS B'!$B$11:$B$112,'SCH B-2.3 B'!$B44)</f>
        <v>0</v>
      </c>
      <c r="H44" s="52">
        <f t="shared" si="7"/>
        <v>22779896.84999999</v>
      </c>
    </row>
    <row r="45" spans="1:8" s="32" customFormat="1" ht="20.100000000000001" customHeight="1">
      <c r="A45" s="494" t="str">
        <f>$A$1</f>
        <v>LOUISVILLE GAS AND ELECTRIC COMPANY</v>
      </c>
      <c r="B45" s="494"/>
      <c r="C45" s="494"/>
      <c r="D45" s="494"/>
      <c r="E45" s="494"/>
      <c r="F45" s="494"/>
      <c r="G45" s="494"/>
      <c r="H45" s="494"/>
    </row>
    <row r="46" spans="1:8" s="32" customFormat="1" ht="20.100000000000001" customHeight="1">
      <c r="A46" s="494" t="str">
        <f>$A$2</f>
        <v>CASE NO. 2016-00371 - GAS OPERATIONS</v>
      </c>
      <c r="B46" s="494"/>
      <c r="C46" s="494"/>
      <c r="D46" s="494"/>
      <c r="E46" s="494"/>
      <c r="F46" s="494"/>
      <c r="G46" s="494"/>
      <c r="H46" s="494"/>
    </row>
    <row r="47" spans="1:8" s="32" customFormat="1" ht="20.100000000000001" customHeight="1">
      <c r="A47" s="494" t="str">
        <f>$A$3</f>
        <v>GROSS ADDITIONS, RETIREMENTS, AND TRANSFERS</v>
      </c>
      <c r="B47" s="494"/>
      <c r="C47" s="494"/>
      <c r="D47" s="494"/>
      <c r="E47" s="494"/>
      <c r="F47" s="494"/>
      <c r="G47" s="494"/>
      <c r="H47" s="494"/>
    </row>
    <row r="48" spans="1:8" s="32" customFormat="1" ht="20.100000000000001" customHeight="1">
      <c r="A48" s="493" t="str">
        <f>$A$4</f>
        <v>FROM MARCH 1, 2016 TO FEBRUARY 28, 2017</v>
      </c>
      <c r="B48" s="494"/>
      <c r="C48" s="494"/>
      <c r="D48" s="494"/>
      <c r="E48" s="494"/>
      <c r="F48" s="494"/>
      <c r="G48" s="494"/>
      <c r="H48" s="494"/>
    </row>
    <row r="49" spans="1:8" s="32" customFormat="1" ht="20.100000000000001" customHeight="1">
      <c r="A49" s="48"/>
      <c r="B49" s="48"/>
      <c r="C49" s="48"/>
      <c r="D49" s="48"/>
      <c r="E49" s="48"/>
      <c r="F49" s="48"/>
      <c r="G49" s="48"/>
      <c r="H49" s="48"/>
    </row>
    <row r="50" spans="1:8" s="32" customFormat="1" ht="20.100000000000001" customHeight="1">
      <c r="A50" s="31" t="str">
        <f>$A$6</f>
        <v>DATA:__X__BASE  PERIOD____FORECASTED  PERIOD</v>
      </c>
      <c r="B50" s="31"/>
      <c r="G50" s="38"/>
      <c r="H50" s="38" t="s">
        <v>37</v>
      </c>
    </row>
    <row r="51" spans="1:8" s="32" customFormat="1" ht="20.100000000000001" customHeight="1">
      <c r="A51" s="31" t="str">
        <f>$A$7</f>
        <v>TYPE OF FILING: __X__ ORIGINAL  _____ UPDATED  _____ REVISED</v>
      </c>
      <c r="G51" s="38"/>
      <c r="H51" s="38" t="s">
        <v>59</v>
      </c>
    </row>
    <row r="52" spans="1:8" s="32" customFormat="1" ht="20.100000000000001" customHeight="1">
      <c r="A52" s="31" t="str">
        <f>$A$8</f>
        <v>WORKPAPER REFERENCE NO(S).:</v>
      </c>
      <c r="B52" s="31"/>
      <c r="F52" s="31"/>
      <c r="G52" s="39"/>
      <c r="H52" s="39" t="str">
        <f>$H$8</f>
        <v>WITNESS:   C. M. GARRETT</v>
      </c>
    </row>
    <row r="53" spans="1:8" s="32" customFormat="1" ht="20.100000000000001" customHeight="1"/>
    <row r="54" spans="1:8" ht="58.5" customHeight="1">
      <c r="A54" s="40" t="s">
        <v>29</v>
      </c>
      <c r="B54" s="40" t="s">
        <v>32</v>
      </c>
      <c r="C54" s="43" t="s">
        <v>33</v>
      </c>
      <c r="D54" s="40" t="s">
        <v>34</v>
      </c>
      <c r="E54" s="40" t="s">
        <v>35</v>
      </c>
      <c r="F54" s="40" t="s">
        <v>36</v>
      </c>
      <c r="G54" s="40" t="s">
        <v>38</v>
      </c>
      <c r="H54" s="40" t="s">
        <v>39</v>
      </c>
    </row>
    <row r="55" spans="1:8" ht="23.1" customHeight="1">
      <c r="A55" s="44"/>
      <c r="B55" s="44"/>
      <c r="C55" s="45"/>
      <c r="D55" s="46" t="s">
        <v>40</v>
      </c>
      <c r="E55" s="46" t="s">
        <v>40</v>
      </c>
      <c r="F55" s="46" t="s">
        <v>40</v>
      </c>
      <c r="G55" s="46" t="s">
        <v>40</v>
      </c>
      <c r="H55" s="46" t="s">
        <v>40</v>
      </c>
    </row>
    <row r="56" spans="1:8" ht="18.95" customHeight="1">
      <c r="A56" s="34">
        <f>A44+1</f>
        <v>31</v>
      </c>
      <c r="B56" s="35">
        <v>379</v>
      </c>
      <c r="C56" s="42" t="s">
        <v>614</v>
      </c>
      <c r="D56" s="52">
        <f>SUMIFS('PIS B'!$D$11:$D$112,'PIS B'!$B$11:$B$112,'SCH B-2.3 B'!$B56)</f>
        <v>7283687.6499999994</v>
      </c>
      <c r="E56" s="52">
        <f>SUMIFS('PIS B'!$F$11:$F$112,'PIS B'!$B$11:$B$112,'SCH B-2.3 B'!$B56)</f>
        <v>4619951.6199999992</v>
      </c>
      <c r="F56" s="52">
        <f>SUMIFS('PIS B'!$H$11:$H$112,'PIS B'!$B$11:$B$112,'SCH B-2.3 B'!$B56)</f>
        <v>-24883.53</v>
      </c>
      <c r="G56" s="52">
        <f>SUMIFS('PIS B'!$J$11:$J$112,'PIS B'!$B$11:$B$112,'SCH B-2.3 B'!$B56)</f>
        <v>0</v>
      </c>
      <c r="H56" s="52">
        <f t="shared" si="7"/>
        <v>11878755.74</v>
      </c>
    </row>
    <row r="57" spans="1:8" ht="18.95" customHeight="1">
      <c r="A57" s="34">
        <f>A56+1</f>
        <v>32</v>
      </c>
      <c r="B57" s="35">
        <v>380</v>
      </c>
      <c r="C57" s="42" t="s">
        <v>417</v>
      </c>
      <c r="D57" s="52">
        <f>SUMIFS('PIS B'!$D$11:$D$112,'PIS B'!$B$11:$B$112,'SCH B-2.3 B'!$B57)</f>
        <v>331192074.90000004</v>
      </c>
      <c r="E57" s="52">
        <f>SUMIFS('PIS B'!$F$11:$F$112,'PIS B'!$B$11:$B$112,'SCH B-2.3 B'!$B57)</f>
        <v>34141766.419999979</v>
      </c>
      <c r="F57" s="52">
        <f>SUMIFS('PIS B'!$H$11:$H$112,'PIS B'!$B$11:$B$112,'SCH B-2.3 B'!$B57)</f>
        <v>-3375560.46</v>
      </c>
      <c r="G57" s="52">
        <f>SUMIFS('PIS B'!$J$11:$J$112,'PIS B'!$B$11:$B$112,'SCH B-2.3 B'!$B57)</f>
        <v>0</v>
      </c>
      <c r="H57" s="52">
        <f t="shared" si="7"/>
        <v>361958280.86000001</v>
      </c>
    </row>
    <row r="58" spans="1:8" ht="18.95" customHeight="1">
      <c r="A58" s="34">
        <f t="shared" si="0"/>
        <v>33</v>
      </c>
      <c r="B58" s="35">
        <v>381</v>
      </c>
      <c r="C58" s="42" t="s">
        <v>418</v>
      </c>
      <c r="D58" s="52">
        <f>SUMIFS('PIS B'!$D$11:$D$112,'PIS B'!$B$11:$B$112,'SCH B-2.3 B'!$B58)</f>
        <v>47492834.039999999</v>
      </c>
      <c r="E58" s="52">
        <f>SUMIFS('PIS B'!$F$11:$F$112,'PIS B'!$B$11:$B$112,'SCH B-2.3 B'!$B58)</f>
        <v>3759826.2</v>
      </c>
      <c r="F58" s="52">
        <f>SUMIFS('PIS B'!$H$11:$H$112,'PIS B'!$B$11:$B$112,'SCH B-2.3 B'!$B58)</f>
        <v>0</v>
      </c>
      <c r="G58" s="52">
        <f>SUMIFS('PIS B'!$J$11:$J$112,'PIS B'!$B$11:$B$112,'SCH B-2.3 B'!$B58)</f>
        <v>0</v>
      </c>
      <c r="H58" s="52">
        <f t="shared" ref="H58:H61" si="9">SUM(D58:G58)</f>
        <v>51252660.240000002</v>
      </c>
    </row>
    <row r="59" spans="1:8" ht="18.95" customHeight="1">
      <c r="A59" s="34">
        <f t="shared" si="0"/>
        <v>34</v>
      </c>
      <c r="B59" s="35">
        <v>383</v>
      </c>
      <c r="C59" s="42" t="s">
        <v>615</v>
      </c>
      <c r="D59" s="52">
        <f>SUMIFS('PIS B'!$D$11:$D$112,'PIS B'!$B$11:$B$112,'SCH B-2.3 B'!$B59)</f>
        <v>25550379.959999997</v>
      </c>
      <c r="E59" s="52">
        <f>SUMIFS('PIS B'!$F$11:$F$112,'PIS B'!$B$11:$B$112,'SCH B-2.3 B'!$B59)</f>
        <v>0</v>
      </c>
      <c r="F59" s="52">
        <f>SUMIFS('PIS B'!$H$11:$H$112,'PIS B'!$B$11:$B$112,'SCH B-2.3 B'!$B59)</f>
        <v>0</v>
      </c>
      <c r="G59" s="52">
        <f>SUMIFS('PIS B'!$J$11:$J$112,'PIS B'!$B$11:$B$112,'SCH B-2.3 B'!$B59)</f>
        <v>0</v>
      </c>
      <c r="H59" s="52">
        <f t="shared" si="9"/>
        <v>25550379.959999997</v>
      </c>
    </row>
    <row r="60" spans="1:8" ht="18.95" customHeight="1">
      <c r="A60" s="34">
        <f t="shared" si="0"/>
        <v>35</v>
      </c>
      <c r="B60" s="35">
        <v>385</v>
      </c>
      <c r="C60" s="42" t="s">
        <v>616</v>
      </c>
      <c r="D60" s="52">
        <f>SUMIFS('PIS B'!$D$11:$D$112,'PIS B'!$B$11:$B$112,'SCH B-2.3 B'!$B60)</f>
        <v>960686.95000000007</v>
      </c>
      <c r="E60" s="52">
        <f>SUMIFS('PIS B'!$F$11:$F$112,'PIS B'!$B$11:$B$112,'SCH B-2.3 B'!$B60)</f>
        <v>579568.54</v>
      </c>
      <c r="F60" s="52">
        <f>SUMIFS('PIS B'!$H$11:$H$112,'PIS B'!$B$11:$B$112,'SCH B-2.3 B'!$B60)</f>
        <v>0</v>
      </c>
      <c r="G60" s="52">
        <f>SUMIFS('PIS B'!$J$11:$J$112,'PIS B'!$B$11:$B$112,'SCH B-2.3 B'!$B60)</f>
        <v>0</v>
      </c>
      <c r="H60" s="52">
        <f t="shared" si="9"/>
        <v>1540255.4900000002</v>
      </c>
    </row>
    <row r="61" spans="1:8" ht="18.95" customHeight="1">
      <c r="A61" s="34">
        <f t="shared" si="0"/>
        <v>36</v>
      </c>
      <c r="B61" s="35">
        <v>387</v>
      </c>
      <c r="C61" s="42" t="s">
        <v>605</v>
      </c>
      <c r="D61" s="52">
        <f>SUMIFS('PIS B'!$D$11:$D$112,'PIS B'!$B$11:$B$112,'SCH B-2.3 B'!$B61)</f>
        <v>51112.339999999895</v>
      </c>
      <c r="E61" s="52">
        <f>SUMIFS('PIS B'!$F$11:$F$112,'PIS B'!$B$11:$B$112,'SCH B-2.3 B'!$B61)</f>
        <v>293320.32999999978</v>
      </c>
      <c r="F61" s="52">
        <f>SUMIFS('PIS B'!$H$11:$H$112,'PIS B'!$B$11:$B$112,'SCH B-2.3 B'!$B61)</f>
        <v>0</v>
      </c>
      <c r="G61" s="52">
        <f>SUMIFS('PIS B'!$J$11:$J$112,'PIS B'!$B$11:$B$112,'SCH B-2.3 B'!$B61)</f>
        <v>0</v>
      </c>
      <c r="H61" s="52">
        <f t="shared" si="9"/>
        <v>344432.66999999969</v>
      </c>
    </row>
    <row r="62" spans="1:8" ht="18.95" customHeight="1">
      <c r="A62" s="34">
        <f t="shared" si="0"/>
        <v>37</v>
      </c>
      <c r="B62" s="35">
        <v>388</v>
      </c>
      <c r="C62" s="42" t="s">
        <v>617</v>
      </c>
      <c r="D62" s="53">
        <f>SUMIFS('PIS B'!$D$11:$D$112,'PIS B'!$B$11:$B$112,'SCH B-2.3 B'!$B62)</f>
        <v>10476131.659999998</v>
      </c>
      <c r="E62" s="53">
        <f>SUMIFS('PIS B'!$F$11:$F$112,'PIS B'!$B$11:$B$112,'SCH B-2.3 B'!$B62)</f>
        <v>0</v>
      </c>
      <c r="F62" s="53">
        <f>SUMIFS('PIS B'!$H$11:$H$112,'PIS B'!$B$11:$B$112,'SCH B-2.3 B'!$B62)</f>
        <v>-979</v>
      </c>
      <c r="G62" s="53">
        <f>SUMIFS('PIS B'!$J$11:$J$112,'PIS B'!$B$11:$B$112,'SCH B-2.3 B'!$B62)</f>
        <v>0</v>
      </c>
      <c r="H62" s="53">
        <f t="shared" si="7"/>
        <v>10475152.659999998</v>
      </c>
    </row>
    <row r="63" spans="1:8" ht="18.95" customHeight="1">
      <c r="A63" s="34">
        <f t="shared" si="0"/>
        <v>38</v>
      </c>
      <c r="C63" s="42" t="s">
        <v>618</v>
      </c>
      <c r="D63" s="50">
        <f>SUM(D40:D44,D56:D62)</f>
        <v>826712777.51999998</v>
      </c>
      <c r="E63" s="50">
        <f>SUM(E40:E44,E56:E62)</f>
        <v>83287787.439999953</v>
      </c>
      <c r="F63" s="50">
        <f>SUM(F40:F44,F56:F62)</f>
        <v>-5671237.0399999991</v>
      </c>
      <c r="G63" s="50">
        <f>SUM(G40:G44,G56:G62)</f>
        <v>0</v>
      </c>
      <c r="H63" s="50">
        <f>SUM(H40:H44,H56:H62)</f>
        <v>904329327.91999996</v>
      </c>
    </row>
    <row r="64" spans="1:8" ht="18.95" customHeight="1">
      <c r="A64" s="34"/>
    </row>
    <row r="65" spans="1:8" ht="18.95" customHeight="1">
      <c r="A65" s="34">
        <f>A63+1</f>
        <v>39</v>
      </c>
      <c r="B65" s="129" t="s">
        <v>545</v>
      </c>
      <c r="C65" s="54" t="s">
        <v>563</v>
      </c>
    </row>
    <row r="66" spans="1:8" ht="18.95" customHeight="1">
      <c r="A66" s="34">
        <f t="shared" ref="A66:A76" si="10">A65+1</f>
        <v>40</v>
      </c>
      <c r="B66" s="35" t="s">
        <v>419</v>
      </c>
      <c r="C66" s="42" t="s">
        <v>43</v>
      </c>
      <c r="D66" s="50">
        <f>SUMIFS('PIS B'!$D$11:$D$112,'PIS B'!$A$11:$A$112,$B$65,'PIS B'!$B$11:$B$112,'SCH B-2.3 B'!$B66)</f>
        <v>0</v>
      </c>
      <c r="E66" s="50">
        <f>SUMIFS('PIS B'!$F$11:$F$112,'PIS B'!$A$11:$A$112,$B$65,'PIS B'!$B$11:$B$112,'SCH B-2.3 B'!$B66)</f>
        <v>0</v>
      </c>
      <c r="F66" s="50">
        <f>SUMIFS('PIS B'!$H$11:$H$112,'PIS B'!$A$11:$A$112,$B$65,'PIS B'!$B$11:$B$112,'SCH B-2.3 B'!$B66)</f>
        <v>0</v>
      </c>
      <c r="G66" s="50">
        <f>SUMIFS('PIS B'!$J$11:$J$112,'PIS B'!$A$11:$A$112,$B$65,'PIS B'!$B$11:$B$112,'SCH B-2.3 B'!$B66)</f>
        <v>0</v>
      </c>
      <c r="H66" s="52">
        <f t="shared" ref="H66:H74" si="11">SUM(D66:G66)</f>
        <v>0</v>
      </c>
    </row>
    <row r="67" spans="1:8" ht="18.95" customHeight="1">
      <c r="A67" s="34">
        <f t="shared" si="10"/>
        <v>41</v>
      </c>
      <c r="B67" s="35" t="s">
        <v>420</v>
      </c>
      <c r="C67" s="42" t="s">
        <v>42</v>
      </c>
      <c r="D67" s="52">
        <f>SUMIFS('PIS B'!$D$11:$D$112,'PIS B'!$A$11:$A$112,$B$65,'PIS B'!$B$11:$B$112,'SCH B-2.3 B'!$B67)</f>
        <v>0</v>
      </c>
      <c r="E67" s="52">
        <f>SUMIFS('PIS B'!$F$11:$F$112,'PIS B'!$A$11:$A$112,$B$65,'PIS B'!$B$11:$B$112,'SCH B-2.3 B'!$B67)</f>
        <v>0</v>
      </c>
      <c r="F67" s="52">
        <f>SUMIFS('PIS B'!$H$11:$H$112,'PIS B'!$A$11:$A$112,$B$65,'PIS B'!$B$11:$B$112,'SCH B-2.3 B'!$B67)</f>
        <v>0</v>
      </c>
      <c r="G67" s="52">
        <f>SUMIFS('PIS B'!$J$11:$J$112,'PIS B'!$A$11:$A$112,$B$65,'PIS B'!$B$11:$B$112,'SCH B-2.3 B'!$B67)</f>
        <v>0</v>
      </c>
      <c r="H67" s="52">
        <f t="shared" si="11"/>
        <v>0</v>
      </c>
    </row>
    <row r="68" spans="1:8" ht="18.95" customHeight="1">
      <c r="A68" s="34">
        <f t="shared" si="10"/>
        <v>42</v>
      </c>
      <c r="B68" s="35" t="s">
        <v>421</v>
      </c>
      <c r="C68" s="42" t="s">
        <v>45</v>
      </c>
      <c r="D68" s="52">
        <f>SUMIFS('PIS B'!$D$11:$D$112,'PIS B'!$A$11:$A$112,$B$65,'PIS B'!$B$11:$B$112,'SCH B-2.3 B'!$B68)</f>
        <v>0</v>
      </c>
      <c r="E68" s="52">
        <f>SUMIFS('PIS B'!$F$11:$F$112,'PIS B'!$A$11:$A$112,$B$65,'PIS B'!$B$11:$B$112,'SCH B-2.3 B'!$B68)</f>
        <v>0</v>
      </c>
      <c r="F68" s="52">
        <f>SUMIFS('PIS B'!$H$11:$H$112,'PIS B'!$A$11:$A$112,$B$65,'PIS B'!$B$11:$B$112,'SCH B-2.3 B'!$B68)</f>
        <v>0</v>
      </c>
      <c r="G68" s="52">
        <f>SUMIFS('PIS B'!$J$11:$J$112,'PIS B'!$A$11:$A$112,$B$65,'PIS B'!$B$11:$B$112,'SCH B-2.3 B'!$B68)</f>
        <v>0</v>
      </c>
      <c r="H68" s="52">
        <f t="shared" si="11"/>
        <v>0</v>
      </c>
    </row>
    <row r="69" spans="1:8" ht="18.95" customHeight="1">
      <c r="A69" s="34">
        <f>A68+1</f>
        <v>43</v>
      </c>
      <c r="B69" s="35" t="s">
        <v>422</v>
      </c>
      <c r="C69" s="42" t="s">
        <v>44</v>
      </c>
      <c r="D69" s="52">
        <f>SUMIFS('PIS B'!$D$11:$D$112,'PIS B'!$A$11:$A$112,$B$65,'PIS B'!$B$11:$B$112,'SCH B-2.3 B'!$B69)</f>
        <v>1527001.55</v>
      </c>
      <c r="E69" s="52">
        <f>SUMIFS('PIS B'!$F$11:$F$112,'PIS B'!$A$11:$A$112,$B$65,'PIS B'!$B$11:$B$112,'SCH B-2.3 B'!$B69)</f>
        <v>389377.79</v>
      </c>
      <c r="F69" s="52">
        <f>SUMIFS('PIS B'!$H$11:$H$112,'PIS B'!$A$11:$A$112,$B$65,'PIS B'!$B$11:$B$112,'SCH B-2.3 B'!$B69)</f>
        <v>0</v>
      </c>
      <c r="G69" s="52">
        <f>SUMIFS('PIS B'!$J$11:$J$112,'PIS B'!$A$11:$A$112,$B$65,'PIS B'!$B$11:$B$112,'SCH B-2.3 B'!$B69)</f>
        <v>0</v>
      </c>
      <c r="H69" s="52">
        <f t="shared" si="11"/>
        <v>1916379.34</v>
      </c>
    </row>
    <row r="70" spans="1:8" ht="18.95" customHeight="1">
      <c r="A70" s="34">
        <f t="shared" si="10"/>
        <v>44</v>
      </c>
      <c r="B70" s="35" t="s">
        <v>423</v>
      </c>
      <c r="C70" s="42" t="s">
        <v>424</v>
      </c>
      <c r="D70" s="52">
        <f>SUMIFS('PIS B'!$D$11:$D$112,'PIS B'!$A$11:$A$112,$B$65,'PIS B'!$B$11:$B$112,'SCH B-2.3 B'!$B70)</f>
        <v>0</v>
      </c>
      <c r="E70" s="52">
        <f>SUMIFS('PIS B'!$F$11:$F$112,'PIS B'!$A$11:$A$112,$B$65,'PIS B'!$B$11:$B$112,'SCH B-2.3 B'!$B70)</f>
        <v>0</v>
      </c>
      <c r="F70" s="52">
        <f>SUMIFS('PIS B'!$H$11:$H$112,'PIS B'!$A$11:$A$112,$B$65,'PIS B'!$B$11:$B$112,'SCH B-2.3 B'!$B70)</f>
        <v>0</v>
      </c>
      <c r="G70" s="52">
        <f>SUMIFS('PIS B'!$J$11:$J$112,'PIS B'!$A$11:$A$112,$B$65,'PIS B'!$B$11:$B$112,'SCH B-2.3 B'!$B70)</f>
        <v>0</v>
      </c>
      <c r="H70" s="52">
        <f t="shared" si="11"/>
        <v>0</v>
      </c>
    </row>
    <row r="71" spans="1:8" ht="18.95" customHeight="1">
      <c r="A71" s="34">
        <f t="shared" si="10"/>
        <v>45</v>
      </c>
      <c r="B71" s="35" t="s">
        <v>425</v>
      </c>
      <c r="C71" s="42" t="s">
        <v>426</v>
      </c>
      <c r="D71" s="52">
        <f>SUMIFS('PIS B'!$D$11:$D$112,'PIS B'!$A$11:$A$112,$B$65,'PIS B'!$B$11:$B$112,'SCH B-2.3 B'!$B71)</f>
        <v>6716456.9400000004</v>
      </c>
      <c r="E71" s="52">
        <f>SUMIFS('PIS B'!$F$11:$F$112,'PIS B'!$A$11:$A$112,$B$65,'PIS B'!$B$11:$B$112,'SCH B-2.3 B'!$B71)</f>
        <v>430610.81999999995</v>
      </c>
      <c r="F71" s="52">
        <f>SUMIFS('PIS B'!$H$11:$H$112,'PIS B'!$A$11:$A$112,$B$65,'PIS B'!$B$11:$B$112,'SCH B-2.3 B'!$B71)</f>
        <v>-245638.37</v>
      </c>
      <c r="G71" s="52">
        <f>SUMIFS('PIS B'!$J$11:$J$112,'PIS B'!$A$11:$A$112,$B$65,'PIS B'!$B$11:$B$112,'SCH B-2.3 B'!$B71)</f>
        <v>3657</v>
      </c>
      <c r="H71" s="52">
        <f t="shared" si="11"/>
        <v>6905086.3900000006</v>
      </c>
    </row>
    <row r="72" spans="1:8" ht="18.95" customHeight="1">
      <c r="A72" s="34">
        <f t="shared" si="10"/>
        <v>46</v>
      </c>
      <c r="B72" s="35" t="s">
        <v>427</v>
      </c>
      <c r="C72" s="42" t="s">
        <v>428</v>
      </c>
      <c r="D72" s="52">
        <f>SUMIFS('PIS B'!$D$11:$D$112,'PIS B'!$A$11:$A$112,$B$65,'PIS B'!$B$11:$B$112,'SCH B-2.3 B'!$B72)</f>
        <v>0</v>
      </c>
      <c r="E72" s="52">
        <f>SUMIFS('PIS B'!$F$11:$F$112,'PIS B'!$A$11:$A$112,$B$65,'PIS B'!$B$11:$B$112,'SCH B-2.3 B'!$B72)</f>
        <v>0</v>
      </c>
      <c r="F72" s="52">
        <f>SUMIFS('PIS B'!$H$11:$H$112,'PIS B'!$A$11:$A$112,$B$65,'PIS B'!$B$11:$B$112,'SCH B-2.3 B'!$B72)</f>
        <v>0</v>
      </c>
      <c r="G72" s="52">
        <f>SUMIFS('PIS B'!$J$11:$J$112,'PIS B'!$A$11:$A$112,$B$65,'PIS B'!$B$11:$B$112,'SCH B-2.3 B'!$B72)</f>
        <v>0</v>
      </c>
      <c r="H72" s="52">
        <f t="shared" si="11"/>
        <v>0</v>
      </c>
    </row>
    <row r="73" spans="1:8" ht="18.95" customHeight="1">
      <c r="A73" s="34">
        <f t="shared" si="10"/>
        <v>47</v>
      </c>
      <c r="B73" s="35" t="s">
        <v>429</v>
      </c>
      <c r="C73" s="42" t="s">
        <v>430</v>
      </c>
      <c r="D73" s="52">
        <f>SUMIFS('PIS B'!$D$11:$D$112,'PIS B'!$A$11:$A$112,$B$65,'PIS B'!$B$11:$B$112,'SCH B-2.3 B'!$B73)</f>
        <v>3161883.48</v>
      </c>
      <c r="E73" s="52">
        <f>SUMIFS('PIS B'!$F$11:$F$112,'PIS B'!$A$11:$A$112,$B$65,'PIS B'!$B$11:$B$112,'SCH B-2.3 B'!$B73)</f>
        <v>609345.93999999994</v>
      </c>
      <c r="F73" s="52">
        <f>SUMIFS('PIS B'!$H$11:$H$112,'PIS B'!$A$11:$A$112,$B$65,'PIS B'!$B$11:$B$112,'SCH B-2.3 B'!$B73)</f>
        <v>0</v>
      </c>
      <c r="G73" s="52">
        <f>SUMIFS('PIS B'!$J$11:$J$112,'PIS B'!$A$11:$A$112,$B$65,'PIS B'!$B$11:$B$112,'SCH B-2.3 B'!$B73)</f>
        <v>0</v>
      </c>
      <c r="H73" s="52">
        <f t="shared" si="11"/>
        <v>3771229.42</v>
      </c>
    </row>
    <row r="74" spans="1:8" ht="18.95" customHeight="1">
      <c r="A74" s="34">
        <f t="shared" si="10"/>
        <v>48</v>
      </c>
      <c r="B74" s="35" t="s">
        <v>431</v>
      </c>
      <c r="C74" s="42" t="s">
        <v>46</v>
      </c>
      <c r="D74" s="52">
        <f>SUMIFS('PIS B'!$D$11:$D$112,'PIS B'!$A$11:$A$112,$B$65,'PIS B'!$B$11:$B$112,'SCH B-2.3 B'!$B74)</f>
        <v>0</v>
      </c>
      <c r="E74" s="52">
        <f>SUMIFS('PIS B'!$F$11:$F$112,'PIS B'!$A$11:$A$112,$B$65,'PIS B'!$B$11:$B$112,'SCH B-2.3 B'!$B74)</f>
        <v>0</v>
      </c>
      <c r="F74" s="52">
        <f>SUMIFS('PIS B'!$H$11:$H$112,'PIS B'!$A$11:$A$112,$B$65,'PIS B'!$B$11:$B$112,'SCH B-2.3 B'!$B74)</f>
        <v>0</v>
      </c>
      <c r="G74" s="52">
        <f>SUMIFS('PIS B'!$J$11:$J$112,'PIS B'!$A$11:$A$112,$B$65,'PIS B'!$B$11:$B$112,'SCH B-2.3 B'!$B74)</f>
        <v>0</v>
      </c>
      <c r="H74" s="52">
        <f t="shared" si="11"/>
        <v>0</v>
      </c>
    </row>
    <row r="75" spans="1:8" ht="18.95" customHeight="1">
      <c r="A75" s="34">
        <f t="shared" si="10"/>
        <v>49</v>
      </c>
      <c r="B75" s="35" t="s">
        <v>432</v>
      </c>
      <c r="C75" s="42" t="s">
        <v>433</v>
      </c>
      <c r="D75" s="53">
        <f>SUMIFS('PIS B'!$D$11:$D$112,'PIS B'!$A$11:$A$112,$B$65,'PIS B'!$B$11:$B$112,'SCH B-2.3 B'!$B75)</f>
        <v>0</v>
      </c>
      <c r="E75" s="53">
        <f>SUMIFS('PIS B'!$F$11:$F$112,'PIS B'!$A$11:$A$112,$B$65,'PIS B'!$B$11:$B$112,'SCH B-2.3 B'!$B75)</f>
        <v>0</v>
      </c>
      <c r="F75" s="53">
        <f>SUMIFS('PIS B'!$H$11:$H$112,'PIS B'!$A$11:$A$112,$B$65,'PIS B'!$B$11:$B$112,'SCH B-2.3 B'!$B75)</f>
        <v>0</v>
      </c>
      <c r="G75" s="53">
        <f>SUMIFS('PIS B'!$J$11:$J$112,'PIS B'!$A$11:$A$112,$B$65,'PIS B'!$B$11:$B$112,'SCH B-2.3 B'!$B75)</f>
        <v>0</v>
      </c>
      <c r="H75" s="53">
        <f t="shared" ref="H75" si="12">SUM(D75:G75)</f>
        <v>0</v>
      </c>
    </row>
    <row r="76" spans="1:8" ht="18.95" customHeight="1">
      <c r="A76" s="34">
        <f t="shared" si="10"/>
        <v>50</v>
      </c>
      <c r="B76" s="35"/>
      <c r="C76" s="42" t="s">
        <v>619</v>
      </c>
      <c r="D76" s="50">
        <f>SUM(D66:D75)</f>
        <v>11405341.970000001</v>
      </c>
      <c r="E76" s="50">
        <f>SUM(E66:E75)</f>
        <v>1429334.5499999998</v>
      </c>
      <c r="F76" s="50">
        <f>SUM(F66:F75)</f>
        <v>-245638.37</v>
      </c>
      <c r="G76" s="50">
        <f>SUM(G66:G75)</f>
        <v>3657</v>
      </c>
      <c r="H76" s="50">
        <f>SUM(H66:H75)</f>
        <v>12592695.15</v>
      </c>
    </row>
    <row r="77" spans="1:8" ht="18.95" customHeight="1">
      <c r="A77" s="34"/>
      <c r="B77" s="35"/>
    </row>
    <row r="78" spans="1:8" ht="18.95" customHeight="1">
      <c r="A78" s="34">
        <f>A76+1</f>
        <v>51</v>
      </c>
      <c r="B78" s="129" t="s">
        <v>452</v>
      </c>
      <c r="C78" s="54" t="s">
        <v>502</v>
      </c>
    </row>
    <row r="79" spans="1:8" ht="18.95" customHeight="1">
      <c r="A79" s="34">
        <f>A78+1</f>
        <v>52</v>
      </c>
      <c r="B79" s="35" t="s">
        <v>411</v>
      </c>
      <c r="C79" s="42" t="s">
        <v>412</v>
      </c>
      <c r="D79" s="52">
        <f>SUMIFS('PIS B'!$D$11:$D$112,'PIS B'!$A$11:$A$112,$B$78,'PIS B'!$B$11:$B$112,'SCH B-2.3 B'!$B79)</f>
        <v>25134.686999999973</v>
      </c>
      <c r="E79" s="52">
        <f>SUMIFS('PIS B'!$F$11:$F$112,'PIS B'!$A$11:$A$112,$B$78,'PIS B'!$B$11:$B$112,'SCH B-2.3 B'!$B79)</f>
        <v>0</v>
      </c>
      <c r="F79" s="52">
        <f>SUMIFS('PIS B'!$H$11:$H$112,'PIS B'!$A$11:$A$112,$B$78,'PIS B'!$B$11:$B$112,'SCH B-2.3 B'!$B79)</f>
        <v>0</v>
      </c>
      <c r="G79" s="52">
        <f>SUMIFS('PIS B'!$J$11:$J$112,'PIS B'!$A$11:$A$112,$B$78,'PIS B'!$B$11:$B$112,'SCH B-2.3 B'!$B79)</f>
        <v>0</v>
      </c>
      <c r="H79" s="50">
        <f>SUM(D79:G79)</f>
        <v>25134.686999999973</v>
      </c>
    </row>
    <row r="80" spans="1:8" ht="18.95" customHeight="1">
      <c r="A80" s="34">
        <f t="shared" ref="A80:A81" si="13">A79+1</f>
        <v>53</v>
      </c>
      <c r="B80" s="35" t="s">
        <v>413</v>
      </c>
      <c r="C80" s="42" t="s">
        <v>414</v>
      </c>
      <c r="D80" s="50">
        <f>SUMIFS('PIS B'!$D$11:$D$112,'PIS B'!$A$11:$A$112,$B$78,'PIS B'!$B$11:$B$112,'SCH B-2.3 B'!$B80)</f>
        <v>0</v>
      </c>
      <c r="E80" s="50">
        <f>SUMIFS('PIS B'!$F$11:$F$112,'PIS B'!$A$11:$A$112,$B$78,'PIS B'!$B$11:$B$112,'SCH B-2.3 B'!$B80)</f>
        <v>0</v>
      </c>
      <c r="F80" s="51">
        <f>SUMIFS('PIS B'!$H$11:$H$112,'PIS B'!$A$11:$A$112,$B$78,'PIS B'!$B$11:$B$112,'SCH B-2.3 B'!$B80)</f>
        <v>0</v>
      </c>
      <c r="G80" s="51">
        <f>SUMIFS('PIS B'!$J$11:$J$112,'PIS B'!$A$11:$A$112,$B$78,'PIS B'!$B$11:$B$112,'SCH B-2.3 B'!$B80)</f>
        <v>0</v>
      </c>
      <c r="H80" s="51">
        <f t="shared" ref="H80:H81" si="14">SUM(D80:G80)</f>
        <v>0</v>
      </c>
    </row>
    <row r="81" spans="1:8" ht="18.95" customHeight="1">
      <c r="A81" s="34">
        <f t="shared" si="13"/>
        <v>54</v>
      </c>
      <c r="B81" s="35" t="s">
        <v>415</v>
      </c>
      <c r="C81" s="42" t="s">
        <v>416</v>
      </c>
      <c r="D81" s="52">
        <f>SUMIFS('PIS B'!$D$11:$D$112,'PIS B'!$A$11:$A$112,$B$78,'PIS B'!$B$11:$B$112,'SCH B-2.3 B'!$B81)</f>
        <v>28952365.460999999</v>
      </c>
      <c r="E81" s="52">
        <f>SUMIFS('PIS B'!$F$11:$F$112,'PIS B'!$A$11:$A$112,$B$78,'PIS B'!$B$11:$B$112,'SCH B-2.3 B'!$B81)</f>
        <v>3764691.8759999964</v>
      </c>
      <c r="F81" s="52">
        <f>SUMIFS('PIS B'!$H$11:$H$112,'PIS B'!$A$11:$A$112,$B$78,'PIS B'!$B$11:$B$112,'SCH B-2.3 B'!$B81)</f>
        <v>-2149544.67</v>
      </c>
      <c r="G81" s="52">
        <f>SUMIFS('PIS B'!$J$11:$J$112,'PIS B'!$A$11:$A$112,$B$78,'PIS B'!$B$11:$B$112,'SCH B-2.3 B'!$B81)</f>
        <v>0</v>
      </c>
      <c r="H81" s="52">
        <f t="shared" si="14"/>
        <v>30567512.666999996</v>
      </c>
    </row>
    <row r="82" spans="1:8" ht="18.95" customHeight="1">
      <c r="A82" s="34">
        <f>A81+1</f>
        <v>55</v>
      </c>
      <c r="B82" s="35" t="s">
        <v>419</v>
      </c>
      <c r="C82" s="42" t="s">
        <v>43</v>
      </c>
      <c r="D82" s="52">
        <f>SUMIFS('PIS B'!$D$11:$D$112,'PIS B'!$A$11:$A$112,$B$78,'PIS B'!$B$11:$B$112,'SCH B-2.3 B'!$B82)</f>
        <v>529946.79299999995</v>
      </c>
      <c r="E82" s="52">
        <f>SUMIFS('PIS B'!$F$11:$F$112,'PIS B'!$A$11:$A$112,$B$78,'PIS B'!$B$11:$B$112,'SCH B-2.3 B'!$B82)</f>
        <v>0</v>
      </c>
      <c r="F82" s="52">
        <f>SUMIFS('PIS B'!$H$11:$H$112,'PIS B'!$A$11:$A$112,$B$78,'PIS B'!$B$11:$B$112,'SCH B-2.3 B'!$B82)</f>
        <v>0</v>
      </c>
      <c r="G82" s="52">
        <f>SUMIFS('PIS B'!$J$11:$J$112,'PIS B'!$A$11:$A$112,$B$78,'PIS B'!$B$11:$B$112,'SCH B-2.3 B'!$B82)</f>
        <v>0</v>
      </c>
      <c r="H82" s="52">
        <f t="shared" ref="H82:H103" si="15">SUM(D82:G82)</f>
        <v>529946.79299999995</v>
      </c>
    </row>
    <row r="83" spans="1:8" ht="18.95" customHeight="1">
      <c r="A83" s="34">
        <f t="shared" ref="A83:A104" si="16">A82+1</f>
        <v>56</v>
      </c>
      <c r="B83" s="35" t="s">
        <v>420</v>
      </c>
      <c r="C83" s="42" t="s">
        <v>42</v>
      </c>
      <c r="D83" s="52">
        <f>SUMIFS('PIS B'!$D$11:$D$112,'PIS B'!$A$11:$A$112,$B$78,'PIS B'!$B$11:$B$112,'SCH B-2.3 B'!$B83)</f>
        <v>23360905.36199997</v>
      </c>
      <c r="E83" s="52">
        <f>SUMIFS('PIS B'!$F$11:$F$112,'PIS B'!$A$11:$A$112,$B$78,'PIS B'!$B$11:$B$112,'SCH B-2.3 B'!$B83)</f>
        <v>746799.46499999939</v>
      </c>
      <c r="F83" s="52">
        <f>SUMIFS('PIS B'!$H$11:$H$112,'PIS B'!$A$11:$A$112,$B$78,'PIS B'!$B$11:$B$112,'SCH B-2.3 B'!$B83)</f>
        <v>-50195.205000000002</v>
      </c>
      <c r="G83" s="52">
        <f>SUMIFS('PIS B'!$J$11:$J$112,'PIS B'!$A$11:$A$112,$B$78,'PIS B'!$B$11:$B$112,'SCH B-2.3 B'!$B83)</f>
        <v>0</v>
      </c>
      <c r="H83" s="52">
        <f t="shared" si="15"/>
        <v>24057509.621999972</v>
      </c>
    </row>
    <row r="84" spans="1:8" ht="18.95" customHeight="1">
      <c r="A84" s="34">
        <f t="shared" si="16"/>
        <v>57</v>
      </c>
      <c r="B84" s="35" t="s">
        <v>421</v>
      </c>
      <c r="C84" s="42" t="s">
        <v>45</v>
      </c>
      <c r="D84" s="52">
        <f>SUMIFS('PIS B'!$D$11:$D$112,'PIS B'!$A$11:$A$112,$B$78,'PIS B'!$B$11:$B$112,'SCH B-2.3 B'!$B84)</f>
        <v>11699182.001999998</v>
      </c>
      <c r="E84" s="52">
        <f>SUMIFS('PIS B'!$F$11:$F$112,'PIS B'!$A$11:$A$112,$B$78,'PIS B'!$B$11:$B$112,'SCH B-2.3 B'!$B84)</f>
        <v>2928350.8470000001</v>
      </c>
      <c r="F84" s="52">
        <f>SUMIFS('PIS B'!$H$11:$H$112,'PIS B'!$A$11:$A$112,$B$78,'PIS B'!$B$11:$B$112,'SCH B-2.3 B'!$B84)</f>
        <v>-1827480.84</v>
      </c>
      <c r="G84" s="52">
        <f>SUMIFS('PIS B'!$J$11:$J$112,'PIS B'!$A$11:$A$112,$B$78,'PIS B'!$B$11:$B$112,'SCH B-2.3 B'!$B84)</f>
        <v>0</v>
      </c>
      <c r="H84" s="52">
        <f t="shared" si="15"/>
        <v>12800052.009</v>
      </c>
    </row>
    <row r="85" spans="1:8" ht="18.95" customHeight="1">
      <c r="A85" s="34">
        <f t="shared" si="16"/>
        <v>58</v>
      </c>
      <c r="B85" s="35" t="s">
        <v>422</v>
      </c>
      <c r="C85" s="42" t="s">
        <v>44</v>
      </c>
      <c r="D85" s="52">
        <f>SUMIFS('PIS B'!$D$11:$D$112,'PIS B'!$A$11:$A$112,$B$78,'PIS B'!$B$11:$B$112,'SCH B-2.3 B'!$B85)</f>
        <v>84563.985000000001</v>
      </c>
      <c r="E85" s="52">
        <f>SUMIFS('PIS B'!$F$11:$F$112,'PIS B'!$A$11:$A$112,$B$78,'PIS B'!$B$11:$B$112,'SCH B-2.3 B'!$B85)</f>
        <v>0</v>
      </c>
      <c r="F85" s="52">
        <f>SUMIFS('PIS B'!$H$11:$H$112,'PIS B'!$A$11:$A$112,$B$78,'PIS B'!$B$11:$B$112,'SCH B-2.3 B'!$B85)</f>
        <v>-2311.0740000000001</v>
      </c>
      <c r="G85" s="52">
        <f>SUMIFS('PIS B'!$J$11:$J$112,'PIS B'!$A$11:$A$112,$B$78,'PIS B'!$B$11:$B$112,'SCH B-2.3 B'!$B85)</f>
        <v>0</v>
      </c>
      <c r="H85" s="52">
        <f t="shared" si="15"/>
        <v>82252.911000000007</v>
      </c>
    </row>
    <row r="86" spans="1:8" ht="18.95" customHeight="1">
      <c r="A86" s="34">
        <f t="shared" si="16"/>
        <v>59</v>
      </c>
      <c r="B86" s="35" t="s">
        <v>423</v>
      </c>
      <c r="C86" s="42" t="s">
        <v>424</v>
      </c>
      <c r="D86" s="52">
        <f>SUMIFS('PIS B'!$D$11:$D$112,'PIS B'!$A$11:$A$112,$B$78,'PIS B'!$B$11:$B$112,'SCH B-2.3 B'!$B86)</f>
        <v>449429.84399999998</v>
      </c>
      <c r="E86" s="52">
        <f>SUMIFS('PIS B'!$F$11:$F$112,'PIS B'!$A$11:$A$112,$B$78,'PIS B'!$B$11:$B$112,'SCH B-2.3 B'!$B86)</f>
        <v>-8107.3380000000006</v>
      </c>
      <c r="F86" s="52">
        <f>SUMIFS('PIS B'!$H$11:$H$112,'PIS B'!$A$11:$A$112,$B$78,'PIS B'!$B$11:$B$112,'SCH B-2.3 B'!$B86)</f>
        <v>0</v>
      </c>
      <c r="G86" s="52">
        <f>SUMIFS('PIS B'!$J$11:$J$112,'PIS B'!$A$11:$A$112,$B$78,'PIS B'!$B$11:$B$112,'SCH B-2.3 B'!$B86)</f>
        <v>0</v>
      </c>
      <c r="H86" s="52">
        <f t="shared" si="15"/>
        <v>441322.50599999999</v>
      </c>
    </row>
    <row r="87" spans="1:8" ht="18.95" customHeight="1">
      <c r="A87" s="34">
        <f t="shared" si="16"/>
        <v>60</v>
      </c>
      <c r="B87" s="35" t="s">
        <v>425</v>
      </c>
      <c r="C87" s="42" t="s">
        <v>426</v>
      </c>
      <c r="D87" s="52">
        <f>SUMIFS('PIS B'!$D$11:$D$112,'PIS B'!$A$11:$A$112,$B$78,'PIS B'!$B$11:$B$112,'SCH B-2.3 B'!$B87)</f>
        <v>1197777.048</v>
      </c>
      <c r="E87" s="52">
        <f>SUMIFS('PIS B'!$F$11:$F$112,'PIS B'!$A$11:$A$112,$B$78,'PIS B'!$B$11:$B$112,'SCH B-2.3 B'!$B87)</f>
        <v>11852.525999999996</v>
      </c>
      <c r="F87" s="52">
        <f>SUMIFS('PIS B'!$H$11:$H$112,'PIS B'!$A$11:$A$112,$B$78,'PIS B'!$B$11:$B$112,'SCH B-2.3 B'!$B87)</f>
        <v>0</v>
      </c>
      <c r="G87" s="52">
        <f>SUMIFS('PIS B'!$J$11:$J$112,'PIS B'!$A$11:$A$112,$B$78,'PIS B'!$B$11:$B$112,'SCH B-2.3 B'!$B87)</f>
        <v>0</v>
      </c>
      <c r="H87" s="52">
        <f t="shared" si="15"/>
        <v>1209629.574</v>
      </c>
    </row>
    <row r="88" spans="1:8" ht="18.95" customHeight="1">
      <c r="A88" s="34">
        <f t="shared" si="16"/>
        <v>61</v>
      </c>
      <c r="B88" s="35" t="s">
        <v>427</v>
      </c>
      <c r="C88" s="42" t="s">
        <v>428</v>
      </c>
      <c r="D88" s="52">
        <f>SUMIFS('PIS B'!$D$11:$D$112,'PIS B'!$A$11:$A$112,$B$78,'PIS B'!$B$11:$B$112,'SCH B-2.3 B'!$B88)</f>
        <v>0</v>
      </c>
      <c r="E88" s="52">
        <f>SUMIFS('PIS B'!$F$11:$F$112,'PIS B'!$A$11:$A$112,$B$78,'PIS B'!$B$11:$B$112,'SCH B-2.3 B'!$B88)</f>
        <v>0</v>
      </c>
      <c r="F88" s="52">
        <f>SUMIFS('PIS B'!$H$11:$H$112,'PIS B'!$A$11:$A$112,$B$78,'PIS B'!$B$11:$B$112,'SCH B-2.3 B'!$B88)</f>
        <v>0</v>
      </c>
      <c r="G88" s="52">
        <f>SUMIFS('PIS B'!$J$11:$J$112,'PIS B'!$A$11:$A$112,$B$78,'PIS B'!$B$11:$B$112,'SCH B-2.3 B'!$B88)</f>
        <v>0</v>
      </c>
      <c r="H88" s="52">
        <f t="shared" si="15"/>
        <v>0</v>
      </c>
    </row>
    <row r="89" spans="1:8" s="32" customFormat="1" ht="20.100000000000001" customHeight="1">
      <c r="A89" s="494" t="str">
        <f>$A$1</f>
        <v>LOUISVILLE GAS AND ELECTRIC COMPANY</v>
      </c>
      <c r="B89" s="494"/>
      <c r="C89" s="494"/>
      <c r="D89" s="494"/>
      <c r="E89" s="494"/>
      <c r="F89" s="494"/>
      <c r="G89" s="494"/>
      <c r="H89" s="494"/>
    </row>
    <row r="90" spans="1:8" s="32" customFormat="1" ht="20.100000000000001" customHeight="1">
      <c r="A90" s="494" t="str">
        <f>$A$2</f>
        <v>CASE NO. 2016-00371 - GAS OPERATIONS</v>
      </c>
      <c r="B90" s="494"/>
      <c r="C90" s="494"/>
      <c r="D90" s="494"/>
      <c r="E90" s="494"/>
      <c r="F90" s="494"/>
      <c r="G90" s="494"/>
      <c r="H90" s="494"/>
    </row>
    <row r="91" spans="1:8" s="32" customFormat="1" ht="20.100000000000001" customHeight="1">
      <c r="A91" s="494" t="str">
        <f>$A$3</f>
        <v>GROSS ADDITIONS, RETIREMENTS, AND TRANSFERS</v>
      </c>
      <c r="B91" s="494"/>
      <c r="C91" s="494"/>
      <c r="D91" s="494"/>
      <c r="E91" s="494"/>
      <c r="F91" s="494"/>
      <c r="G91" s="494"/>
      <c r="H91" s="494"/>
    </row>
    <row r="92" spans="1:8" s="32" customFormat="1" ht="20.100000000000001" customHeight="1">
      <c r="A92" s="493" t="str">
        <f>$A$4</f>
        <v>FROM MARCH 1, 2016 TO FEBRUARY 28, 2017</v>
      </c>
      <c r="B92" s="494"/>
      <c r="C92" s="494"/>
      <c r="D92" s="494"/>
      <c r="E92" s="494"/>
      <c r="F92" s="494"/>
      <c r="G92" s="494"/>
      <c r="H92" s="494"/>
    </row>
    <row r="93" spans="1:8" s="32" customFormat="1" ht="20.100000000000001" customHeight="1">
      <c r="A93" s="128"/>
      <c r="B93" s="128"/>
      <c r="C93" s="128"/>
      <c r="D93" s="128"/>
      <c r="E93" s="128"/>
      <c r="F93" s="128"/>
      <c r="G93" s="128"/>
      <c r="H93" s="128"/>
    </row>
    <row r="94" spans="1:8" s="32" customFormat="1" ht="20.100000000000001" customHeight="1">
      <c r="A94" s="31" t="str">
        <f>$A$6</f>
        <v>DATA:__X__BASE  PERIOD____FORECASTED  PERIOD</v>
      </c>
      <c r="B94" s="31"/>
      <c r="G94" s="38"/>
      <c r="H94" s="38" t="s">
        <v>37</v>
      </c>
    </row>
    <row r="95" spans="1:8" s="32" customFormat="1" ht="20.100000000000001" customHeight="1">
      <c r="A95" s="31" t="str">
        <f>$A$7</f>
        <v>TYPE OF FILING: __X__ ORIGINAL  _____ UPDATED  _____ REVISED</v>
      </c>
      <c r="G95" s="38"/>
      <c r="H95" s="38" t="s">
        <v>58</v>
      </c>
    </row>
    <row r="96" spans="1:8" s="32" customFormat="1" ht="20.100000000000001" customHeight="1">
      <c r="A96" s="31" t="str">
        <f>$A$8</f>
        <v>WORKPAPER REFERENCE NO(S).:</v>
      </c>
      <c r="B96" s="31"/>
      <c r="F96" s="31"/>
      <c r="G96" s="39"/>
      <c r="H96" s="39" t="str">
        <f>$H$8</f>
        <v>WITNESS:   C. M. GARRETT</v>
      </c>
    </row>
    <row r="97" spans="1:8" s="32" customFormat="1" ht="20.100000000000001" customHeight="1"/>
    <row r="98" spans="1:8" ht="58.5" customHeight="1">
      <c r="A98" s="40" t="s">
        <v>29</v>
      </c>
      <c r="B98" s="40" t="s">
        <v>32</v>
      </c>
      <c r="C98" s="43" t="s">
        <v>33</v>
      </c>
      <c r="D98" s="40" t="s">
        <v>34</v>
      </c>
      <c r="E98" s="40" t="s">
        <v>35</v>
      </c>
      <c r="F98" s="40" t="s">
        <v>36</v>
      </c>
      <c r="G98" s="40" t="s">
        <v>38</v>
      </c>
      <c r="H98" s="40" t="s">
        <v>39</v>
      </c>
    </row>
    <row r="99" spans="1:8" ht="23.1" customHeight="1">
      <c r="A99" s="44"/>
      <c r="B99" s="44"/>
      <c r="C99" s="45"/>
      <c r="D99" s="46" t="s">
        <v>40</v>
      </c>
      <c r="E99" s="46" t="s">
        <v>40</v>
      </c>
      <c r="F99" s="46" t="s">
        <v>40</v>
      </c>
      <c r="G99" s="46" t="s">
        <v>40</v>
      </c>
      <c r="H99" s="46" t="s">
        <v>40</v>
      </c>
    </row>
    <row r="100" spans="1:8" ht="18.95" customHeight="1">
      <c r="A100" s="34">
        <f>A88+1</f>
        <v>62</v>
      </c>
      <c r="B100" s="35" t="s">
        <v>429</v>
      </c>
      <c r="C100" s="42" t="s">
        <v>430</v>
      </c>
      <c r="D100" s="52">
        <f>SUMIFS('PIS B'!$D$11:$D$112,'PIS B'!$A$11:$A$112,$B$78,'PIS B'!$B$11:$B$112,'SCH B-2.3 B'!$B100)</f>
        <v>94668.524999999994</v>
      </c>
      <c r="E100" s="52">
        <f>SUMIFS('PIS B'!$F$11:$F$112,'PIS B'!$A$11:$A$112,$B$78,'PIS B'!$B$11:$B$112,'SCH B-2.3 B'!$B100)</f>
        <v>8107.3380000000006</v>
      </c>
      <c r="F100" s="52">
        <f>SUMIFS('PIS B'!$H$11:$H$112,'PIS B'!$A$11:$A$112,$B$78,'PIS B'!$B$11:$B$112,'SCH B-2.3 B'!$B100)</f>
        <v>0</v>
      </c>
      <c r="G100" s="52">
        <f>SUMIFS('PIS B'!$J$11:$J$112,'PIS B'!$A$11:$A$112,$B$78,'PIS B'!$B$11:$B$112,'SCH B-2.3 B'!$B100)</f>
        <v>0</v>
      </c>
      <c r="H100" s="52">
        <f t="shared" si="15"/>
        <v>102775.863</v>
      </c>
    </row>
    <row r="101" spans="1:8" ht="18.95" customHeight="1">
      <c r="A101" s="34">
        <f t="shared" si="16"/>
        <v>63</v>
      </c>
      <c r="B101" s="35" t="s">
        <v>431</v>
      </c>
      <c r="C101" s="42" t="s">
        <v>46</v>
      </c>
      <c r="D101" s="52">
        <f>SUMIFS('PIS B'!$D$11:$D$112,'PIS B'!$A$11:$A$112,$B$78,'PIS B'!$B$11:$B$112,'SCH B-2.3 B'!$B101)</f>
        <v>13846590.176999999</v>
      </c>
      <c r="E101" s="52">
        <f>SUMIFS('PIS B'!$F$11:$F$112,'PIS B'!$A$11:$A$112,$B$78,'PIS B'!$B$11:$B$112,'SCH B-2.3 B'!$B101)</f>
        <v>1472890.5360000001</v>
      </c>
      <c r="F101" s="52">
        <f>SUMIFS('PIS B'!$H$11:$H$112,'PIS B'!$A$11:$A$112,$B$78,'PIS B'!$B$11:$B$112,'SCH B-2.3 B'!$B101)</f>
        <v>-2975609.5050000004</v>
      </c>
      <c r="G101" s="52">
        <f>SUMIFS('PIS B'!$J$11:$J$112,'PIS B'!$A$11:$A$112,$B$78,'PIS B'!$B$11:$B$112,'SCH B-2.3 B'!$B101)</f>
        <v>0</v>
      </c>
      <c r="H101" s="52">
        <f t="shared" si="15"/>
        <v>12343871.207999999</v>
      </c>
    </row>
    <row r="102" spans="1:8" ht="18.95" customHeight="1">
      <c r="A102" s="34">
        <f t="shared" si="16"/>
        <v>64</v>
      </c>
      <c r="B102" s="35" t="s">
        <v>432</v>
      </c>
      <c r="C102" s="42" t="s">
        <v>433</v>
      </c>
      <c r="D102" s="52">
        <f>SUMIFS('PIS B'!$D$11:$D$112,'PIS B'!$A$11:$A$112,$B$78,'PIS B'!$B$11:$B$112,'SCH B-2.3 B'!$B102)</f>
        <v>0</v>
      </c>
      <c r="E102" s="52">
        <f>SUMIFS('PIS B'!$F$11:$F$112,'PIS B'!$A$11:$A$112,$B$78,'PIS B'!$B$11:$B$112,'SCH B-2.3 B'!$B102)</f>
        <v>0</v>
      </c>
      <c r="F102" s="52">
        <f>SUMIFS('PIS B'!$H$11:$H$112,'PIS B'!$A$11:$A$112,$B$78,'PIS B'!$B$11:$B$112,'SCH B-2.3 B'!$B102)</f>
        <v>0</v>
      </c>
      <c r="G102" s="52">
        <f>SUMIFS('PIS B'!$J$11:$J$112,'PIS B'!$A$11:$A$112,$B$78,'PIS B'!$B$11:$B$112,'SCH B-2.3 B'!$B102)</f>
        <v>0</v>
      </c>
      <c r="H102" s="52">
        <f t="shared" si="15"/>
        <v>0</v>
      </c>
    </row>
    <row r="103" spans="1:8" ht="18.95" customHeight="1">
      <c r="A103" s="34">
        <f t="shared" si="16"/>
        <v>65</v>
      </c>
      <c r="B103" s="35">
        <v>399</v>
      </c>
      <c r="C103" s="42" t="s">
        <v>490</v>
      </c>
      <c r="D103" s="53">
        <f>SUMIFS('PIS B'!$D$11:$D$112,'PIS B'!$A$11:$A$112,$B$78,'PIS B'!$B$11:$B$112,'SCH B-2.3 B'!$B103)</f>
        <v>0</v>
      </c>
      <c r="E103" s="53">
        <f>SUMIFS('PIS B'!$F$11:$F$112,'PIS B'!$A$11:$A$112,$B$78,'PIS B'!$B$11:$B$112,'SCH B-2.3 B'!$B103)</f>
        <v>0</v>
      </c>
      <c r="F103" s="53">
        <f>SUMIFS('PIS B'!$H$11:$H$112,'PIS B'!$A$11:$A$112,$B$78,'PIS B'!$B$11:$B$112,'SCH B-2.3 B'!$B103)</f>
        <v>0</v>
      </c>
      <c r="G103" s="53">
        <f>SUMIFS('PIS B'!$J$11:$J$112,'PIS B'!$A$11:$A$112,$B$78,'PIS B'!$B$11:$B$112,'SCH B-2.3 B'!$B103)</f>
        <v>0</v>
      </c>
      <c r="H103" s="53">
        <f t="shared" si="15"/>
        <v>0</v>
      </c>
    </row>
    <row r="104" spans="1:8" ht="18.95" customHeight="1">
      <c r="A104" s="34">
        <f t="shared" si="16"/>
        <v>66</v>
      </c>
      <c r="B104" s="35"/>
      <c r="C104" s="42" t="s">
        <v>622</v>
      </c>
      <c r="D104" s="50">
        <f>SUM(D79:D88,D100:D103)</f>
        <v>80240563.883999959</v>
      </c>
      <c r="E104" s="50">
        <f t="shared" ref="E104:H104" si="17">SUM(E79:E88,E100:E103)</f>
        <v>8924585.2499999963</v>
      </c>
      <c r="F104" s="50">
        <f t="shared" si="17"/>
        <v>-7005141.2939999998</v>
      </c>
      <c r="G104" s="50">
        <f t="shared" si="17"/>
        <v>0</v>
      </c>
      <c r="H104" s="50">
        <f t="shared" si="17"/>
        <v>82160007.839999974</v>
      </c>
    </row>
    <row r="105" spans="1:8" ht="18.95" customHeight="1">
      <c r="A105" s="34"/>
      <c r="B105" s="35"/>
    </row>
    <row r="106" spans="1:8" ht="18.95" customHeight="1" thickBot="1">
      <c r="A106" s="34">
        <f>A104+1</f>
        <v>67</v>
      </c>
      <c r="B106" s="35"/>
      <c r="C106" s="32" t="s">
        <v>621</v>
      </c>
      <c r="D106" s="57">
        <f>SUM(D16,D31,D37,D63,D76,D104)</f>
        <v>1117709279.664</v>
      </c>
      <c r="E106" s="57">
        <f>SUM(E16,E31,E37,E63,E76,E104)</f>
        <v>112864593.60999994</v>
      </c>
      <c r="F106" s="57">
        <f>SUM(F16,F31,F37,F63,F76,F104)</f>
        <v>-13372313.563999999</v>
      </c>
      <c r="G106" s="57">
        <f>SUM(G16,G31,G37,G63,G76,G104)</f>
        <v>0</v>
      </c>
      <c r="H106" s="57">
        <f>SUM(H16,H31,H37,H63,H76,H104)</f>
        <v>1217201559.7099998</v>
      </c>
    </row>
    <row r="107" spans="1:8" ht="18.95" customHeight="1" thickTop="1">
      <c r="B107" s="35"/>
    </row>
    <row r="108" spans="1:8" ht="18.95" customHeight="1">
      <c r="B108" s="35"/>
      <c r="C108" s="130" t="s">
        <v>620</v>
      </c>
    </row>
    <row r="109" spans="1:8" ht="18.95" customHeight="1">
      <c r="B109" s="35"/>
      <c r="C109" s="42"/>
    </row>
    <row r="110" spans="1:8" ht="18.95" customHeight="1">
      <c r="B110" s="35"/>
      <c r="C110" s="32" t="s">
        <v>491</v>
      </c>
      <c r="D110" s="50">
        <f>'PIS B'!D116</f>
        <v>1117709279.6639998</v>
      </c>
      <c r="H110" s="50">
        <f>'PIS B'!N116</f>
        <v>1217201559.7099998</v>
      </c>
    </row>
    <row r="111" spans="1:8" ht="18.95" customHeight="1">
      <c r="B111" s="35"/>
      <c r="D111" s="56">
        <f>D106-D110</f>
        <v>0</v>
      </c>
    </row>
    <row r="112" spans="1:8" ht="18.95" customHeight="1">
      <c r="D112" s="33" t="s">
        <v>47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1:H1"/>
    <mergeCell ref="A2:H2"/>
    <mergeCell ref="A3:H3"/>
    <mergeCell ref="A4:H4"/>
    <mergeCell ref="A92:H92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7" fitToHeight="0" orientation="portrait" r:id="rId1"/>
  <rowBreaks count="2" manualBreakCount="2">
    <brk id="44" max="16383" man="1"/>
    <brk id="88" max="8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fitToPage="1"/>
  </sheetPr>
  <dimension ref="A1:K124"/>
  <sheetViews>
    <sheetView zoomScaleNormal="100" workbookViewId="0">
      <selection activeCell="F97" sqref="F97"/>
    </sheetView>
  </sheetViews>
  <sheetFormatPr defaultColWidth="9" defaultRowHeight="12.75"/>
  <cols>
    <col min="1" max="1" width="6" style="33" customWidth="1"/>
    <col min="2" max="2" width="10.44140625" style="33" customWidth="1"/>
    <col min="3" max="3" width="38.33203125" style="33" customWidth="1"/>
    <col min="4" max="9" width="13.6640625" style="33" customWidth="1"/>
    <col min="10" max="10" width="1.6640625" style="33" customWidth="1"/>
    <col min="11" max="16384" width="9" style="33"/>
  </cols>
  <sheetData>
    <row r="1" spans="1:9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  <c r="G1" s="494"/>
      <c r="H1" s="494"/>
      <c r="I1" s="494"/>
    </row>
    <row r="2" spans="1:9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  <c r="G2" s="494"/>
      <c r="H2" s="494"/>
      <c r="I2" s="494"/>
    </row>
    <row r="3" spans="1:9" s="32" customFormat="1" ht="20.100000000000001" customHeight="1">
      <c r="A3" s="494" t="s">
        <v>30</v>
      </c>
      <c r="B3" s="494"/>
      <c r="C3" s="494"/>
      <c r="D3" s="494"/>
      <c r="E3" s="494"/>
      <c r="F3" s="494"/>
      <c r="G3" s="494"/>
      <c r="H3" s="494"/>
      <c r="I3" s="494"/>
    </row>
    <row r="4" spans="1:9" s="32" customFormat="1" ht="20.100000000000001" customHeight="1">
      <c r="A4" s="494" t="str">
        <f>'Rate Case Constants'!C20</f>
        <v>FROM JULY 1, 2017 TO JUNE 30, 2018</v>
      </c>
      <c r="B4" s="494"/>
      <c r="C4" s="494"/>
      <c r="D4" s="494"/>
      <c r="E4" s="494"/>
      <c r="F4" s="494"/>
      <c r="G4" s="494"/>
      <c r="H4" s="494"/>
      <c r="I4" s="494"/>
    </row>
    <row r="5" spans="1:9" s="32" customFormat="1" ht="20.100000000000001" customHeight="1">
      <c r="A5" s="48"/>
      <c r="B5" s="48"/>
      <c r="C5" s="48"/>
      <c r="D5" s="48"/>
      <c r="E5" s="48"/>
      <c r="F5" s="48"/>
      <c r="G5" s="48"/>
      <c r="H5" s="48"/>
      <c r="I5" s="48"/>
    </row>
    <row r="6" spans="1:9" s="32" customFormat="1" ht="20.100000000000001" customHeight="1">
      <c r="A6" s="31" t="s">
        <v>48</v>
      </c>
      <c r="B6" s="31"/>
      <c r="G6" s="38"/>
      <c r="H6" s="38"/>
      <c r="I6" s="38" t="s">
        <v>37</v>
      </c>
    </row>
    <row r="7" spans="1:9" s="32" customFormat="1" ht="20.100000000000001" customHeight="1">
      <c r="A7" s="32" t="str">
        <f>'Rate Case Constants'!C29</f>
        <v>TYPE OF FILING: __X__ ORIGINAL  _____ UPDATED  _____ REVISED</v>
      </c>
      <c r="G7" s="38"/>
      <c r="H7" s="38"/>
      <c r="I7" s="38" t="s">
        <v>55</v>
      </c>
    </row>
    <row r="8" spans="1:9" s="32" customFormat="1" ht="20.100000000000001" customHeight="1">
      <c r="A8" s="31" t="s">
        <v>151</v>
      </c>
      <c r="B8" s="31"/>
      <c r="F8" s="31"/>
      <c r="G8" s="39"/>
      <c r="H8" s="39"/>
      <c r="I8" s="39" t="str">
        <f>'Rate Case Constants'!C36</f>
        <v>WITNESS:   C. M. GARRETT</v>
      </c>
    </row>
    <row r="9" spans="1:9" s="32" customFormat="1" ht="20.100000000000001" customHeight="1"/>
    <row r="10" spans="1:9" ht="69.95" customHeight="1">
      <c r="A10" s="40" t="s">
        <v>29</v>
      </c>
      <c r="B10" s="40" t="s">
        <v>32</v>
      </c>
      <c r="C10" s="43" t="s">
        <v>33</v>
      </c>
      <c r="D10" s="40" t="s">
        <v>49</v>
      </c>
      <c r="E10" s="40" t="s">
        <v>35</v>
      </c>
      <c r="F10" s="40" t="s">
        <v>36</v>
      </c>
      <c r="G10" s="40" t="s">
        <v>38</v>
      </c>
      <c r="H10" s="40" t="s">
        <v>50</v>
      </c>
      <c r="I10" s="40" t="s">
        <v>51</v>
      </c>
    </row>
    <row r="11" spans="1:9" ht="23.1" customHeight="1">
      <c r="A11" s="44"/>
      <c r="B11" s="44"/>
      <c r="C11" s="45"/>
      <c r="D11" s="46" t="s">
        <v>40</v>
      </c>
      <c r="E11" s="46" t="s">
        <v>40</v>
      </c>
      <c r="F11" s="46" t="s">
        <v>40</v>
      </c>
      <c r="G11" s="46" t="s">
        <v>40</v>
      </c>
      <c r="H11" s="46" t="s">
        <v>40</v>
      </c>
      <c r="I11" s="46" t="s">
        <v>40</v>
      </c>
    </row>
    <row r="12" spans="1:9" ht="23.1" customHeight="1">
      <c r="A12" s="37">
        <v>1</v>
      </c>
      <c r="B12" s="37"/>
      <c r="C12" s="49" t="s">
        <v>571</v>
      </c>
      <c r="D12" s="41"/>
      <c r="E12" s="41"/>
      <c r="F12" s="41"/>
      <c r="G12" s="41"/>
      <c r="H12" s="41"/>
      <c r="I12" s="41"/>
    </row>
    <row r="13" spans="1:9" ht="18.95" customHeight="1">
      <c r="A13" s="34">
        <f>A12+1</f>
        <v>2</v>
      </c>
      <c r="B13" s="35" t="s">
        <v>411</v>
      </c>
      <c r="C13" s="42" t="s">
        <v>412</v>
      </c>
      <c r="D13" s="50">
        <f>SUMIFS('PIS F'!$D$11:$D$112,'PIS F'!$A$11:$A$112,$B$65,'PIS F'!$B$11:$B$112,'SCH B-2.3 F'!$B13)</f>
        <v>0</v>
      </c>
      <c r="E13" s="50">
        <f>SUMIFS('PIS F'!$F$11:$F$112,'PIS F'!$A$11:$A$112,$B$65,'PIS F'!$B$11:$B$112,'SCH B-2.3 F'!$B13)</f>
        <v>0</v>
      </c>
      <c r="F13" s="50">
        <f>SUMIFS('PIS F'!$H$11:$H$112,'PIS F'!$A$11:$A$112,$B$65,'PIS F'!$B$11:$B$112,'SCH B-2.3 F'!$B13)</f>
        <v>0</v>
      </c>
      <c r="G13" s="50">
        <f>SUMIFS('PIS F'!$J$11:$J$112,'PIS F'!$A$11:$A$112,$B$65,'PIS F'!$B$11:$B$112,'SCH B-2.3 F'!$B13)</f>
        <v>0</v>
      </c>
      <c r="H13" s="50">
        <f t="shared" ref="H13:H15" si="0">SUM(D13:G13)</f>
        <v>0</v>
      </c>
      <c r="I13" s="50">
        <f>SUMIFS('PIS F'!$P$11:$P$112,'PIS F'!$A$11:$A$112,$B$65,'PIS F'!$B$11:$B$112,'SCH B-2.3 F'!$B13)</f>
        <v>0</v>
      </c>
    </row>
    <row r="14" spans="1:9" ht="18.95" customHeight="1">
      <c r="A14" s="34">
        <f t="shared" ref="A14:A44" si="1">A13+1</f>
        <v>3</v>
      </c>
      <c r="B14" s="35" t="s">
        <v>413</v>
      </c>
      <c r="C14" s="42" t="s">
        <v>414</v>
      </c>
      <c r="D14" s="50">
        <f>SUMIFS('PIS F'!$D$11:$D$112,'PIS F'!$A$11:$A$112,$B$65,'PIS F'!$B$11:$B$112,'SCH B-2.3 F'!$B14)</f>
        <v>387.49</v>
      </c>
      <c r="E14" s="50">
        <f>SUMIFS('PIS F'!$F$11:$F$112,'PIS F'!$A$11:$A$112,$B$65,'PIS F'!$B$11:$B$112,'SCH B-2.3 F'!$B14)</f>
        <v>0</v>
      </c>
      <c r="F14" s="51">
        <f>SUMIFS('PIS F'!$H$11:$H$112,'PIS F'!$A$11:$A$112,$B$65,'PIS F'!$B$11:$B$112,'SCH B-2.3 F'!$B14)</f>
        <v>0</v>
      </c>
      <c r="G14" s="51">
        <f>SUMIFS('PIS F'!$J$11:$J$112,'PIS F'!$A$11:$A$112,$B$65,'PIS F'!$B$11:$B$112,'SCH B-2.3 F'!$B14)</f>
        <v>0</v>
      </c>
      <c r="H14" s="51">
        <f t="shared" si="0"/>
        <v>387.49</v>
      </c>
      <c r="I14" s="50">
        <f>SUMIFS('PIS F'!$P$11:$P$112,'PIS F'!$A$11:$A$112,$B$65,'PIS F'!$B$11:$B$112,'SCH B-2.3 F'!$B14)</f>
        <v>387.49</v>
      </c>
    </row>
    <row r="15" spans="1:9" ht="18.95" customHeight="1">
      <c r="A15" s="34">
        <f t="shared" si="1"/>
        <v>4</v>
      </c>
      <c r="B15" s="35" t="s">
        <v>415</v>
      </c>
      <c r="C15" s="42" t="s">
        <v>416</v>
      </c>
      <c r="D15" s="53">
        <f>SUMIFS('PIS F'!$D$11:$D$112,'PIS F'!$A$11:$A$112,$B$65,'PIS F'!$B$11:$B$112,'SCH B-2.3 F'!$B15)</f>
        <v>0</v>
      </c>
      <c r="E15" s="53">
        <f>SUMIFS('PIS F'!$F$11:$F$112,'PIS F'!$A$11:$A$112,$B$65,'PIS F'!$B$11:$B$112,'SCH B-2.3 F'!$B15)</f>
        <v>0</v>
      </c>
      <c r="F15" s="53">
        <f>SUMIFS('PIS F'!$H$11:$H$112,'PIS F'!$A$11:$A$112,$B$65,'PIS F'!$B$11:$B$112,'SCH B-2.3 F'!$B15)</f>
        <v>0</v>
      </c>
      <c r="G15" s="53">
        <f>SUMIFS('PIS F'!$J$11:$J$112,'PIS F'!$A$11:$A$112,$B$65,'PIS F'!$B$11:$B$112,'SCH B-2.3 F'!$B15)</f>
        <v>0</v>
      </c>
      <c r="H15" s="53">
        <f t="shared" si="0"/>
        <v>0</v>
      </c>
      <c r="I15" s="53">
        <f>SUMIFS('PIS F'!$P$11:$P$112,'PIS F'!$A$11:$A$112,$B$65,'PIS F'!$B$11:$B$112,'SCH B-2.3 F'!$B15)</f>
        <v>0</v>
      </c>
    </row>
    <row r="16" spans="1:9" ht="18.95" customHeight="1">
      <c r="A16" s="34">
        <f t="shared" si="1"/>
        <v>5</v>
      </c>
      <c r="B16" s="34"/>
      <c r="C16" s="42" t="s">
        <v>41</v>
      </c>
      <c r="D16" s="50">
        <f t="shared" ref="D16:I16" si="2">SUM(D13:D15)</f>
        <v>387.49</v>
      </c>
      <c r="E16" s="50">
        <f t="shared" si="2"/>
        <v>0</v>
      </c>
      <c r="F16" s="50">
        <f t="shared" si="2"/>
        <v>0</v>
      </c>
      <c r="G16" s="50">
        <f t="shared" si="2"/>
        <v>0</v>
      </c>
      <c r="H16" s="50">
        <f t="shared" si="2"/>
        <v>387.49</v>
      </c>
      <c r="I16" s="50">
        <f t="shared" si="2"/>
        <v>387.49</v>
      </c>
    </row>
    <row r="17" spans="1:9" ht="18.95" customHeight="1">
      <c r="A17" s="34"/>
      <c r="B17" s="34"/>
      <c r="D17" s="36"/>
      <c r="E17" s="36"/>
      <c r="F17" s="36"/>
      <c r="G17" s="36"/>
      <c r="H17" s="36"/>
      <c r="I17" s="36"/>
    </row>
    <row r="18" spans="1:9" ht="18.95" customHeight="1">
      <c r="A18" s="34">
        <f>A16+1</f>
        <v>6</v>
      </c>
      <c r="B18" s="34"/>
      <c r="C18" s="54" t="s">
        <v>572</v>
      </c>
      <c r="D18" s="36"/>
      <c r="E18" s="36"/>
      <c r="F18" s="36"/>
      <c r="G18" s="36"/>
      <c r="H18" s="36"/>
      <c r="I18" s="36"/>
    </row>
    <row r="19" spans="1:9" ht="18.95" customHeight="1">
      <c r="A19" s="34">
        <f t="shared" si="1"/>
        <v>7</v>
      </c>
      <c r="B19" s="35">
        <v>350</v>
      </c>
      <c r="C19" s="42" t="s">
        <v>43</v>
      </c>
      <c r="D19" s="52">
        <f>SUMIFS('PIS F'!$D$11:$D$112,'PIS F'!$B$11:$B$112,'SCH B-2.3 F'!$B19)</f>
        <v>134076.56</v>
      </c>
      <c r="E19" s="52">
        <f>SUMIFS('PIS F'!$F$11:$F$112,'PIS F'!$B$11:$B$112,'SCH B-2.3 F'!$B19)</f>
        <v>0</v>
      </c>
      <c r="F19" s="52">
        <f>SUMIFS('PIS F'!$H$11:$H$112,'PIS F'!$B$11:$B$112,'SCH B-2.3 F'!$B19)</f>
        <v>0</v>
      </c>
      <c r="G19" s="52">
        <f>SUMIFS('PIS F'!$J$11:$J$112,'PIS F'!$B$11:$B$112,'SCH B-2.3 F'!$B19)</f>
        <v>0</v>
      </c>
      <c r="H19" s="52">
        <f t="shared" ref="H19:H30" si="3">SUM(D19:G19)</f>
        <v>134076.56</v>
      </c>
      <c r="I19" s="52">
        <f>SUMIFS('PIS F'!$P$11:$P$112,'PIS F'!$A$11:$A$112,$B$65,'PIS F'!$B$11:$B$112,'SCH B-2.3 F'!$B19)</f>
        <v>134076.55999999997</v>
      </c>
    </row>
    <row r="20" spans="1:9" ht="18" customHeight="1">
      <c r="A20" s="34">
        <f t="shared" si="1"/>
        <v>8</v>
      </c>
      <c r="B20" s="35">
        <v>351</v>
      </c>
      <c r="C20" s="42" t="s">
        <v>42</v>
      </c>
      <c r="D20" s="52">
        <f>SUMIFS('PIS F'!$D$11:$D$112,'PIS F'!$B$11:$B$112,'SCH B-2.3 F'!$B20)</f>
        <v>15767126.41</v>
      </c>
      <c r="E20" s="52">
        <f>SUMIFS('PIS F'!$F$11:$F$112,'PIS F'!$B$11:$B$112,'SCH B-2.3 F'!$B20)</f>
        <v>17000</v>
      </c>
      <c r="F20" s="52">
        <f>SUMIFS('PIS F'!$H$11:$H$112,'PIS F'!$B$11:$B$112,'SCH B-2.3 F'!$B20)</f>
        <v>0</v>
      </c>
      <c r="G20" s="52">
        <f>SUMIFS('PIS F'!$J$11:$J$112,'PIS F'!$B$11:$B$112,'SCH B-2.3 F'!$B20)</f>
        <v>0</v>
      </c>
      <c r="H20" s="52">
        <f t="shared" si="3"/>
        <v>15784126.41</v>
      </c>
      <c r="I20" s="52">
        <f>SUMIFS('PIS F'!$P$11:$P$112,'PIS F'!$A$11:$A$112,$B$65,'PIS F'!$B$11:$B$112,'SCH B-2.3 F'!$B20)</f>
        <v>15781511.025384616</v>
      </c>
    </row>
    <row r="21" spans="1:9" ht="18.95" customHeight="1">
      <c r="A21" s="34">
        <f t="shared" si="1"/>
        <v>9</v>
      </c>
      <c r="B21" s="35">
        <v>352</v>
      </c>
      <c r="C21" s="42" t="s">
        <v>597</v>
      </c>
      <c r="D21" s="52">
        <f>SUMIFS('PIS F'!$D$11:$D$112,'PIS F'!$B$11:$B$112,'SCH B-2.3 F'!$B21)</f>
        <v>20845489.609999996</v>
      </c>
      <c r="E21" s="52">
        <f>SUMIFS('PIS F'!$F$11:$F$112,'PIS F'!$B$11:$B$112,'SCH B-2.3 F'!$B21)</f>
        <v>1107618.68</v>
      </c>
      <c r="F21" s="52">
        <f>SUMIFS('PIS F'!$H$11:$H$112,'PIS F'!$B$11:$B$112,'SCH B-2.3 F'!$B21)</f>
        <v>0</v>
      </c>
      <c r="G21" s="52">
        <f>SUMIFS('PIS F'!$J$11:$J$112,'PIS F'!$B$11:$B$112,'SCH B-2.3 F'!$B21)</f>
        <v>0</v>
      </c>
      <c r="H21" s="52">
        <f t="shared" si="3"/>
        <v>21953108.289999995</v>
      </c>
      <c r="I21" s="52">
        <f>SUMIFS('PIS F'!$P$11:$P$112,'PIS F'!$A$11:$A$112,$B$65,'PIS F'!$B$11:$B$112,'SCH B-2.3 F'!$B21)</f>
        <v>21807057.703076929</v>
      </c>
    </row>
    <row r="22" spans="1:9" ht="18.95" customHeight="1">
      <c r="A22" s="34">
        <f t="shared" si="1"/>
        <v>10</v>
      </c>
      <c r="B22" s="35">
        <v>352.1</v>
      </c>
      <c r="C22" s="42" t="s">
        <v>598</v>
      </c>
      <c r="D22" s="52">
        <f>SUMIFS('PIS F'!$D$11:$D$112,'PIS F'!$B$11:$B$112,'SCH B-2.3 F'!$B22)</f>
        <v>548241.14</v>
      </c>
      <c r="E22" s="52">
        <f>SUMIFS('PIS F'!$F$11:$F$112,'PIS F'!$B$11:$B$112,'SCH B-2.3 F'!$B22)</f>
        <v>0</v>
      </c>
      <c r="F22" s="52">
        <f>SUMIFS('PIS F'!$H$11:$H$112,'PIS F'!$B$11:$B$112,'SCH B-2.3 F'!$B22)</f>
        <v>0</v>
      </c>
      <c r="G22" s="52">
        <f>SUMIFS('PIS F'!$J$11:$J$112,'PIS F'!$B$11:$B$112,'SCH B-2.3 F'!$B22)</f>
        <v>0</v>
      </c>
      <c r="H22" s="52">
        <f t="shared" si="3"/>
        <v>548241.14</v>
      </c>
      <c r="I22" s="52">
        <f>SUMIFS('PIS F'!$P$11:$P$112,'PIS F'!$A$11:$A$112,$B$65,'PIS F'!$B$11:$B$112,'SCH B-2.3 F'!$B22)</f>
        <v>548241.14</v>
      </c>
    </row>
    <row r="23" spans="1:9" ht="18.95" customHeight="1">
      <c r="A23" s="34">
        <f t="shared" si="1"/>
        <v>11</v>
      </c>
      <c r="B23" s="35">
        <v>352.2</v>
      </c>
      <c r="C23" s="42" t="s">
        <v>599</v>
      </c>
      <c r="D23" s="52">
        <f>SUMIFS('PIS F'!$D$11:$D$112,'PIS F'!$B$11:$B$112,'SCH B-2.3 F'!$B23)</f>
        <v>400511.39999999997</v>
      </c>
      <c r="E23" s="52">
        <f>SUMIFS('PIS F'!$F$11:$F$112,'PIS F'!$B$11:$B$112,'SCH B-2.3 F'!$B23)</f>
        <v>0</v>
      </c>
      <c r="F23" s="52">
        <f>SUMIFS('PIS F'!$H$11:$H$112,'PIS F'!$B$11:$B$112,'SCH B-2.3 F'!$B23)</f>
        <v>0</v>
      </c>
      <c r="G23" s="52">
        <f>SUMIFS('PIS F'!$J$11:$J$112,'PIS F'!$B$11:$B$112,'SCH B-2.3 F'!$B23)</f>
        <v>0</v>
      </c>
      <c r="H23" s="52">
        <f t="shared" si="3"/>
        <v>400511.39999999997</v>
      </c>
      <c r="I23" s="52">
        <f>SUMIFS('PIS F'!$P$11:$P$112,'PIS F'!$A$11:$A$112,$B$65,'PIS F'!$B$11:$B$112,'SCH B-2.3 F'!$B23)</f>
        <v>400511.39999999997</v>
      </c>
    </row>
    <row r="24" spans="1:9" ht="18.95" customHeight="1">
      <c r="A24" s="34">
        <f t="shared" si="1"/>
        <v>12</v>
      </c>
      <c r="B24" s="35" t="s">
        <v>1104</v>
      </c>
      <c r="C24" s="42" t="s">
        <v>600</v>
      </c>
      <c r="D24" s="52">
        <f>SUMIFS('PIS F'!$D$11:$D$112,'PIS F'!$B$11:$B$112,'SCH B-2.3 F'!$B24)</f>
        <v>11788845</v>
      </c>
      <c r="E24" s="52">
        <f>SUMIFS('PIS F'!$F$11:$F$112,'PIS F'!$B$11:$B$112,'SCH B-2.3 F'!$B24)</f>
        <v>0</v>
      </c>
      <c r="F24" s="52">
        <f>SUMIFS('PIS F'!$H$11:$H$112,'PIS F'!$B$11:$B$112,'SCH B-2.3 F'!$B24)</f>
        <v>0</v>
      </c>
      <c r="G24" s="52">
        <f>SUMIFS('PIS F'!$J$11:$J$112,'PIS F'!$B$11:$B$112,'SCH B-2.3 F'!$B24)</f>
        <v>0</v>
      </c>
      <c r="H24" s="52">
        <f t="shared" si="3"/>
        <v>11788845</v>
      </c>
      <c r="I24" s="52">
        <f>SUMIFS('PIS F'!$P$11:$P$112,'PIS F'!$A$11:$A$112,$B$65,'PIS F'!$B$11:$B$112,'SCH B-2.3 F'!$B24)</f>
        <v>11788844.999999998</v>
      </c>
    </row>
    <row r="25" spans="1:9" ht="18.95" customHeight="1">
      <c r="A25" s="34">
        <f t="shared" si="1"/>
        <v>13</v>
      </c>
      <c r="B25" s="35">
        <v>353</v>
      </c>
      <c r="C25" s="42" t="s">
        <v>601</v>
      </c>
      <c r="D25" s="52">
        <f>SUMIFS('PIS F'!$D$11:$D$112,'PIS F'!$B$11:$B$112,'SCH B-2.3 F'!$B25)</f>
        <v>23080886.599999998</v>
      </c>
      <c r="E25" s="52">
        <f>SUMIFS('PIS F'!$F$11:$F$112,'PIS F'!$B$11:$B$112,'SCH B-2.3 F'!$B25)</f>
        <v>0</v>
      </c>
      <c r="F25" s="52">
        <f>SUMIFS('PIS F'!$H$11:$H$112,'PIS F'!$B$11:$B$112,'SCH B-2.3 F'!$B25)</f>
        <v>0</v>
      </c>
      <c r="G25" s="52">
        <f>SUMIFS('PIS F'!$J$11:$J$112,'PIS F'!$B$11:$B$112,'SCH B-2.3 F'!$B25)</f>
        <v>0</v>
      </c>
      <c r="H25" s="52">
        <f t="shared" si="3"/>
        <v>23080886.599999998</v>
      </c>
      <c r="I25" s="52">
        <f>SUMIFS('PIS F'!$P$11:$P$112,'PIS F'!$A$11:$A$112,$B$65,'PIS F'!$B$11:$B$112,'SCH B-2.3 F'!$B25)</f>
        <v>23080886.59999999</v>
      </c>
    </row>
    <row r="26" spans="1:9" ht="18.95" customHeight="1">
      <c r="A26" s="34">
        <f t="shared" si="1"/>
        <v>14</v>
      </c>
      <c r="B26" s="35">
        <v>354</v>
      </c>
      <c r="C26" s="42" t="s">
        <v>602</v>
      </c>
      <c r="D26" s="52">
        <f>SUMIFS('PIS F'!$D$11:$D$112,'PIS F'!$B$11:$B$112,'SCH B-2.3 F'!$B26)</f>
        <v>56967504.82</v>
      </c>
      <c r="E26" s="52">
        <f>SUMIFS('PIS F'!$F$11:$F$112,'PIS F'!$B$11:$B$112,'SCH B-2.3 F'!$B26)</f>
        <v>2192481.5499999993</v>
      </c>
      <c r="F26" s="52">
        <f>SUMIFS('PIS F'!$H$11:$H$112,'PIS F'!$B$11:$B$112,'SCH B-2.3 F'!$B26)</f>
        <v>0</v>
      </c>
      <c r="G26" s="52">
        <f>SUMIFS('PIS F'!$J$11:$J$112,'PIS F'!$B$11:$B$112,'SCH B-2.3 F'!$B26)</f>
        <v>0</v>
      </c>
      <c r="H26" s="52">
        <f t="shared" si="3"/>
        <v>59159986.369999997</v>
      </c>
      <c r="I26" s="52">
        <f>SUMIFS('PIS F'!$P$11:$P$112,'PIS F'!$A$11:$A$112,$B$65,'PIS F'!$B$11:$B$112,'SCH B-2.3 F'!$B26)</f>
        <v>58234397.566923089</v>
      </c>
    </row>
    <row r="27" spans="1:9" ht="18.95" customHeight="1">
      <c r="A27" s="34">
        <f t="shared" si="1"/>
        <v>15</v>
      </c>
      <c r="B27" s="35">
        <v>355</v>
      </c>
      <c r="C27" s="42" t="s">
        <v>603</v>
      </c>
      <c r="D27" s="52">
        <f>SUMIFS('PIS F'!$D$11:$D$112,'PIS F'!$B$11:$B$112,'SCH B-2.3 F'!$B27)</f>
        <v>2274976.42</v>
      </c>
      <c r="E27" s="52">
        <f>SUMIFS('PIS F'!$F$11:$F$112,'PIS F'!$B$11:$B$112,'SCH B-2.3 F'!$B27)</f>
        <v>0</v>
      </c>
      <c r="F27" s="52">
        <f>SUMIFS('PIS F'!$H$11:$H$112,'PIS F'!$B$11:$B$112,'SCH B-2.3 F'!$B27)</f>
        <v>0</v>
      </c>
      <c r="G27" s="52">
        <f>SUMIFS('PIS F'!$J$11:$J$112,'PIS F'!$B$11:$B$112,'SCH B-2.3 F'!$B27)</f>
        <v>0</v>
      </c>
      <c r="H27" s="52">
        <f t="shared" si="3"/>
        <v>2274976.42</v>
      </c>
      <c r="I27" s="52">
        <f>SUMIFS('PIS F'!$P$11:$P$112,'PIS F'!$A$11:$A$112,$B$65,'PIS F'!$B$11:$B$112,'SCH B-2.3 F'!$B27)</f>
        <v>2274976.4199999995</v>
      </c>
    </row>
    <row r="28" spans="1:9" ht="18.95" customHeight="1">
      <c r="A28" s="34">
        <f t="shared" si="1"/>
        <v>16</v>
      </c>
      <c r="B28" s="35">
        <v>356</v>
      </c>
      <c r="C28" s="42" t="s">
        <v>604</v>
      </c>
      <c r="D28" s="52">
        <f>SUMIFS('PIS F'!$D$11:$D$112,'PIS F'!$B$11:$B$112,'SCH B-2.3 F'!$B28)</f>
        <v>23025971.409999996</v>
      </c>
      <c r="E28" s="52">
        <f>SUMIFS('PIS F'!$F$11:$F$112,'PIS F'!$B$11:$B$112,'SCH B-2.3 F'!$B28)</f>
        <v>1472293.11</v>
      </c>
      <c r="F28" s="52">
        <f>SUMIFS('PIS F'!$H$11:$H$112,'PIS F'!$B$11:$B$112,'SCH B-2.3 F'!$B28)</f>
        <v>0</v>
      </c>
      <c r="G28" s="52">
        <f>SUMIFS('PIS F'!$J$11:$J$112,'PIS F'!$B$11:$B$112,'SCH B-2.3 F'!$B28)</f>
        <v>0</v>
      </c>
      <c r="H28" s="52">
        <f t="shared" si="3"/>
        <v>24498264.519999996</v>
      </c>
      <c r="I28" s="52">
        <f>SUMIFS('PIS F'!$P$11:$P$112,'PIS F'!$A$11:$A$112,$B$65,'PIS F'!$B$11:$B$112,'SCH B-2.3 F'!$B28)</f>
        <v>23951812.295384623</v>
      </c>
    </row>
    <row r="29" spans="1:9" ht="18.95" customHeight="1">
      <c r="A29" s="34">
        <f t="shared" si="1"/>
        <v>17</v>
      </c>
      <c r="B29" s="35">
        <v>357</v>
      </c>
      <c r="C29" s="42" t="s">
        <v>605</v>
      </c>
      <c r="D29" s="52">
        <f>SUMIFS('PIS F'!$D$11:$D$112,'PIS F'!$B$11:$B$112,'SCH B-2.3 F'!$B29)</f>
        <v>5310050.4799999995</v>
      </c>
      <c r="E29" s="52">
        <f>SUMIFS('PIS F'!$F$11:$F$112,'PIS F'!$B$11:$B$112,'SCH B-2.3 F'!$B29)</f>
        <v>3498512.7599999988</v>
      </c>
      <c r="F29" s="52">
        <f>SUMIFS('PIS F'!$H$11:$H$112,'PIS F'!$B$11:$B$112,'SCH B-2.3 F'!$B29)</f>
        <v>0</v>
      </c>
      <c r="G29" s="52">
        <f>SUMIFS('PIS F'!$J$11:$J$112,'PIS F'!$B$11:$B$112,'SCH B-2.3 F'!$B29)</f>
        <v>0</v>
      </c>
      <c r="H29" s="52">
        <f t="shared" si="3"/>
        <v>8808563.2399999984</v>
      </c>
      <c r="I29" s="52">
        <f>SUMIFS('PIS F'!$P$11:$P$112,'PIS F'!$A$11:$A$112,$B$65,'PIS F'!$B$11:$B$112,'SCH B-2.3 F'!$B29)</f>
        <v>7205881.5461538425</v>
      </c>
    </row>
    <row r="30" spans="1:9" ht="18.95" customHeight="1">
      <c r="A30" s="34">
        <f t="shared" si="1"/>
        <v>18</v>
      </c>
      <c r="B30" s="35">
        <v>358</v>
      </c>
      <c r="C30" s="42" t="s">
        <v>606</v>
      </c>
      <c r="D30" s="53">
        <f>SUMIFS('PIS F'!$D$11:$D$112,'PIS F'!$B$11:$B$112,'SCH B-2.3 F'!$B30)</f>
        <v>4432697.84</v>
      </c>
      <c r="E30" s="53">
        <f>SUMIFS('PIS F'!$F$11:$F$112,'PIS F'!$B$11:$B$112,'SCH B-2.3 F'!$B30)</f>
        <v>0</v>
      </c>
      <c r="F30" s="53">
        <f>SUMIFS('PIS F'!$H$11:$H$112,'PIS F'!$B$11:$B$112,'SCH B-2.3 F'!$B30)</f>
        <v>0</v>
      </c>
      <c r="G30" s="53">
        <f>SUMIFS('PIS F'!$J$11:$J$112,'PIS F'!$B$11:$B$112,'SCH B-2.3 F'!$B30)</f>
        <v>0</v>
      </c>
      <c r="H30" s="53">
        <f t="shared" si="3"/>
        <v>4432697.84</v>
      </c>
      <c r="I30" s="53">
        <f>SUMIFS('PIS F'!$P$11:$P$112,'PIS F'!$A$11:$A$112,$B$65,'PIS F'!$B$11:$B$112,'SCH B-2.3 F'!$B30)</f>
        <v>4432697.84</v>
      </c>
    </row>
    <row r="31" spans="1:9" ht="18.95" customHeight="1">
      <c r="A31" s="34">
        <f t="shared" si="1"/>
        <v>19</v>
      </c>
      <c r="C31" s="42" t="s">
        <v>608</v>
      </c>
      <c r="D31" s="50">
        <f t="shared" ref="D31:I31" si="4">SUM(D19:D30)</f>
        <v>164576377.69</v>
      </c>
      <c r="E31" s="50">
        <f t="shared" si="4"/>
        <v>8287906.0999999987</v>
      </c>
      <c r="F31" s="50">
        <f t="shared" si="4"/>
        <v>0</v>
      </c>
      <c r="G31" s="50">
        <f t="shared" si="4"/>
        <v>0</v>
      </c>
      <c r="H31" s="50">
        <f t="shared" si="4"/>
        <v>172864283.78999999</v>
      </c>
      <c r="I31" s="50">
        <f t="shared" si="4"/>
        <v>169640895.09692311</v>
      </c>
    </row>
    <row r="32" spans="1:9" ht="18.95" customHeight="1">
      <c r="A32" s="34"/>
      <c r="C32" s="42"/>
    </row>
    <row r="33" spans="1:9" ht="18.95" customHeight="1">
      <c r="A33" s="34">
        <f>A31+1</f>
        <v>20</v>
      </c>
      <c r="C33" s="54" t="s">
        <v>591</v>
      </c>
    </row>
    <row r="34" spans="1:9" ht="18.95" customHeight="1">
      <c r="A34" s="34">
        <f t="shared" si="1"/>
        <v>21</v>
      </c>
      <c r="B34" s="35">
        <v>365</v>
      </c>
      <c r="C34" s="42" t="s">
        <v>610</v>
      </c>
      <c r="D34" s="52">
        <f>SUMIFS('PIS F'!$D$11:$D$112,'PIS F'!$B$11:$B$112,'SCH B-2.3 F'!$B34)</f>
        <v>220659.049999999</v>
      </c>
      <c r="E34" s="52">
        <f>SUMIFS('PIS F'!$F$11:$F$112,'PIS F'!$B$11:$B$112,'SCH B-2.3 F'!$B34)</f>
        <v>0</v>
      </c>
      <c r="F34" s="52">
        <f>SUMIFS('PIS F'!$H$11:$H$112,'PIS F'!$B$11:$B$112,'SCH B-2.3 F'!$B34)</f>
        <v>0</v>
      </c>
      <c r="G34" s="52">
        <f>SUMIFS('PIS F'!$J$11:$J$112,'PIS F'!$B$11:$B$112,'SCH B-2.3 F'!$B34)</f>
        <v>0</v>
      </c>
      <c r="H34" s="52">
        <f t="shared" ref="H34:H36" si="5">SUM(D34:G34)</f>
        <v>220659.049999999</v>
      </c>
      <c r="I34" s="52">
        <f>SUMIFS('PIS F'!$P$11:$P$112,'PIS F'!$A$11:$A$112,$B$65,'PIS F'!$B$11:$B$112,'SCH B-2.3 F'!$B34)</f>
        <v>220659.049999999</v>
      </c>
    </row>
    <row r="35" spans="1:9" ht="18.95" customHeight="1">
      <c r="A35" s="34">
        <f t="shared" si="1"/>
        <v>22</v>
      </c>
      <c r="B35" s="35">
        <v>367</v>
      </c>
      <c r="C35" s="42" t="s">
        <v>609</v>
      </c>
      <c r="D35" s="52">
        <f>SUMIFS('PIS F'!$D$11:$D$112,'PIS F'!$B$11:$B$112,'SCH B-2.3 F'!$B35)</f>
        <v>52925318.019999996</v>
      </c>
      <c r="E35" s="52">
        <f>SUMIFS('PIS F'!$F$11:$F$112,'PIS F'!$B$11:$B$112,'SCH B-2.3 F'!$B35)</f>
        <v>31202.13</v>
      </c>
      <c r="F35" s="52">
        <f>SUMIFS('PIS F'!$H$11:$H$112,'PIS F'!$B$11:$B$112,'SCH B-2.3 F'!$B35)</f>
        <v>0</v>
      </c>
      <c r="G35" s="52">
        <f>SUMIFS('PIS F'!$J$11:$J$112,'PIS F'!$B$11:$B$112,'SCH B-2.3 F'!$B35)</f>
        <v>0</v>
      </c>
      <c r="H35" s="52">
        <f t="shared" si="5"/>
        <v>52956520.149999999</v>
      </c>
      <c r="I35" s="52">
        <f>SUMIFS('PIS F'!$P$11:$P$112,'PIS F'!$A$11:$A$112,$B$65,'PIS F'!$B$11:$B$112,'SCH B-2.3 F'!$B35)</f>
        <v>52930096.874615379</v>
      </c>
    </row>
    <row r="36" spans="1:9" ht="18.95" customHeight="1">
      <c r="A36" s="34">
        <f t="shared" si="1"/>
        <v>23</v>
      </c>
      <c r="B36" s="35">
        <v>372</v>
      </c>
      <c r="C36" s="42" t="s">
        <v>611</v>
      </c>
      <c r="D36" s="53">
        <f>SUMIFS('PIS F'!$D$11:$D$112,'PIS F'!$B$11:$B$112,'SCH B-2.3 F'!$B36)</f>
        <v>2332004.91</v>
      </c>
      <c r="E36" s="53">
        <f>SUMIFS('PIS F'!$F$11:$F$112,'PIS F'!$B$11:$B$112,'SCH B-2.3 F'!$B36)</f>
        <v>0</v>
      </c>
      <c r="F36" s="53">
        <f>SUMIFS('PIS F'!$H$11:$H$112,'PIS F'!$B$11:$B$112,'SCH B-2.3 F'!$B36)</f>
        <v>0</v>
      </c>
      <c r="G36" s="53">
        <f>SUMIFS('PIS F'!$J$11:$J$112,'PIS F'!$B$11:$B$112,'SCH B-2.3 F'!$B36)</f>
        <v>0</v>
      </c>
      <c r="H36" s="53">
        <f t="shared" si="5"/>
        <v>2332004.91</v>
      </c>
      <c r="I36" s="53">
        <f>SUMIFS('PIS F'!$P$11:$P$112,'PIS F'!$A$11:$A$112,$B$65,'PIS F'!$B$11:$B$112,'SCH B-2.3 F'!$B36)</f>
        <v>2332004.91</v>
      </c>
    </row>
    <row r="37" spans="1:9" ht="18.95" customHeight="1">
      <c r="A37" s="34">
        <f>A36+1</f>
        <v>24</v>
      </c>
      <c r="B37" s="35" t="s">
        <v>117</v>
      </c>
      <c r="C37" s="42" t="s">
        <v>612</v>
      </c>
      <c r="D37" s="50">
        <f t="shared" ref="D37:I37" si="6">SUM(D34:D36)</f>
        <v>55477981.979999989</v>
      </c>
      <c r="E37" s="50">
        <f t="shared" si="6"/>
        <v>31202.13</v>
      </c>
      <c r="F37" s="50">
        <f t="shared" si="6"/>
        <v>0</v>
      </c>
      <c r="G37" s="50">
        <f t="shared" si="6"/>
        <v>0</v>
      </c>
      <c r="H37" s="50">
        <f t="shared" si="6"/>
        <v>55509184.109999999</v>
      </c>
      <c r="I37" s="50">
        <f t="shared" si="6"/>
        <v>55482760.83461538</v>
      </c>
    </row>
    <row r="38" spans="1:9" ht="18.95" customHeight="1">
      <c r="A38" s="34"/>
      <c r="B38" s="35"/>
      <c r="C38" s="42"/>
      <c r="D38" s="50"/>
      <c r="E38" s="50"/>
      <c r="F38" s="50"/>
      <c r="G38" s="50"/>
      <c r="H38" s="50"/>
      <c r="I38" s="50"/>
    </row>
    <row r="39" spans="1:9" ht="18.95" customHeight="1">
      <c r="A39" s="34">
        <f>A37+1</f>
        <v>25</v>
      </c>
      <c r="C39" s="54" t="s">
        <v>546</v>
      </c>
    </row>
    <row r="40" spans="1:9" ht="18.95" customHeight="1">
      <c r="A40" s="34">
        <f t="shared" si="1"/>
        <v>26</v>
      </c>
      <c r="B40" s="35">
        <v>374</v>
      </c>
      <c r="C40" s="42" t="s">
        <v>43</v>
      </c>
      <c r="D40" s="52">
        <f>SUMIFS('PIS F'!$D$11:$D$112,'PIS F'!$B$11:$B$112,'SCH B-2.3 F'!$B40)</f>
        <v>134496.91</v>
      </c>
      <c r="E40" s="52">
        <f>SUMIFS('PIS F'!$F$11:$F$112,'PIS F'!$B$11:$B$112,'SCH B-2.3 F'!$B40)</f>
        <v>0</v>
      </c>
      <c r="F40" s="52">
        <f>SUMIFS('PIS F'!$H$11:$H$112,'PIS F'!$B$11:$B$112,'SCH B-2.3 F'!$B40)</f>
        <v>0</v>
      </c>
      <c r="G40" s="52">
        <f>SUMIFS('PIS F'!$J$11:$J$112,'PIS F'!$B$11:$B$112,'SCH B-2.3 F'!$B40)</f>
        <v>0</v>
      </c>
      <c r="H40" s="52">
        <f t="shared" ref="H40:H44" si="7">SUM(D40:G40)</f>
        <v>134496.91</v>
      </c>
      <c r="I40" s="52">
        <f>SUMIFS('PIS F'!$P$11:$P$112,'PIS F'!$A$11:$A$112,$B$65,'PIS F'!$B$11:$B$112,'SCH B-2.3 F'!$B40)</f>
        <v>134496.91000000003</v>
      </c>
    </row>
    <row r="41" spans="1:9" ht="18.95" customHeight="1">
      <c r="A41" s="34">
        <f t="shared" si="1"/>
        <v>27</v>
      </c>
      <c r="B41" s="35">
        <v>375</v>
      </c>
      <c r="C41" s="42" t="s">
        <v>42</v>
      </c>
      <c r="D41" s="52">
        <f>SUMIFS('PIS F'!$D$11:$D$112,'PIS F'!$B$11:$B$112,'SCH B-2.3 F'!$B41)</f>
        <v>1155812.43</v>
      </c>
      <c r="E41" s="52">
        <f>SUMIFS('PIS F'!$F$11:$F$112,'PIS F'!$B$11:$B$112,'SCH B-2.3 F'!$B41)</f>
        <v>0</v>
      </c>
      <c r="F41" s="52">
        <f>SUMIFS('PIS F'!$H$11:$H$112,'PIS F'!$B$11:$B$112,'SCH B-2.3 F'!$B41)</f>
        <v>0</v>
      </c>
      <c r="G41" s="52">
        <f>SUMIFS('PIS F'!$J$11:$J$112,'PIS F'!$B$11:$B$112,'SCH B-2.3 F'!$B41)</f>
        <v>0</v>
      </c>
      <c r="H41" s="52">
        <f t="shared" si="7"/>
        <v>1155812.43</v>
      </c>
      <c r="I41" s="52">
        <f>SUMIFS('PIS F'!$P$11:$P$112,'PIS F'!$A$11:$A$112,$B$65,'PIS F'!$B$11:$B$112,'SCH B-2.3 F'!$B41)</f>
        <v>1155812.43</v>
      </c>
    </row>
    <row r="42" spans="1:9" ht="18.95" customHeight="1">
      <c r="A42" s="34">
        <f t="shared" si="1"/>
        <v>28</v>
      </c>
      <c r="B42" s="35">
        <v>376</v>
      </c>
      <c r="C42" s="42" t="s">
        <v>609</v>
      </c>
      <c r="D42" s="52">
        <f>SUMIFS('PIS F'!$D$11:$D$112,'PIS F'!$B$11:$B$112,'SCH B-2.3 F'!$B42)</f>
        <v>424883483.97999883</v>
      </c>
      <c r="E42" s="52">
        <f>SUMIFS('PIS F'!$F$11:$F$112,'PIS F'!$B$11:$B$112,'SCH B-2.3 F'!$B42)</f>
        <v>18721447.890000001</v>
      </c>
      <c r="F42" s="52">
        <f>SUMIFS('PIS F'!$H$11:$H$112,'PIS F'!$B$11:$B$112,'SCH B-2.3 F'!$B42)</f>
        <v>-2188389</v>
      </c>
      <c r="G42" s="52">
        <f>SUMIFS('PIS F'!$J$11:$J$112,'PIS F'!$B$11:$B$112,'SCH B-2.3 F'!$B42)</f>
        <v>0</v>
      </c>
      <c r="H42" s="52">
        <f t="shared" si="7"/>
        <v>441416542.86999881</v>
      </c>
      <c r="I42" s="52">
        <f>SUMIFS('PIS F'!$P$11:$P$112,'PIS F'!$A$11:$A$112,$B$65,'PIS F'!$B$11:$B$112,'SCH B-2.3 F'!$B42)</f>
        <v>433952491.66153789</v>
      </c>
    </row>
    <row r="43" spans="1:9" ht="18.95" customHeight="1">
      <c r="A43" s="34">
        <f t="shared" si="1"/>
        <v>29</v>
      </c>
      <c r="B43" s="35">
        <v>377</v>
      </c>
      <c r="C43" s="42" t="s">
        <v>602</v>
      </c>
      <c r="D43" s="52">
        <f>SUMIFS('PIS F'!$D$11:$D$112,'PIS F'!$B$11:$B$112,'SCH B-2.3 F'!$B43)</f>
        <v>0</v>
      </c>
      <c r="E43" s="52">
        <f>SUMIFS('PIS F'!$F$11:$F$112,'PIS F'!$B$11:$B$112,'SCH B-2.3 F'!$B43)</f>
        <v>0</v>
      </c>
      <c r="F43" s="52">
        <f>SUMIFS('PIS F'!$H$11:$H$112,'PIS F'!$B$11:$B$112,'SCH B-2.3 F'!$B43)</f>
        <v>0</v>
      </c>
      <c r="G43" s="52">
        <f>SUMIFS('PIS F'!$J$11:$J$112,'PIS F'!$B$11:$B$112,'SCH B-2.3 F'!$B43)</f>
        <v>0</v>
      </c>
      <c r="H43" s="52">
        <f t="shared" si="7"/>
        <v>0</v>
      </c>
      <c r="I43" s="52">
        <f>SUMIFS('PIS F'!$P$11:$P$112,'PIS F'!$A$11:$A$112,$B$65,'PIS F'!$B$11:$B$112,'SCH B-2.3 F'!$B43)</f>
        <v>0</v>
      </c>
    </row>
    <row r="44" spans="1:9" ht="18.95" customHeight="1">
      <c r="A44" s="34">
        <f t="shared" si="1"/>
        <v>30</v>
      </c>
      <c r="B44" s="35">
        <v>378</v>
      </c>
      <c r="C44" s="42" t="s">
        <v>613</v>
      </c>
      <c r="D44" s="52">
        <f>SUMIFS('PIS F'!$D$11:$D$112,'PIS F'!$B$11:$B$112,'SCH B-2.3 F'!$B44)</f>
        <v>23221099.669999998</v>
      </c>
      <c r="E44" s="52">
        <f>SUMIFS('PIS F'!$F$11:$F$112,'PIS F'!$B$11:$B$112,'SCH B-2.3 F'!$B44)</f>
        <v>1238297.78</v>
      </c>
      <c r="F44" s="52">
        <f>SUMIFS('PIS F'!$H$11:$H$112,'PIS F'!$B$11:$B$112,'SCH B-2.3 F'!$B44)</f>
        <v>0</v>
      </c>
      <c r="G44" s="52">
        <f>SUMIFS('PIS F'!$J$11:$J$112,'PIS F'!$B$11:$B$112,'SCH B-2.3 F'!$B44)</f>
        <v>0</v>
      </c>
      <c r="H44" s="52">
        <f t="shared" si="7"/>
        <v>24459397.449999999</v>
      </c>
      <c r="I44" s="52">
        <f>SUMIFS('PIS F'!$P$11:$P$112,'PIS F'!$A$11:$A$112,$B$65,'PIS F'!$B$11:$B$112,'SCH B-2.3 F'!$B44)</f>
        <v>23937001.877692293</v>
      </c>
    </row>
    <row r="45" spans="1:9" s="32" customFormat="1" ht="20.100000000000001" customHeight="1">
      <c r="A45" s="494" t="str">
        <f>$A$1</f>
        <v>LOUISVILLE GAS AND ELECTRIC COMPANY</v>
      </c>
      <c r="B45" s="494"/>
      <c r="C45" s="494"/>
      <c r="D45" s="494"/>
      <c r="E45" s="494"/>
      <c r="F45" s="494"/>
      <c r="G45" s="494"/>
      <c r="H45" s="494"/>
      <c r="I45" s="494"/>
    </row>
    <row r="46" spans="1:9" s="32" customFormat="1" ht="20.100000000000001" customHeight="1">
      <c r="A46" s="494" t="str">
        <f>$A$2</f>
        <v>CASE NO. 2016-00371 - GAS OPERATIONS</v>
      </c>
      <c r="B46" s="494"/>
      <c r="C46" s="494"/>
      <c r="D46" s="494"/>
      <c r="E46" s="494"/>
      <c r="F46" s="494"/>
      <c r="G46" s="494"/>
      <c r="H46" s="494"/>
      <c r="I46" s="494"/>
    </row>
    <row r="47" spans="1:9" s="32" customFormat="1" ht="20.100000000000001" customHeight="1">
      <c r="A47" s="494" t="str">
        <f>$A$3</f>
        <v>GROSS ADDITIONS, RETIREMENTS, AND TRANSFERS</v>
      </c>
      <c r="B47" s="494"/>
      <c r="C47" s="494"/>
      <c r="D47" s="494"/>
      <c r="E47" s="494"/>
      <c r="F47" s="494"/>
      <c r="G47" s="494"/>
      <c r="H47" s="494"/>
      <c r="I47" s="494"/>
    </row>
    <row r="48" spans="1:9" s="32" customFormat="1" ht="20.100000000000001" customHeight="1">
      <c r="A48" s="493" t="str">
        <f>$A$4</f>
        <v>FROM JULY 1, 2017 TO JUNE 30, 2018</v>
      </c>
      <c r="B48" s="493"/>
      <c r="C48" s="493"/>
      <c r="D48" s="493"/>
      <c r="E48" s="493"/>
      <c r="F48" s="493"/>
      <c r="G48" s="493"/>
      <c r="H48" s="493"/>
      <c r="I48" s="493"/>
    </row>
    <row r="49" spans="1:11" s="32" customFormat="1" ht="20.100000000000001" customHeight="1">
      <c r="A49" s="48"/>
      <c r="B49" s="48"/>
      <c r="C49" s="48"/>
      <c r="D49" s="48"/>
      <c r="E49" s="48"/>
      <c r="F49" s="48"/>
      <c r="G49" s="48"/>
      <c r="H49" s="48"/>
      <c r="I49" s="48"/>
    </row>
    <row r="50" spans="1:11" s="32" customFormat="1" ht="20.100000000000001" customHeight="1">
      <c r="A50" s="31" t="str">
        <f>$A$6</f>
        <v>DATA:____BASE  PERIOD__X__FORECASTED  PERIOD</v>
      </c>
      <c r="B50" s="31"/>
      <c r="G50" s="38"/>
      <c r="H50" s="38"/>
      <c r="I50" s="38" t="s">
        <v>37</v>
      </c>
    </row>
    <row r="51" spans="1:11" s="32" customFormat="1" ht="20.100000000000001" customHeight="1">
      <c r="A51" s="31" t="str">
        <f>$A$7</f>
        <v>TYPE OF FILING: __X__ ORIGINAL  _____ UPDATED  _____ REVISED</v>
      </c>
      <c r="G51" s="38"/>
      <c r="H51" s="38"/>
      <c r="I51" s="38" t="s">
        <v>56</v>
      </c>
    </row>
    <row r="52" spans="1:11" s="32" customFormat="1" ht="20.100000000000001" customHeight="1">
      <c r="A52" s="31" t="str">
        <f>$A$8</f>
        <v>WORKPAPER REFERENCE NO(S).:</v>
      </c>
      <c r="B52" s="31"/>
      <c r="F52" s="31"/>
      <c r="G52" s="39"/>
      <c r="H52" s="39"/>
      <c r="I52" s="39" t="str">
        <f>$I$8</f>
        <v>WITNESS:   C. M. GARRETT</v>
      </c>
    </row>
    <row r="53" spans="1:11" s="32" customFormat="1" ht="20.100000000000001" customHeight="1"/>
    <row r="54" spans="1:11" ht="69.95" customHeight="1">
      <c r="A54" s="40" t="s">
        <v>29</v>
      </c>
      <c r="B54" s="40" t="s">
        <v>32</v>
      </c>
      <c r="C54" s="43" t="s">
        <v>33</v>
      </c>
      <c r="D54" s="40" t="s">
        <v>49</v>
      </c>
      <c r="E54" s="40" t="s">
        <v>35</v>
      </c>
      <c r="F54" s="40" t="s">
        <v>36</v>
      </c>
      <c r="G54" s="40" t="s">
        <v>38</v>
      </c>
      <c r="H54" s="40" t="s">
        <v>50</v>
      </c>
      <c r="I54" s="40" t="s">
        <v>51</v>
      </c>
    </row>
    <row r="55" spans="1:11" ht="23.1" customHeight="1">
      <c r="A55" s="44"/>
      <c r="B55" s="44"/>
      <c r="C55" s="45"/>
      <c r="D55" s="46" t="s">
        <v>40</v>
      </c>
      <c r="E55" s="46" t="s">
        <v>40</v>
      </c>
      <c r="F55" s="46" t="s">
        <v>40</v>
      </c>
      <c r="G55" s="46" t="s">
        <v>40</v>
      </c>
      <c r="H55" s="46" t="s">
        <v>40</v>
      </c>
      <c r="I55" s="46" t="s">
        <v>40</v>
      </c>
    </row>
    <row r="56" spans="1:11" ht="18.95" customHeight="1">
      <c r="A56" s="34">
        <f>A44+1</f>
        <v>31</v>
      </c>
      <c r="B56" s="35">
        <v>379</v>
      </c>
      <c r="C56" s="42" t="s">
        <v>614</v>
      </c>
      <c r="D56" s="52">
        <f>SUMIFS('PIS F'!$D$11:$D$112,'PIS F'!$B$11:$B$112,'SCH B-2.3 F'!$B56)</f>
        <v>12163394.8799999</v>
      </c>
      <c r="E56" s="52">
        <f>SUMIFS('PIS F'!$F$11:$F$112,'PIS F'!$B$11:$B$112,'SCH B-2.3 F'!$B56)</f>
        <v>344416.22000000003</v>
      </c>
      <c r="F56" s="52">
        <f>SUMIFS('PIS F'!$H$11:$H$112,'PIS F'!$B$11:$B$112,'SCH B-2.3 F'!$B56)</f>
        <v>0</v>
      </c>
      <c r="G56" s="52">
        <f>SUMIFS('PIS F'!$J$11:$J$112,'PIS F'!$B$11:$B$112,'SCH B-2.3 F'!$B56)</f>
        <v>0</v>
      </c>
      <c r="H56" s="52">
        <f t="shared" ref="H56:H62" si="8">SUM(D56:G56)</f>
        <v>12507811.099999901</v>
      </c>
      <c r="I56" s="52">
        <f>SUMIFS('PIS F'!$P$11:$P$112,'PIS F'!$A$11:$A$112,$B$65,'PIS F'!$B$11:$B$112,'SCH B-2.3 F'!$B56)</f>
        <v>12352332.667692207</v>
      </c>
    </row>
    <row r="57" spans="1:11" ht="18.95" customHeight="1">
      <c r="A57" s="34">
        <f>A56+1</f>
        <v>32</v>
      </c>
      <c r="B57" s="35">
        <v>380</v>
      </c>
      <c r="C57" s="42" t="s">
        <v>417</v>
      </c>
      <c r="D57" s="52">
        <f>SUMIFS('PIS F'!$D$11:$D$112,'PIS F'!$B$11:$B$112,'SCH B-2.3 F'!$B57)</f>
        <v>373592408.90999901</v>
      </c>
      <c r="E57" s="52">
        <f>SUMIFS('PIS F'!$F$11:$F$112,'PIS F'!$B$11:$B$112,'SCH B-2.3 F'!$B57)</f>
        <v>26740623.099999968</v>
      </c>
      <c r="F57" s="52">
        <f>SUMIFS('PIS F'!$H$11:$H$112,'PIS F'!$B$11:$B$112,'SCH B-2.3 F'!$B57)</f>
        <v>-3375560.46</v>
      </c>
      <c r="G57" s="52">
        <f>SUMIFS('PIS F'!$J$11:$J$112,'PIS F'!$B$11:$B$112,'SCH B-2.3 F'!$B57)</f>
        <v>0</v>
      </c>
      <c r="H57" s="52">
        <f t="shared" si="8"/>
        <v>396957471.549999</v>
      </c>
      <c r="I57" s="52">
        <f>SUMIFS('PIS F'!$P$11:$P$112,'PIS F'!$A$11:$A$112,$B$65,'PIS F'!$B$11:$B$112,'SCH B-2.3 F'!$B57)</f>
        <v>388885418.28153831</v>
      </c>
      <c r="K57" s="32"/>
    </row>
    <row r="58" spans="1:11" ht="18.95" customHeight="1">
      <c r="A58" s="34">
        <f t="shared" ref="A58:A63" si="9">A57+1</f>
        <v>33</v>
      </c>
      <c r="B58" s="35">
        <v>381</v>
      </c>
      <c r="C58" s="42" t="s">
        <v>418</v>
      </c>
      <c r="D58" s="52">
        <f>SUMIFS('PIS F'!$D$11:$D$112,'PIS F'!$B$11:$B$112,'SCH B-2.3 F'!$B58)</f>
        <v>52284127.509999894</v>
      </c>
      <c r="E58" s="52">
        <f>SUMIFS('PIS F'!$F$11:$F$112,'PIS F'!$B$11:$B$112,'SCH B-2.3 F'!$B58)</f>
        <v>12200094.82</v>
      </c>
      <c r="F58" s="52">
        <f>SUMIFS('PIS F'!$H$11:$H$112,'PIS F'!$B$11:$B$112,'SCH B-2.3 F'!$B58)</f>
        <v>0</v>
      </c>
      <c r="G58" s="52">
        <f>SUMIFS('PIS F'!$J$11:$J$112,'PIS F'!$B$11:$B$112,'SCH B-2.3 F'!$B58)</f>
        <v>0</v>
      </c>
      <c r="H58" s="52">
        <f t="shared" si="8"/>
        <v>64484222.329999894</v>
      </c>
      <c r="I58" s="52">
        <f>SUMIFS('PIS F'!$P$11:$P$112,'PIS F'!$A$11:$A$112,$B$65,'PIS F'!$B$11:$B$112,'SCH B-2.3 F'!$B58)</f>
        <v>57176384.306923017</v>
      </c>
    </row>
    <row r="59" spans="1:11" ht="18.95" customHeight="1">
      <c r="A59" s="34">
        <f t="shared" si="9"/>
        <v>34</v>
      </c>
      <c r="B59" s="35">
        <v>383</v>
      </c>
      <c r="C59" s="42" t="s">
        <v>615</v>
      </c>
      <c r="D59" s="52">
        <f>SUMIFS('PIS F'!$D$11:$D$112,'PIS F'!$B$11:$B$112,'SCH B-2.3 F'!$B59)</f>
        <v>25550379.959999997</v>
      </c>
      <c r="E59" s="52">
        <f>SUMIFS('PIS F'!$F$11:$F$112,'PIS F'!$B$11:$B$112,'SCH B-2.3 F'!$B59)</f>
        <v>0</v>
      </c>
      <c r="F59" s="52">
        <f>SUMIFS('PIS F'!$H$11:$H$112,'PIS F'!$B$11:$B$112,'SCH B-2.3 F'!$B59)</f>
        <v>0</v>
      </c>
      <c r="G59" s="52">
        <f>SUMIFS('PIS F'!$J$11:$J$112,'PIS F'!$B$11:$B$112,'SCH B-2.3 F'!$B59)</f>
        <v>0</v>
      </c>
      <c r="H59" s="52">
        <f t="shared" si="8"/>
        <v>25550379.959999997</v>
      </c>
      <c r="I59" s="52">
        <f>SUMIFS('PIS F'!$P$11:$P$112,'PIS F'!$A$11:$A$112,$B$65,'PIS F'!$B$11:$B$112,'SCH B-2.3 F'!$B59)</f>
        <v>25550379.959999993</v>
      </c>
    </row>
    <row r="60" spans="1:11" ht="18.95" customHeight="1">
      <c r="A60" s="34">
        <f t="shared" si="9"/>
        <v>35</v>
      </c>
      <c r="B60" s="35">
        <v>385</v>
      </c>
      <c r="C60" s="42" t="s">
        <v>616</v>
      </c>
      <c r="D60" s="52">
        <f>SUMIFS('PIS F'!$D$11:$D$112,'PIS F'!$B$11:$B$112,'SCH B-2.3 F'!$B60)</f>
        <v>1776737.5899999999</v>
      </c>
      <c r="E60" s="52">
        <f>SUMIFS('PIS F'!$F$11:$F$112,'PIS F'!$B$11:$B$112,'SCH B-2.3 F'!$B60)</f>
        <v>823873.96</v>
      </c>
      <c r="F60" s="52">
        <f>SUMIFS('PIS F'!$H$11:$H$112,'PIS F'!$B$11:$B$112,'SCH B-2.3 F'!$B60)</f>
        <v>0</v>
      </c>
      <c r="G60" s="52">
        <f>SUMIFS('PIS F'!$J$11:$J$112,'PIS F'!$B$11:$B$112,'SCH B-2.3 F'!$B60)</f>
        <v>0</v>
      </c>
      <c r="H60" s="52">
        <f t="shared" si="8"/>
        <v>2600611.5499999998</v>
      </c>
      <c r="I60" s="52">
        <f>SUMIFS('PIS F'!$P$11:$P$112,'PIS F'!$A$11:$A$112,$B$65,'PIS F'!$B$11:$B$112,'SCH B-2.3 F'!$B60)</f>
        <v>2260538.1176923015</v>
      </c>
    </row>
    <row r="61" spans="1:11" ht="18.95" customHeight="1">
      <c r="A61" s="34">
        <f t="shared" si="9"/>
        <v>36</v>
      </c>
      <c r="B61" s="35">
        <v>387</v>
      </c>
      <c r="C61" s="42" t="s">
        <v>605</v>
      </c>
      <c r="D61" s="52">
        <f>SUMIFS('PIS F'!$D$11:$D$112,'PIS F'!$B$11:$B$112,'SCH B-2.3 F'!$B61)</f>
        <v>458432.67</v>
      </c>
      <c r="E61" s="52">
        <f>SUMIFS('PIS F'!$F$11:$F$112,'PIS F'!$B$11:$B$112,'SCH B-2.3 F'!$B61)</f>
        <v>2129549.48</v>
      </c>
      <c r="F61" s="52">
        <f>SUMIFS('PIS F'!$H$11:$H$112,'PIS F'!$B$11:$B$112,'SCH B-2.3 F'!$B61)</f>
        <v>0</v>
      </c>
      <c r="G61" s="52">
        <f>SUMIFS('PIS F'!$J$11:$J$112,'PIS F'!$B$11:$B$112,'SCH B-2.3 F'!$B61)</f>
        <v>0</v>
      </c>
      <c r="H61" s="52">
        <f t="shared" si="8"/>
        <v>2587982.15</v>
      </c>
      <c r="I61" s="52">
        <f>SUMIFS('PIS F'!$P$11:$P$112,'PIS F'!$A$11:$A$112,$B$65,'PIS F'!$B$11:$B$112,'SCH B-2.3 F'!$B61)</f>
        <v>1928759.3623076924</v>
      </c>
    </row>
    <row r="62" spans="1:11" ht="18.95" customHeight="1">
      <c r="A62" s="34">
        <f t="shared" si="9"/>
        <v>37</v>
      </c>
      <c r="B62" s="35">
        <v>388</v>
      </c>
      <c r="C62" s="42" t="s">
        <v>617</v>
      </c>
      <c r="D62" s="53">
        <f>SUMIFS('PIS F'!$D$11:$D$112,'PIS F'!$B$11:$B$112,'SCH B-2.3 F'!$B62)</f>
        <v>10475152.66</v>
      </c>
      <c r="E62" s="53">
        <f>SUMIFS('PIS F'!$F$11:$F$112,'PIS F'!$B$11:$B$112,'SCH B-2.3 F'!$B62)</f>
        <v>0</v>
      </c>
      <c r="F62" s="53">
        <f>SUMIFS('PIS F'!$H$11:$H$112,'PIS F'!$B$11:$B$112,'SCH B-2.3 F'!$B62)</f>
        <v>0</v>
      </c>
      <c r="G62" s="53">
        <f>SUMIFS('PIS F'!$J$11:$J$112,'PIS F'!$B$11:$B$112,'SCH B-2.3 F'!$B62)</f>
        <v>0</v>
      </c>
      <c r="H62" s="53">
        <f t="shared" si="8"/>
        <v>10475152.66</v>
      </c>
      <c r="I62" s="53">
        <f>SUMIFS('PIS F'!$P$11:$P$112,'PIS F'!$A$11:$A$112,$B$65,'PIS F'!$B$11:$B$112,'SCH B-2.3 F'!$B62)</f>
        <v>10475152.659999996</v>
      </c>
    </row>
    <row r="63" spans="1:11" ht="18.95" customHeight="1">
      <c r="A63" s="34">
        <f t="shared" si="9"/>
        <v>38</v>
      </c>
      <c r="C63" s="42" t="s">
        <v>618</v>
      </c>
      <c r="D63" s="50">
        <f t="shared" ref="D63:I63" si="10">SUM(D40:D44,D56:D62)</f>
        <v>925695527.16999757</v>
      </c>
      <c r="E63" s="50">
        <f t="shared" si="10"/>
        <v>62198303.249999963</v>
      </c>
      <c r="F63" s="50">
        <f t="shared" si="10"/>
        <v>-5563949.46</v>
      </c>
      <c r="G63" s="50">
        <f t="shared" si="10"/>
        <v>0</v>
      </c>
      <c r="H63" s="50">
        <f t="shared" si="10"/>
        <v>982329880.95999753</v>
      </c>
      <c r="I63" s="50">
        <f t="shared" si="10"/>
        <v>957808768.23538375</v>
      </c>
    </row>
    <row r="64" spans="1:11" ht="18.95" customHeight="1">
      <c r="A64" s="34"/>
    </row>
    <row r="65" spans="1:9" ht="18.95" customHeight="1">
      <c r="A65" s="34">
        <f>A63+1</f>
        <v>39</v>
      </c>
      <c r="B65" s="129" t="s">
        <v>545</v>
      </c>
      <c r="C65" s="54" t="s">
        <v>563</v>
      </c>
    </row>
    <row r="66" spans="1:9" ht="18.95" customHeight="1">
      <c r="A66" s="34">
        <f t="shared" ref="A66:A76" si="11">A65+1</f>
        <v>40</v>
      </c>
      <c r="B66" s="35" t="s">
        <v>419</v>
      </c>
      <c r="C66" s="42" t="s">
        <v>43</v>
      </c>
      <c r="D66" s="50">
        <f>SUMIFS('PIS F'!$D$11:$D$112,'PIS F'!$A$11:$A$112,$B$65,'PIS F'!$B$11:$B$112,'SCH B-2.3 F'!$B66)</f>
        <v>0</v>
      </c>
      <c r="E66" s="50">
        <f>SUMIFS('PIS F'!$F$11:$F$112,'PIS F'!$A$11:$A$112,$B$65,'PIS F'!$B$11:$B$112,'SCH B-2.3 F'!$B66)</f>
        <v>0</v>
      </c>
      <c r="F66" s="50">
        <f>SUMIFS('PIS F'!$H$11:$H$112,'PIS F'!$A$11:$A$112,$B$65,'PIS F'!$B$11:$B$112,'SCH B-2.3 F'!$B66)</f>
        <v>0</v>
      </c>
      <c r="G66" s="50">
        <f>SUMIFS('PIS F'!$J$11:$J$112,'PIS F'!$A$11:$A$112,$B$65,'PIS F'!$B$11:$B$112,'SCH B-2.3 F'!$B66)</f>
        <v>0</v>
      </c>
      <c r="H66" s="52">
        <f t="shared" ref="H66:H75" si="12">SUM(D66:G66)</f>
        <v>0</v>
      </c>
      <c r="I66" s="50">
        <f>SUMIFS('PIS F'!$P$11:$P$112,'PIS F'!$A$11:$A$112,$B$65,'PIS F'!$B$11:$B$112,'SCH B-2.3 F'!$B66)</f>
        <v>0</v>
      </c>
    </row>
    <row r="67" spans="1:9" ht="18.95" customHeight="1">
      <c r="A67" s="34">
        <f t="shared" si="11"/>
        <v>41</v>
      </c>
      <c r="B67" s="35" t="s">
        <v>420</v>
      </c>
      <c r="C67" s="42" t="s">
        <v>42</v>
      </c>
      <c r="D67" s="52">
        <f>SUMIFS('PIS F'!$D$11:$D$112,'PIS F'!$A$11:$A$112,$B$65,'PIS F'!$B$11:$B$112,'SCH B-2.3 F'!$B67)</f>
        <v>0</v>
      </c>
      <c r="E67" s="52">
        <f>SUMIFS('PIS F'!$F$11:$F$112,'PIS F'!$A$11:$A$112,$B$65,'PIS F'!$B$11:$B$112,'SCH B-2.3 F'!$B67)</f>
        <v>0</v>
      </c>
      <c r="F67" s="52">
        <f>SUMIFS('PIS F'!$H$11:$H$112,'PIS F'!$A$11:$A$112,$B$65,'PIS F'!$B$11:$B$112,'SCH B-2.3 F'!$B67)</f>
        <v>0</v>
      </c>
      <c r="G67" s="52">
        <f>SUMIFS('PIS F'!$J$11:$J$112,'PIS F'!$A$11:$A$112,$B$65,'PIS F'!$B$11:$B$112,'SCH B-2.3 F'!$B67)</f>
        <v>0</v>
      </c>
      <c r="H67" s="52">
        <f t="shared" si="12"/>
        <v>0</v>
      </c>
      <c r="I67" s="52">
        <f>SUMIFS('PIS F'!$P$11:$P$112,'PIS F'!$A$11:$A$112,$B$65,'PIS F'!$B$11:$B$112,'SCH B-2.3 F'!$B67)</f>
        <v>0</v>
      </c>
    </row>
    <row r="68" spans="1:9" ht="18.95" customHeight="1">
      <c r="A68" s="34">
        <f t="shared" si="11"/>
        <v>42</v>
      </c>
      <c r="B68" s="35" t="s">
        <v>421</v>
      </c>
      <c r="C68" s="42" t="s">
        <v>45</v>
      </c>
      <c r="D68" s="52">
        <f>SUMIFS('PIS F'!$D$11:$D$112,'PIS F'!$A$11:$A$112,$B$65,'PIS F'!$B$11:$B$112,'SCH B-2.3 F'!$B68)</f>
        <v>0</v>
      </c>
      <c r="E68" s="52">
        <f>SUMIFS('PIS F'!$F$11:$F$112,'PIS F'!$A$11:$A$112,$B$65,'PIS F'!$B$11:$B$112,'SCH B-2.3 F'!$B68)</f>
        <v>0</v>
      </c>
      <c r="F68" s="52">
        <f>SUMIFS('PIS F'!$H$11:$H$112,'PIS F'!$A$11:$A$112,$B$65,'PIS F'!$B$11:$B$112,'SCH B-2.3 F'!$B68)</f>
        <v>0</v>
      </c>
      <c r="G68" s="52">
        <f>SUMIFS('PIS F'!$J$11:$J$112,'PIS F'!$A$11:$A$112,$B$65,'PIS F'!$B$11:$B$112,'SCH B-2.3 F'!$B68)</f>
        <v>0</v>
      </c>
      <c r="H68" s="52">
        <f t="shared" si="12"/>
        <v>0</v>
      </c>
      <c r="I68" s="52">
        <f>SUMIFS('PIS F'!$P$11:$P$112,'PIS F'!$A$11:$A$112,$B$65,'PIS F'!$B$11:$B$112,'SCH B-2.3 F'!$B68)</f>
        <v>0</v>
      </c>
    </row>
    <row r="69" spans="1:9" ht="18.95" customHeight="1">
      <c r="A69" s="34">
        <f>A68+1</f>
        <v>43</v>
      </c>
      <c r="B69" s="35" t="s">
        <v>422</v>
      </c>
      <c r="C69" s="42" t="s">
        <v>44</v>
      </c>
      <c r="D69" s="52">
        <f>SUMIFS('PIS F'!$D$11:$D$112,'PIS F'!$A$11:$A$112,$B$65,'PIS F'!$B$11:$B$112,'SCH B-2.3 F'!$B69)</f>
        <v>2310139.34</v>
      </c>
      <c r="E69" s="52">
        <f>SUMIFS('PIS F'!$F$11:$F$112,'PIS F'!$A$11:$A$112,$B$65,'PIS F'!$B$11:$B$112,'SCH B-2.3 F'!$B69)</f>
        <v>426820.1</v>
      </c>
      <c r="F69" s="52">
        <f>SUMIFS('PIS F'!$H$11:$H$112,'PIS F'!$A$11:$A$112,$B$65,'PIS F'!$B$11:$B$112,'SCH B-2.3 F'!$B69)</f>
        <v>0</v>
      </c>
      <c r="G69" s="52">
        <f>SUMIFS('PIS F'!$J$11:$J$112,'PIS F'!$A$11:$A$112,$B$65,'PIS F'!$B$11:$B$112,'SCH B-2.3 F'!$B69)</f>
        <v>0</v>
      </c>
      <c r="H69" s="52">
        <f t="shared" si="12"/>
        <v>2736959.44</v>
      </c>
      <c r="I69" s="52">
        <f>SUMIFS('PIS F'!$P$11:$P$112,'PIS F'!$A$11:$A$112,$B$65,'PIS F'!$B$11:$B$112,'SCH B-2.3 F'!$B69)</f>
        <v>2457097.8938461449</v>
      </c>
    </row>
    <row r="70" spans="1:9" ht="18.95" customHeight="1">
      <c r="A70" s="34">
        <f t="shared" si="11"/>
        <v>44</v>
      </c>
      <c r="B70" s="35" t="s">
        <v>423</v>
      </c>
      <c r="C70" s="42" t="s">
        <v>424</v>
      </c>
      <c r="D70" s="52">
        <f>SUMIFS('PIS F'!$D$11:$D$112,'PIS F'!$A$11:$A$112,$B$65,'PIS F'!$B$11:$B$112,'SCH B-2.3 F'!$B70)</f>
        <v>0</v>
      </c>
      <c r="E70" s="52">
        <f>SUMIFS('PIS F'!$F$11:$F$112,'PIS F'!$A$11:$A$112,$B$65,'PIS F'!$B$11:$B$112,'SCH B-2.3 F'!$B70)</f>
        <v>0</v>
      </c>
      <c r="F70" s="52">
        <f>SUMIFS('PIS F'!$H$11:$H$112,'PIS F'!$A$11:$A$112,$B$65,'PIS F'!$B$11:$B$112,'SCH B-2.3 F'!$B70)</f>
        <v>0</v>
      </c>
      <c r="G70" s="52">
        <f>SUMIFS('PIS F'!$J$11:$J$112,'PIS F'!$A$11:$A$112,$B$65,'PIS F'!$B$11:$B$112,'SCH B-2.3 F'!$B70)</f>
        <v>0</v>
      </c>
      <c r="H70" s="52">
        <f t="shared" si="12"/>
        <v>0</v>
      </c>
      <c r="I70" s="52">
        <f>SUMIFS('PIS F'!$P$11:$P$112,'PIS F'!$A$11:$A$112,$B$65,'PIS F'!$B$11:$B$112,'SCH B-2.3 F'!$B70)</f>
        <v>0</v>
      </c>
    </row>
    <row r="71" spans="1:9" ht="18.95" customHeight="1">
      <c r="A71" s="34">
        <f t="shared" si="11"/>
        <v>45</v>
      </c>
      <c r="B71" s="35" t="s">
        <v>425</v>
      </c>
      <c r="C71" s="42" t="s">
        <v>426</v>
      </c>
      <c r="D71" s="52">
        <f>SUMIFS('PIS F'!$D$11:$D$112,'PIS F'!$A$11:$A$112,$B$65,'PIS F'!$B$11:$B$112,'SCH B-2.3 F'!$B71)</f>
        <v>6791696.3899999997</v>
      </c>
      <c r="E71" s="52">
        <f>SUMIFS('PIS F'!$F$11:$F$112,'PIS F'!$A$11:$A$112,$B$65,'PIS F'!$B$11:$B$112,'SCH B-2.3 F'!$B71)</f>
        <v>311220</v>
      </c>
      <c r="F71" s="52">
        <f>SUMIFS('PIS F'!$H$11:$H$112,'PIS F'!$A$11:$A$112,$B$65,'PIS F'!$B$11:$B$112,'SCH B-2.3 F'!$B71)</f>
        <v>-201687</v>
      </c>
      <c r="G71" s="52">
        <f>SUMIFS('PIS F'!$J$11:$J$112,'PIS F'!$A$11:$A$112,$B$65,'PIS F'!$B$11:$B$112,'SCH B-2.3 F'!$B71)</f>
        <v>0</v>
      </c>
      <c r="H71" s="52">
        <f t="shared" si="12"/>
        <v>6901229.3899999997</v>
      </c>
      <c r="I71" s="52">
        <f>SUMIFS('PIS F'!$P$11:$P$112,'PIS F'!$A$11:$A$112,$B$65,'PIS F'!$B$11:$B$112,'SCH B-2.3 F'!$B71)</f>
        <v>6940429.6976923067</v>
      </c>
    </row>
    <row r="72" spans="1:9" ht="18.95" customHeight="1">
      <c r="A72" s="34">
        <f t="shared" si="11"/>
        <v>46</v>
      </c>
      <c r="B72" s="35" t="s">
        <v>427</v>
      </c>
      <c r="C72" s="42" t="s">
        <v>428</v>
      </c>
      <c r="D72" s="52">
        <f>SUMIFS('PIS F'!$D$11:$D$112,'PIS F'!$A$11:$A$112,$B$65,'PIS F'!$B$11:$B$112,'SCH B-2.3 F'!$B72)</f>
        <v>0</v>
      </c>
      <c r="E72" s="52">
        <f>SUMIFS('PIS F'!$F$11:$F$112,'PIS F'!$A$11:$A$112,$B$65,'PIS F'!$B$11:$B$112,'SCH B-2.3 F'!$B72)</f>
        <v>0</v>
      </c>
      <c r="F72" s="52">
        <f>SUMIFS('PIS F'!$H$11:$H$112,'PIS F'!$A$11:$A$112,$B$65,'PIS F'!$B$11:$B$112,'SCH B-2.3 F'!$B72)</f>
        <v>0</v>
      </c>
      <c r="G72" s="52">
        <f>SUMIFS('PIS F'!$J$11:$J$112,'PIS F'!$A$11:$A$112,$B$65,'PIS F'!$B$11:$B$112,'SCH B-2.3 F'!$B72)</f>
        <v>0</v>
      </c>
      <c r="H72" s="52">
        <f t="shared" si="12"/>
        <v>0</v>
      </c>
      <c r="I72" s="52">
        <f>SUMIFS('PIS F'!$P$11:$P$112,'PIS F'!$A$11:$A$112,$B$65,'PIS F'!$B$11:$B$112,'SCH B-2.3 F'!$B72)</f>
        <v>0</v>
      </c>
    </row>
    <row r="73" spans="1:9" ht="18.95" customHeight="1">
      <c r="A73" s="34">
        <f t="shared" si="11"/>
        <v>47</v>
      </c>
      <c r="B73" s="35" t="s">
        <v>429</v>
      </c>
      <c r="C73" s="42" t="s">
        <v>430</v>
      </c>
      <c r="D73" s="52">
        <f>SUMIFS('PIS F'!$D$11:$D$112,'PIS F'!$A$11:$A$112,$B$65,'PIS F'!$B$11:$B$112,'SCH B-2.3 F'!$B73)</f>
        <v>3771229.42</v>
      </c>
      <c r="E73" s="52">
        <f>SUMIFS('PIS F'!$F$11:$F$112,'PIS F'!$A$11:$A$112,$B$65,'PIS F'!$B$11:$B$112,'SCH B-2.3 F'!$B73)</f>
        <v>0</v>
      </c>
      <c r="F73" s="52">
        <f>SUMIFS('PIS F'!$H$11:$H$112,'PIS F'!$A$11:$A$112,$B$65,'PIS F'!$B$11:$B$112,'SCH B-2.3 F'!$B73)</f>
        <v>0</v>
      </c>
      <c r="G73" s="52">
        <f>SUMIFS('PIS F'!$J$11:$J$112,'PIS F'!$A$11:$A$112,$B$65,'PIS F'!$B$11:$B$112,'SCH B-2.3 F'!$B73)</f>
        <v>0</v>
      </c>
      <c r="H73" s="52">
        <f t="shared" si="12"/>
        <v>3771229.42</v>
      </c>
      <c r="I73" s="52">
        <f>SUMIFS('PIS F'!$P$11:$P$112,'PIS F'!$A$11:$A$112,$B$65,'PIS F'!$B$11:$B$112,'SCH B-2.3 F'!$B73)</f>
        <v>3771229.42</v>
      </c>
    </row>
    <row r="74" spans="1:9" ht="18.95" customHeight="1">
      <c r="A74" s="34">
        <f t="shared" si="11"/>
        <v>48</v>
      </c>
      <c r="B74" s="35" t="s">
        <v>431</v>
      </c>
      <c r="C74" s="42" t="s">
        <v>46</v>
      </c>
      <c r="D74" s="52">
        <f>SUMIFS('PIS F'!$D$11:$D$112,'PIS F'!$A$11:$A$112,$B$65,'PIS F'!$B$11:$B$112,'SCH B-2.3 F'!$B74)</f>
        <v>0</v>
      </c>
      <c r="E74" s="52">
        <f>SUMIFS('PIS F'!$F$11:$F$112,'PIS F'!$A$11:$A$112,$B$65,'PIS F'!$B$11:$B$112,'SCH B-2.3 F'!$B74)</f>
        <v>0</v>
      </c>
      <c r="F74" s="52">
        <f>SUMIFS('PIS F'!$H$11:$H$112,'PIS F'!$A$11:$A$112,$B$65,'PIS F'!$B$11:$B$112,'SCH B-2.3 F'!$B74)</f>
        <v>0</v>
      </c>
      <c r="G74" s="52">
        <f>SUMIFS('PIS F'!$J$11:$J$112,'PIS F'!$A$11:$A$112,$B$65,'PIS F'!$B$11:$B$112,'SCH B-2.3 F'!$B74)</f>
        <v>0</v>
      </c>
      <c r="H74" s="52">
        <f t="shared" si="12"/>
        <v>0</v>
      </c>
      <c r="I74" s="52">
        <f>SUMIFS('PIS F'!$P$11:$P$112,'PIS F'!$A$11:$A$112,$B$65,'PIS F'!$B$11:$B$112,'SCH B-2.3 F'!$B74)</f>
        <v>0</v>
      </c>
    </row>
    <row r="75" spans="1:9" ht="18.95" customHeight="1">
      <c r="A75" s="34">
        <f t="shared" si="11"/>
        <v>49</v>
      </c>
      <c r="B75" s="35" t="s">
        <v>432</v>
      </c>
      <c r="C75" s="42" t="s">
        <v>433</v>
      </c>
      <c r="D75" s="53">
        <f>SUMIFS('PIS F'!$D$11:$D$112,'PIS F'!$A$11:$A$112,$B$65,'PIS F'!$B$11:$B$112,'SCH B-2.3 F'!$B75)</f>
        <v>0</v>
      </c>
      <c r="E75" s="53">
        <f>SUMIFS('PIS F'!$F$11:$F$112,'PIS F'!$A$11:$A$112,$B$65,'PIS F'!$B$11:$B$112,'SCH B-2.3 F'!$B75)</f>
        <v>0</v>
      </c>
      <c r="F75" s="53">
        <f>SUMIFS('PIS F'!$H$11:$H$112,'PIS F'!$A$11:$A$112,$B$65,'PIS F'!$B$11:$B$112,'SCH B-2.3 F'!$B75)</f>
        <v>0</v>
      </c>
      <c r="G75" s="53">
        <f>SUMIFS('PIS F'!$J$11:$J$112,'PIS F'!$A$11:$A$112,$B$65,'PIS F'!$B$11:$B$112,'SCH B-2.3 F'!$B75)</f>
        <v>0</v>
      </c>
      <c r="H75" s="53">
        <f t="shared" si="12"/>
        <v>0</v>
      </c>
      <c r="I75" s="53">
        <f>SUMIFS('PIS F'!$P$11:$P$112,'PIS F'!$A$11:$A$112,$B$65,'PIS F'!$B$11:$B$112,'SCH B-2.3 F'!$B75)</f>
        <v>0</v>
      </c>
    </row>
    <row r="76" spans="1:9" ht="18.95" customHeight="1">
      <c r="A76" s="34">
        <f t="shared" si="11"/>
        <v>50</v>
      </c>
      <c r="B76" s="35"/>
      <c r="C76" s="42" t="s">
        <v>619</v>
      </c>
      <c r="D76" s="50">
        <f t="shared" ref="D76:I76" si="13">SUM(D66:D75)</f>
        <v>12873065.15</v>
      </c>
      <c r="E76" s="50">
        <f t="shared" si="13"/>
        <v>738040.1</v>
      </c>
      <c r="F76" s="50">
        <f t="shared" si="13"/>
        <v>-201687</v>
      </c>
      <c r="G76" s="50">
        <f t="shared" si="13"/>
        <v>0</v>
      </c>
      <c r="H76" s="50">
        <f t="shared" si="13"/>
        <v>13409418.25</v>
      </c>
      <c r="I76" s="50">
        <f t="shared" si="13"/>
        <v>13168757.011538452</v>
      </c>
    </row>
    <row r="77" spans="1:9" ht="18.95" customHeight="1">
      <c r="A77" s="34"/>
      <c r="B77" s="35"/>
    </row>
    <row r="78" spans="1:9" ht="18.95" customHeight="1">
      <c r="A78" s="34">
        <f>A76+1</f>
        <v>51</v>
      </c>
      <c r="B78" s="129" t="s">
        <v>452</v>
      </c>
      <c r="C78" s="54" t="s">
        <v>502</v>
      </c>
    </row>
    <row r="79" spans="1:9" ht="18.95" customHeight="1">
      <c r="A79" s="34">
        <f>A78+1</f>
        <v>52</v>
      </c>
      <c r="B79" s="35" t="s">
        <v>411</v>
      </c>
      <c r="C79" s="42" t="s">
        <v>412</v>
      </c>
      <c r="D79" s="52">
        <f>SUMIFS('PIS F'!$D$11:$D$112,'PIS F'!$A$11:$A$112,$B$78,'PIS F'!$B$11:$B$112,'SCH B-2.3 F'!$B79)</f>
        <v>25134.686999999973</v>
      </c>
      <c r="E79" s="52">
        <f>SUMIFS('PIS F'!$F$11:$F$112,'PIS F'!$A$11:$A$112,$B$78,'PIS F'!$B$11:$B$112,'SCH B-2.3 F'!$B79)</f>
        <v>0</v>
      </c>
      <c r="F79" s="52">
        <f>SUMIFS('PIS F'!$H$11:$H$112,'PIS F'!$A$11:$A$112,$B$78,'PIS F'!$B$11:$B$112,'SCH B-2.3 F'!$B79)</f>
        <v>0</v>
      </c>
      <c r="G79" s="52">
        <f>SUMIFS('PIS F'!$J$11:$J$112,'PIS F'!$A$11:$A$112,$B$78,'PIS F'!$B$11:$B$112,'SCH B-2.3 F'!$B79)</f>
        <v>0</v>
      </c>
      <c r="H79" s="50">
        <f>SUM(D79:G79)</f>
        <v>25134.686999999973</v>
      </c>
      <c r="I79" s="52">
        <f>SUMIFS('PIS F'!$P$11:$P$112,'PIS F'!$A$11:$A$112,$B$78,'PIS F'!$B$11:$B$112,'SCH B-2.3 F'!$B79)</f>
        <v>25134.686999999965</v>
      </c>
    </row>
    <row r="80" spans="1:9" ht="18.95" customHeight="1">
      <c r="A80" s="34">
        <f t="shared" ref="A80:A81" si="14">A79+1</f>
        <v>53</v>
      </c>
      <c r="B80" s="35" t="s">
        <v>413</v>
      </c>
      <c r="C80" s="42" t="s">
        <v>414</v>
      </c>
      <c r="D80" s="50">
        <f>SUMIFS('PIS F'!$D$11:$D$112,'PIS F'!$A$11:$A$112,$B$78,'PIS F'!$B$11:$B$112,'SCH B-2.3 F'!$B80)</f>
        <v>0</v>
      </c>
      <c r="E80" s="50">
        <f>SUMIFS('PIS F'!$F$11:$F$112,'PIS F'!$A$11:$A$112,$B$78,'PIS F'!$B$11:$B$112,'SCH B-2.3 F'!$B80)</f>
        <v>0</v>
      </c>
      <c r="F80" s="51">
        <f>SUMIFS('PIS F'!$H$11:$H$112,'PIS F'!$A$11:$A$112,$B$78,'PIS F'!$B$11:$B$112,'SCH B-2.3 F'!$B80)</f>
        <v>0</v>
      </c>
      <c r="G80" s="51">
        <f>SUMIFS('PIS F'!$J$11:$J$112,'PIS F'!$A$11:$A$112,$B$78,'PIS F'!$B$11:$B$112,'SCH B-2.3 F'!$B80)</f>
        <v>0</v>
      </c>
      <c r="H80" s="51">
        <f t="shared" ref="H80:H88" si="15">SUM(D80:G80)</f>
        <v>0</v>
      </c>
      <c r="I80" s="50">
        <f>SUMIFS('PIS F'!$P$11:$P$112,'PIS F'!$A$11:$A$112,$B$78,'PIS F'!$B$11:$B$112,'SCH B-2.3 F'!$B80)</f>
        <v>0</v>
      </c>
    </row>
    <row r="81" spans="1:9" ht="18.95" customHeight="1">
      <c r="A81" s="34">
        <f t="shared" si="14"/>
        <v>54</v>
      </c>
      <c r="B81" s="35" t="s">
        <v>415</v>
      </c>
      <c r="C81" s="42" t="s">
        <v>416</v>
      </c>
      <c r="D81" s="52">
        <f>SUMIFS('PIS F'!$D$11:$D$112,'PIS F'!$A$11:$A$112,$B$78,'PIS F'!$B$11:$B$112,'SCH B-2.3 F'!$B81)</f>
        <v>30189595.031999998</v>
      </c>
      <c r="E81" s="52">
        <f>SUMIFS('PIS F'!$F$11:$F$112,'PIS F'!$A$11:$A$112,$B$78,'PIS F'!$B$11:$B$112,'SCH B-2.3 F'!$B81)</f>
        <v>7603457.5529999677</v>
      </c>
      <c r="F81" s="52">
        <f>SUMIFS('PIS F'!$H$11:$H$112,'PIS F'!$A$11:$A$112,$B$78,'PIS F'!$B$11:$B$112,'SCH B-2.3 F'!$B81)</f>
        <v>-2201475.6</v>
      </c>
      <c r="G81" s="52">
        <f>SUMIFS('PIS F'!$J$11:$J$112,'PIS F'!$A$11:$A$112,$B$78,'PIS F'!$B$11:$B$112,'SCH B-2.3 F'!$B81)</f>
        <v>0</v>
      </c>
      <c r="H81" s="52">
        <f t="shared" si="15"/>
        <v>35591576.984999962</v>
      </c>
      <c r="I81" s="52">
        <f>SUMIFS('PIS F'!$P$11:$P$112,'PIS F'!$A$11:$A$112,$B$78,'PIS F'!$B$11:$B$112,'SCH B-2.3 F'!$B81)</f>
        <v>33940806.507692315</v>
      </c>
    </row>
    <row r="82" spans="1:9" ht="18.95" customHeight="1">
      <c r="A82" s="34">
        <f>A81+1</f>
        <v>55</v>
      </c>
      <c r="B82" s="35" t="s">
        <v>419</v>
      </c>
      <c r="C82" s="42" t="s">
        <v>43</v>
      </c>
      <c r="D82" s="52">
        <f>SUMIFS('PIS F'!$D$11:$D$112,'PIS F'!$A$11:$A$112,$B$78,'PIS F'!$B$11:$B$112,'SCH B-2.3 F'!$B82)</f>
        <v>529946.79299999995</v>
      </c>
      <c r="E82" s="52">
        <f>SUMIFS('PIS F'!$F$11:$F$112,'PIS F'!$A$11:$A$112,$B$78,'PIS F'!$B$11:$B$112,'SCH B-2.3 F'!$B82)</f>
        <v>0</v>
      </c>
      <c r="F82" s="52">
        <f>SUMIFS('PIS F'!$H$11:$H$112,'PIS F'!$A$11:$A$112,$B$78,'PIS F'!$B$11:$B$112,'SCH B-2.3 F'!$B82)</f>
        <v>0</v>
      </c>
      <c r="G82" s="52">
        <f>SUMIFS('PIS F'!$J$11:$J$112,'PIS F'!$A$11:$A$112,$B$78,'PIS F'!$B$11:$B$112,'SCH B-2.3 F'!$B82)</f>
        <v>0</v>
      </c>
      <c r="H82" s="52">
        <f t="shared" si="15"/>
        <v>529946.79299999995</v>
      </c>
      <c r="I82" s="52">
        <f>SUMIFS('PIS F'!$P$11:$P$112,'PIS F'!$A$11:$A$112,$B$78,'PIS F'!$B$11:$B$112,'SCH B-2.3 F'!$B82)</f>
        <v>529946.79300000018</v>
      </c>
    </row>
    <row r="83" spans="1:9" ht="18.95" customHeight="1">
      <c r="A83" s="34">
        <f t="shared" ref="A83:A88" si="16">A82+1</f>
        <v>56</v>
      </c>
      <c r="B83" s="35" t="s">
        <v>420</v>
      </c>
      <c r="C83" s="42" t="s">
        <v>42</v>
      </c>
      <c r="D83" s="52">
        <f>SUMIFS('PIS F'!$D$11:$D$112,'PIS F'!$A$11:$A$112,$B$78,'PIS F'!$B$11:$B$112,'SCH B-2.3 F'!$B83)</f>
        <v>24228509.621999972</v>
      </c>
      <c r="E83" s="52">
        <f>SUMIFS('PIS F'!$F$11:$F$112,'PIS F'!$A$11:$A$112,$B$78,'PIS F'!$B$11:$B$112,'SCH B-2.3 F'!$B83)</f>
        <v>234900</v>
      </c>
      <c r="F83" s="52">
        <f>SUMIFS('PIS F'!$H$11:$H$112,'PIS F'!$A$11:$A$112,$B$78,'PIS F'!$B$11:$B$112,'SCH B-2.3 F'!$B83)</f>
        <v>0</v>
      </c>
      <c r="G83" s="52">
        <f>SUMIFS('PIS F'!$J$11:$J$112,'PIS F'!$A$11:$A$112,$B$78,'PIS F'!$B$11:$B$112,'SCH B-2.3 F'!$B83)</f>
        <v>0</v>
      </c>
      <c r="H83" s="52">
        <f t="shared" si="15"/>
        <v>24463409.621999972</v>
      </c>
      <c r="I83" s="52">
        <f>SUMIFS('PIS F'!$P$11:$P$112,'PIS F'!$A$11:$A$112,$B$78,'PIS F'!$B$11:$B$112,'SCH B-2.3 F'!$B83)</f>
        <v>24357578.8527692</v>
      </c>
    </row>
    <row r="84" spans="1:9" ht="18.95" customHeight="1">
      <c r="A84" s="34">
        <f t="shared" si="16"/>
        <v>57</v>
      </c>
      <c r="B84" s="35" t="s">
        <v>421</v>
      </c>
      <c r="C84" s="42" t="s">
        <v>45</v>
      </c>
      <c r="D84" s="52">
        <f>SUMIFS('PIS F'!$D$11:$D$112,'PIS F'!$A$11:$A$112,$B$78,'PIS F'!$B$11:$B$112,'SCH B-2.3 F'!$B84)</f>
        <v>12295594.556999998</v>
      </c>
      <c r="E84" s="52">
        <f>SUMIFS('PIS F'!$F$11:$F$112,'PIS F'!$A$11:$A$112,$B$78,'PIS F'!$B$11:$B$112,'SCH B-2.3 F'!$B84)</f>
        <v>1945217.5619999999</v>
      </c>
      <c r="F84" s="52">
        <f>SUMIFS('PIS F'!$H$11:$H$112,'PIS F'!$A$11:$A$112,$B$78,'PIS F'!$B$11:$B$112,'SCH B-2.3 F'!$B84)</f>
        <v>-771998.4</v>
      </c>
      <c r="G84" s="52">
        <f>SUMIFS('PIS F'!$J$11:$J$112,'PIS F'!$A$11:$A$112,$B$78,'PIS F'!$B$11:$B$112,'SCH B-2.3 F'!$B84)</f>
        <v>0</v>
      </c>
      <c r="H84" s="52">
        <f t="shared" si="15"/>
        <v>13468813.718999999</v>
      </c>
      <c r="I84" s="52">
        <f>SUMIFS('PIS F'!$P$11:$P$112,'PIS F'!$A$11:$A$112,$B$78,'PIS F'!$B$11:$B$112,'SCH B-2.3 F'!$B84)</f>
        <v>13144396.146461533</v>
      </c>
    </row>
    <row r="85" spans="1:9" ht="18.95" customHeight="1">
      <c r="A85" s="34">
        <f t="shared" si="16"/>
        <v>58</v>
      </c>
      <c r="B85" s="35" t="s">
        <v>422</v>
      </c>
      <c r="C85" s="42" t="s">
        <v>44</v>
      </c>
      <c r="D85" s="52">
        <f>SUMIFS('PIS F'!$D$11:$D$112,'PIS F'!$A$11:$A$112,$B$78,'PIS F'!$B$11:$B$112,'SCH B-2.3 F'!$B85)</f>
        <v>82252.910999999978</v>
      </c>
      <c r="E85" s="52">
        <f>SUMIFS('PIS F'!$F$11:$F$112,'PIS F'!$A$11:$A$112,$B$78,'PIS F'!$B$11:$B$112,'SCH B-2.3 F'!$B85)</f>
        <v>0</v>
      </c>
      <c r="F85" s="52">
        <f>SUMIFS('PIS F'!$H$11:$H$112,'PIS F'!$A$11:$A$112,$B$78,'PIS F'!$B$11:$B$112,'SCH B-2.3 F'!$B85)</f>
        <v>0</v>
      </c>
      <c r="G85" s="52">
        <f>SUMIFS('PIS F'!$J$11:$J$112,'PIS F'!$A$11:$A$112,$B$78,'PIS F'!$B$11:$B$112,'SCH B-2.3 F'!$B85)</f>
        <v>0</v>
      </c>
      <c r="H85" s="52">
        <f t="shared" si="15"/>
        <v>82252.910999999978</v>
      </c>
      <c r="I85" s="52">
        <f>SUMIFS('PIS F'!$P$11:$P$112,'PIS F'!$A$11:$A$112,$B$78,'PIS F'!$B$11:$B$112,'SCH B-2.3 F'!$B85)</f>
        <v>82252.910999999993</v>
      </c>
    </row>
    <row r="86" spans="1:9" ht="18.95" customHeight="1">
      <c r="A86" s="34">
        <f t="shared" si="16"/>
        <v>59</v>
      </c>
      <c r="B86" s="35" t="s">
        <v>423</v>
      </c>
      <c r="C86" s="42" t="s">
        <v>424</v>
      </c>
      <c r="D86" s="52">
        <f>SUMIFS('PIS F'!$D$11:$D$112,'PIS F'!$A$11:$A$112,$B$78,'PIS F'!$B$11:$B$112,'SCH B-2.3 F'!$B86)</f>
        <v>441322.50599999999</v>
      </c>
      <c r="E86" s="52">
        <f>SUMIFS('PIS F'!$F$11:$F$112,'PIS F'!$A$11:$A$112,$B$78,'PIS F'!$B$11:$B$112,'SCH B-2.3 F'!$B86)</f>
        <v>0</v>
      </c>
      <c r="F86" s="52">
        <f>SUMIFS('PIS F'!$H$11:$H$112,'PIS F'!$A$11:$A$112,$B$78,'PIS F'!$B$11:$B$112,'SCH B-2.3 F'!$B86)</f>
        <v>0</v>
      </c>
      <c r="G86" s="52">
        <f>SUMIFS('PIS F'!$J$11:$J$112,'PIS F'!$A$11:$A$112,$B$78,'PIS F'!$B$11:$B$112,'SCH B-2.3 F'!$B86)</f>
        <v>0</v>
      </c>
      <c r="H86" s="52">
        <f t="shared" si="15"/>
        <v>441322.50599999999</v>
      </c>
      <c r="I86" s="52">
        <f>SUMIFS('PIS F'!$P$11:$P$112,'PIS F'!$A$11:$A$112,$B$78,'PIS F'!$B$11:$B$112,'SCH B-2.3 F'!$B86)</f>
        <v>441322.50599999999</v>
      </c>
    </row>
    <row r="87" spans="1:9" ht="18.95" customHeight="1">
      <c r="A87" s="34">
        <f t="shared" si="16"/>
        <v>60</v>
      </c>
      <c r="B87" s="35" t="s">
        <v>425</v>
      </c>
      <c r="C87" s="42" t="s">
        <v>426</v>
      </c>
      <c r="D87" s="52">
        <f>SUMIFS('PIS F'!$D$11:$D$112,'PIS F'!$A$11:$A$112,$B$78,'PIS F'!$B$11:$B$112,'SCH B-2.3 F'!$B87)</f>
        <v>1209629.574</v>
      </c>
      <c r="E87" s="52">
        <f>SUMIFS('PIS F'!$F$11:$F$112,'PIS F'!$A$11:$A$112,$B$78,'PIS F'!$B$11:$B$112,'SCH B-2.3 F'!$B87)</f>
        <v>30057</v>
      </c>
      <c r="F87" s="52">
        <f>SUMIFS('PIS F'!$H$11:$H$112,'PIS F'!$A$11:$A$112,$B$78,'PIS F'!$B$11:$B$112,'SCH B-2.3 F'!$B87)</f>
        <v>-33879.299999999996</v>
      </c>
      <c r="G87" s="52">
        <f>SUMIFS('PIS F'!$J$11:$J$112,'PIS F'!$A$11:$A$112,$B$78,'PIS F'!$B$11:$B$112,'SCH B-2.3 F'!$B87)</f>
        <v>0</v>
      </c>
      <c r="H87" s="52">
        <f t="shared" si="15"/>
        <v>1205807.274</v>
      </c>
      <c r="I87" s="52">
        <f>SUMIFS('PIS F'!$P$11:$P$112,'PIS F'!$A$11:$A$112,$B$78,'PIS F'!$B$11:$B$112,'SCH B-2.3 F'!$B87)</f>
        <v>1226167.8586153849</v>
      </c>
    </row>
    <row r="88" spans="1:9" ht="18.95" customHeight="1">
      <c r="A88" s="34">
        <f t="shared" si="16"/>
        <v>61</v>
      </c>
      <c r="B88" s="35" t="s">
        <v>427</v>
      </c>
      <c r="C88" s="42" t="s">
        <v>428</v>
      </c>
      <c r="D88" s="52">
        <f>SUMIFS('PIS F'!$D$11:$D$112,'PIS F'!$A$11:$A$112,$B$78,'PIS F'!$B$11:$B$112,'SCH B-2.3 F'!$B88)</f>
        <v>0</v>
      </c>
      <c r="E88" s="52">
        <f>SUMIFS('PIS F'!$F$11:$F$112,'PIS F'!$A$11:$A$112,$B$78,'PIS F'!$B$11:$B$112,'SCH B-2.3 F'!$B88)</f>
        <v>0</v>
      </c>
      <c r="F88" s="52">
        <f>SUMIFS('PIS F'!$H$11:$H$112,'PIS F'!$A$11:$A$112,$B$78,'PIS F'!$B$11:$B$112,'SCH B-2.3 F'!$B88)</f>
        <v>0</v>
      </c>
      <c r="G88" s="52">
        <f>SUMIFS('PIS F'!$J$11:$J$112,'PIS F'!$A$11:$A$112,$B$78,'PIS F'!$B$11:$B$112,'SCH B-2.3 F'!$B88)</f>
        <v>0</v>
      </c>
      <c r="H88" s="52">
        <f t="shared" si="15"/>
        <v>0</v>
      </c>
      <c r="I88" s="52">
        <f>SUMIFS('PIS F'!$P$11:$P$112,'PIS F'!$A$11:$A$112,$B$78,'PIS F'!$B$11:$B$112,'SCH B-2.3 F'!$B88)</f>
        <v>0</v>
      </c>
    </row>
    <row r="89" spans="1:9" s="32" customFormat="1" ht="20.100000000000001" customHeight="1">
      <c r="A89" s="494" t="str">
        <f>$A$1</f>
        <v>LOUISVILLE GAS AND ELECTRIC COMPANY</v>
      </c>
      <c r="B89" s="494"/>
      <c r="C89" s="494"/>
      <c r="D89" s="494"/>
      <c r="E89" s="494"/>
      <c r="F89" s="494"/>
      <c r="G89" s="494"/>
      <c r="H89" s="494"/>
      <c r="I89" s="494"/>
    </row>
    <row r="90" spans="1:9" s="32" customFormat="1" ht="20.100000000000001" customHeight="1">
      <c r="A90" s="494" t="str">
        <f>$A$2</f>
        <v>CASE NO. 2016-00371 - GAS OPERATIONS</v>
      </c>
      <c r="B90" s="494"/>
      <c r="C90" s="494"/>
      <c r="D90" s="494"/>
      <c r="E90" s="494"/>
      <c r="F90" s="494"/>
      <c r="G90" s="494"/>
      <c r="H90" s="494"/>
      <c r="I90" s="494"/>
    </row>
    <row r="91" spans="1:9" s="32" customFormat="1" ht="20.100000000000001" customHeight="1">
      <c r="A91" s="494" t="str">
        <f>$A$3</f>
        <v>GROSS ADDITIONS, RETIREMENTS, AND TRANSFERS</v>
      </c>
      <c r="B91" s="494"/>
      <c r="C91" s="494"/>
      <c r="D91" s="494"/>
      <c r="E91" s="494"/>
      <c r="F91" s="494"/>
      <c r="G91" s="494"/>
      <c r="H91" s="494"/>
      <c r="I91" s="494"/>
    </row>
    <row r="92" spans="1:9" s="32" customFormat="1" ht="20.100000000000001" customHeight="1">
      <c r="A92" s="493" t="str">
        <f>$A$4</f>
        <v>FROM JULY 1, 2017 TO JUNE 30, 2018</v>
      </c>
      <c r="B92" s="493"/>
      <c r="C92" s="493"/>
      <c r="D92" s="493"/>
      <c r="E92" s="493"/>
      <c r="F92" s="493"/>
      <c r="G92" s="493"/>
      <c r="H92" s="493"/>
      <c r="I92" s="493"/>
    </row>
    <row r="93" spans="1:9" s="32" customFormat="1" ht="20.100000000000001" customHeight="1">
      <c r="A93" s="48"/>
      <c r="B93" s="48"/>
      <c r="C93" s="48"/>
      <c r="D93" s="48"/>
      <c r="E93" s="48"/>
      <c r="F93" s="48"/>
      <c r="G93" s="48"/>
      <c r="H93" s="48"/>
      <c r="I93" s="48"/>
    </row>
    <row r="94" spans="1:9" s="32" customFormat="1" ht="20.100000000000001" customHeight="1">
      <c r="A94" s="31" t="str">
        <f>$A$6</f>
        <v>DATA:____BASE  PERIOD__X__FORECASTED  PERIOD</v>
      </c>
      <c r="B94" s="31"/>
      <c r="G94" s="38"/>
      <c r="H94" s="38"/>
      <c r="I94" s="38" t="s">
        <v>37</v>
      </c>
    </row>
    <row r="95" spans="1:9" s="32" customFormat="1" ht="20.100000000000001" customHeight="1">
      <c r="A95" s="31" t="str">
        <f>$A$7</f>
        <v>TYPE OF FILING: __X__ ORIGINAL  _____ UPDATED  _____ REVISED</v>
      </c>
      <c r="G95" s="38"/>
      <c r="H95" s="38"/>
      <c r="I95" s="38" t="s">
        <v>57</v>
      </c>
    </row>
    <row r="96" spans="1:9" s="32" customFormat="1" ht="20.100000000000001" customHeight="1">
      <c r="A96" s="31" t="str">
        <f>$A$8</f>
        <v>WORKPAPER REFERENCE NO(S).:</v>
      </c>
      <c r="B96" s="31"/>
      <c r="F96" s="31"/>
      <c r="G96" s="39"/>
      <c r="H96" s="39"/>
      <c r="I96" s="39" t="str">
        <f>$I$8</f>
        <v>WITNESS:   C. M. GARRETT</v>
      </c>
    </row>
    <row r="97" spans="1:9" s="32" customFormat="1" ht="20.100000000000001" customHeight="1"/>
    <row r="98" spans="1:9" ht="69.95" customHeight="1">
      <c r="A98" s="40" t="s">
        <v>29</v>
      </c>
      <c r="B98" s="40" t="s">
        <v>32</v>
      </c>
      <c r="C98" s="43" t="s">
        <v>33</v>
      </c>
      <c r="D98" s="40" t="s">
        <v>49</v>
      </c>
      <c r="E98" s="40" t="s">
        <v>35</v>
      </c>
      <c r="F98" s="40" t="s">
        <v>36</v>
      </c>
      <c r="G98" s="40" t="s">
        <v>38</v>
      </c>
      <c r="H98" s="40" t="s">
        <v>50</v>
      </c>
      <c r="I98" s="40" t="s">
        <v>51</v>
      </c>
    </row>
    <row r="99" spans="1:9" ht="23.1" customHeight="1">
      <c r="A99" s="44"/>
      <c r="B99" s="44"/>
      <c r="C99" s="45"/>
      <c r="D99" s="46" t="s">
        <v>40</v>
      </c>
      <c r="E99" s="46" t="s">
        <v>40</v>
      </c>
      <c r="F99" s="46" t="s">
        <v>40</v>
      </c>
      <c r="G99" s="46" t="s">
        <v>40</v>
      </c>
      <c r="H99" s="46" t="s">
        <v>40</v>
      </c>
      <c r="I99" s="46" t="s">
        <v>40</v>
      </c>
    </row>
    <row r="100" spans="1:9" ht="18.95" customHeight="1">
      <c r="A100" s="34">
        <f>A88+1</f>
        <v>62</v>
      </c>
      <c r="B100" s="35" t="s">
        <v>429</v>
      </c>
      <c r="C100" s="42" t="s">
        <v>430</v>
      </c>
      <c r="D100" s="52">
        <f>SUMIFS('PIS F'!$D$11:$D$112,'PIS F'!$A$11:$A$112,$B$78,'PIS F'!$B$11:$B$112,'SCH B-2.3 F'!$B100)</f>
        <v>102775.863</v>
      </c>
      <c r="E100" s="52">
        <f>SUMIFS('PIS F'!$F$11:$F$112,'PIS F'!$A$11:$A$112,$B$78,'PIS F'!$B$11:$B$112,'SCH B-2.3 F'!$B100)</f>
        <v>0</v>
      </c>
      <c r="F100" s="52">
        <f>SUMIFS('PIS F'!$H$11:$H$112,'PIS F'!$A$11:$A$112,$B$78,'PIS F'!$B$11:$B$112,'SCH B-2.3 F'!$B100)</f>
        <v>0</v>
      </c>
      <c r="G100" s="52">
        <f>SUMIFS('PIS F'!$J$11:$J$112,'PIS F'!$A$11:$A$112,$B$78,'PIS F'!$B$11:$B$112,'SCH B-2.3 F'!$B100)</f>
        <v>0</v>
      </c>
      <c r="H100" s="52">
        <f t="shared" ref="H100:H103" si="17">SUM(D100:G100)</f>
        <v>102775.863</v>
      </c>
      <c r="I100" s="52">
        <f>SUMIFS('PIS F'!$P$11:$P$112,'PIS F'!$A$11:$A$112,$B$78,'PIS F'!$B$11:$B$112,'SCH B-2.3 F'!$B100)</f>
        <v>102775.86299999997</v>
      </c>
    </row>
    <row r="101" spans="1:9" ht="18.95" customHeight="1">
      <c r="A101" s="34">
        <f t="shared" ref="A101:A104" si="18">A100+1</f>
        <v>63</v>
      </c>
      <c r="B101" s="35" t="s">
        <v>431</v>
      </c>
      <c r="C101" s="42" t="s">
        <v>46</v>
      </c>
      <c r="D101" s="52">
        <f>SUMIFS('PIS F'!$D$11:$D$112,'PIS F'!$A$11:$A$112,$B$78,'PIS F'!$B$11:$B$112,'SCH B-2.3 F'!$B101)</f>
        <v>12421631.165999999</v>
      </c>
      <c r="E101" s="52">
        <f>SUMIFS('PIS F'!$F$11:$F$112,'PIS F'!$A$11:$A$112,$B$78,'PIS F'!$B$11:$B$112,'SCH B-2.3 F'!$B101)</f>
        <v>591308.01899999997</v>
      </c>
      <c r="F101" s="52">
        <f>SUMIFS('PIS F'!$H$11:$H$112,'PIS F'!$A$11:$A$112,$B$78,'PIS F'!$B$11:$B$112,'SCH B-2.3 F'!$B101)</f>
        <v>0</v>
      </c>
      <c r="G101" s="52">
        <f>SUMIFS('PIS F'!$J$11:$J$112,'PIS F'!$A$11:$A$112,$B$78,'PIS F'!$B$11:$B$112,'SCH B-2.3 F'!$B101)</f>
        <v>0</v>
      </c>
      <c r="H101" s="52">
        <f t="shared" si="17"/>
        <v>13012939.184999999</v>
      </c>
      <c r="I101" s="52">
        <f>SUMIFS('PIS F'!$P$11:$P$112,'PIS F'!$A$11:$A$112,$B$78,'PIS F'!$B$11:$B$112,'SCH B-2.3 F'!$B101)</f>
        <v>12822626.2333846</v>
      </c>
    </row>
    <row r="102" spans="1:9" ht="18.95" customHeight="1">
      <c r="A102" s="34">
        <f t="shared" si="18"/>
        <v>64</v>
      </c>
      <c r="B102" s="35" t="s">
        <v>432</v>
      </c>
      <c r="C102" s="42" t="s">
        <v>433</v>
      </c>
      <c r="D102" s="52">
        <f>SUMIFS('PIS F'!$D$11:$D$112,'PIS F'!$A$11:$A$112,$B$78,'PIS F'!$B$11:$B$112,'SCH B-2.3 F'!$B102)</f>
        <v>0</v>
      </c>
      <c r="E102" s="52">
        <f>SUMIFS('PIS F'!$F$11:$F$112,'PIS F'!$A$11:$A$112,$B$78,'PIS F'!$B$11:$B$112,'SCH B-2.3 F'!$B102)</f>
        <v>0</v>
      </c>
      <c r="F102" s="52">
        <f>SUMIFS('PIS F'!$H$11:$H$112,'PIS F'!$A$11:$A$112,$B$78,'PIS F'!$B$11:$B$112,'SCH B-2.3 F'!$B102)</f>
        <v>0</v>
      </c>
      <c r="G102" s="52">
        <f>SUMIFS('PIS F'!$J$11:$J$112,'PIS F'!$A$11:$A$112,$B$78,'PIS F'!$B$11:$B$112,'SCH B-2.3 F'!$B102)</f>
        <v>0</v>
      </c>
      <c r="H102" s="52">
        <f t="shared" si="17"/>
        <v>0</v>
      </c>
      <c r="I102" s="52">
        <f>SUMIFS('PIS F'!$P$11:$P$112,'PIS F'!$A$11:$A$112,$B$78,'PIS F'!$B$11:$B$112,'SCH B-2.3 F'!$B102)</f>
        <v>0</v>
      </c>
    </row>
    <row r="103" spans="1:9" ht="18.95" customHeight="1">
      <c r="A103" s="34">
        <f t="shared" si="18"/>
        <v>65</v>
      </c>
      <c r="B103" s="35">
        <v>399</v>
      </c>
      <c r="C103" s="42" t="s">
        <v>490</v>
      </c>
      <c r="D103" s="53">
        <f>SUMIFS('PIS F'!$D$11:$D$112,'PIS F'!$A$11:$A$112,$B$78,'PIS F'!$B$11:$B$112,'SCH B-2.3 F'!$B103)</f>
        <v>0</v>
      </c>
      <c r="E103" s="53">
        <f>SUMIFS('PIS F'!$F$11:$F$112,'PIS F'!$A$11:$A$112,$B$78,'PIS F'!$B$11:$B$112,'SCH B-2.3 F'!$B103)</f>
        <v>0</v>
      </c>
      <c r="F103" s="53">
        <f>SUMIFS('PIS F'!$H$11:$H$112,'PIS F'!$A$11:$A$112,$B$78,'PIS F'!$B$11:$B$112,'SCH B-2.3 F'!$B103)</f>
        <v>0</v>
      </c>
      <c r="G103" s="53">
        <f>SUMIFS('PIS F'!$J$11:$J$112,'PIS F'!$A$11:$A$112,$B$78,'PIS F'!$B$11:$B$112,'SCH B-2.3 F'!$B103)</f>
        <v>0</v>
      </c>
      <c r="H103" s="53">
        <f t="shared" si="17"/>
        <v>0</v>
      </c>
      <c r="I103" s="53">
        <f>SUMIFS('PIS F'!$P$11:$P$112,'PIS F'!$A$11:$A$112,$B$78,'PIS F'!$B$11:$B$112,'SCH B-2.3 F'!$B103)</f>
        <v>0</v>
      </c>
    </row>
    <row r="104" spans="1:9" ht="18.95" customHeight="1">
      <c r="A104" s="34">
        <f t="shared" si="18"/>
        <v>66</v>
      </c>
      <c r="B104" s="35"/>
      <c r="C104" s="42" t="s">
        <v>622</v>
      </c>
      <c r="D104" s="50">
        <f>SUM(D79:D88,D100:D103)</f>
        <v>81526392.710999966</v>
      </c>
      <c r="E104" s="50">
        <f t="shared" ref="E104:H104" si="19">SUM(E79:E88,E100:E103)</f>
        <v>10404940.133999968</v>
      </c>
      <c r="F104" s="50">
        <f t="shared" si="19"/>
        <v>-3007353.3</v>
      </c>
      <c r="G104" s="50">
        <f t="shared" si="19"/>
        <v>0</v>
      </c>
      <c r="H104" s="50">
        <f t="shared" si="19"/>
        <v>88923979.544999942</v>
      </c>
      <c r="I104" s="50">
        <f>SUM(I79:I88,I100:I103)</f>
        <v>86673008.358923018</v>
      </c>
    </row>
    <row r="105" spans="1:9" ht="18.95" customHeight="1">
      <c r="A105" s="34"/>
      <c r="B105" s="35"/>
    </row>
    <row r="106" spans="1:9" ht="18.95" customHeight="1" thickBot="1">
      <c r="A106" s="34">
        <f>A104+1</f>
        <v>67</v>
      </c>
      <c r="B106" s="35"/>
      <c r="C106" s="32" t="s">
        <v>621</v>
      </c>
      <c r="D106" s="57">
        <f t="shared" ref="D106:H106" si="20">SUM(D16,D31,D37,D63,D76,D104)</f>
        <v>1240149732.1909976</v>
      </c>
      <c r="E106" s="57">
        <f t="shared" si="20"/>
        <v>81660391.713999927</v>
      </c>
      <c r="F106" s="57">
        <f t="shared" si="20"/>
        <v>-8772989.7599999998</v>
      </c>
      <c r="G106" s="57">
        <f t="shared" si="20"/>
        <v>0</v>
      </c>
      <c r="H106" s="57">
        <f t="shared" si="20"/>
        <v>1313037134.1449974</v>
      </c>
      <c r="I106" s="57">
        <f t="shared" ref="I106" si="21">SUM(I16,I31,I37,I63,I76,I104)</f>
        <v>1282774577.0273838</v>
      </c>
    </row>
    <row r="107" spans="1:9" ht="18.95" customHeight="1" thickTop="1">
      <c r="B107" s="35"/>
    </row>
    <row r="108" spans="1:9" ht="18.95" customHeight="1">
      <c r="B108" s="35"/>
      <c r="C108" s="130" t="s">
        <v>620</v>
      </c>
      <c r="D108" s="50"/>
    </row>
    <row r="109" spans="1:9" ht="18.95" customHeight="1">
      <c r="B109" s="35"/>
      <c r="C109" s="42"/>
    </row>
    <row r="110" spans="1:9" ht="18.95" customHeight="1">
      <c r="B110" s="35"/>
      <c r="C110" s="38" t="s">
        <v>491</v>
      </c>
      <c r="D110" s="52">
        <f>'PIS F'!D116</f>
        <v>1240149732.1909976</v>
      </c>
      <c r="H110" s="52">
        <f>'PIS F'!N116</f>
        <v>1313037134.1449974</v>
      </c>
      <c r="I110" s="52">
        <f>'PIS F'!P116</f>
        <v>1282774577.0273836</v>
      </c>
    </row>
    <row r="111" spans="1:9" ht="18.95" customHeight="1">
      <c r="B111" s="35"/>
      <c r="D111" s="52">
        <f>D106-D110</f>
        <v>0</v>
      </c>
      <c r="H111" s="52">
        <f t="shared" ref="H111:I111" si="22">H106-H110</f>
        <v>0</v>
      </c>
      <c r="I111" s="52">
        <f t="shared" si="22"/>
        <v>0</v>
      </c>
    </row>
    <row r="112" spans="1:9" ht="18.95" customHeight="1">
      <c r="D112" s="33" t="s">
        <v>47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0:I90"/>
    <mergeCell ref="A91:I91"/>
    <mergeCell ref="A92:I92"/>
    <mergeCell ref="A1:I1"/>
    <mergeCell ref="A2:I2"/>
    <mergeCell ref="A3:I3"/>
    <mergeCell ref="A4:I4"/>
    <mergeCell ref="A45:I45"/>
    <mergeCell ref="A46:I46"/>
    <mergeCell ref="A47:I47"/>
    <mergeCell ref="A48:I48"/>
    <mergeCell ref="A89:I89"/>
  </mergeCells>
  <pageMargins left="0.95" right="0.5" top="0.75" bottom="0.75" header="0.3" footer="0.3"/>
  <pageSetup scale="60" fitToHeight="0" orientation="portrait" r:id="rId1"/>
  <rowBreaks count="2" manualBreakCount="2">
    <brk id="44" max="16383" man="1"/>
    <brk id="88" max="9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I40"/>
  <sheetViews>
    <sheetView zoomScaleNormal="100" workbookViewId="0">
      <selection sqref="A1:I1"/>
    </sheetView>
  </sheetViews>
  <sheetFormatPr defaultColWidth="9" defaultRowHeight="12.75"/>
  <cols>
    <col min="1" max="1" width="6" style="33" customWidth="1"/>
    <col min="2" max="2" width="7.6640625" style="33" customWidth="1"/>
    <col min="3" max="3" width="31.33203125" style="33" customWidth="1"/>
    <col min="4" max="4" width="12.6640625" style="33" customWidth="1"/>
    <col min="5" max="5" width="9.44140625" style="33" customWidth="1"/>
    <col min="6" max="6" width="13.6640625" style="33" customWidth="1"/>
    <col min="7" max="7" width="15.33203125" style="33" customWidth="1"/>
    <col min="8" max="8" width="13.6640625" style="33" customWidth="1"/>
    <col min="9" max="9" width="12.44140625" style="33" customWidth="1"/>
    <col min="10" max="10" width="1.6640625" style="33" customWidth="1"/>
    <col min="11" max="16384" width="9" style="33"/>
  </cols>
  <sheetData>
    <row r="1" spans="1:9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  <c r="G1" s="494"/>
      <c r="H1" s="494"/>
      <c r="I1" s="494"/>
    </row>
    <row r="2" spans="1:9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  <c r="G2" s="494"/>
      <c r="H2" s="494"/>
      <c r="I2" s="494"/>
    </row>
    <row r="3" spans="1:9" s="32" customFormat="1" ht="20.100000000000001" customHeight="1">
      <c r="A3" s="494" t="s">
        <v>66</v>
      </c>
      <c r="B3" s="494"/>
      <c r="C3" s="494"/>
      <c r="D3" s="494"/>
      <c r="E3" s="494"/>
      <c r="F3" s="494"/>
      <c r="G3" s="494"/>
      <c r="H3" s="494"/>
      <c r="I3" s="494"/>
    </row>
    <row r="4" spans="1:9" s="32" customFormat="1" ht="20.100000000000001" customHeight="1">
      <c r="A4" s="494" t="str">
        <f>'Rate Case Constants'!C12</f>
        <v>AS OF FEBRUARY 28, 2017</v>
      </c>
      <c r="B4" s="494"/>
      <c r="C4" s="494"/>
      <c r="D4" s="494"/>
      <c r="E4" s="494"/>
      <c r="F4" s="494"/>
      <c r="G4" s="494"/>
      <c r="H4" s="494"/>
      <c r="I4" s="494"/>
    </row>
    <row r="5" spans="1:9" s="32" customFormat="1" ht="20.100000000000001" customHeight="1">
      <c r="A5" s="48"/>
      <c r="B5" s="48"/>
      <c r="C5" s="48"/>
      <c r="D5" s="48"/>
      <c r="E5" s="48"/>
      <c r="F5" s="48"/>
      <c r="G5" s="48"/>
      <c r="H5" s="48"/>
      <c r="I5" s="48"/>
    </row>
    <row r="6" spans="1:9" s="32" customFormat="1" ht="20.100000000000001" customHeight="1">
      <c r="A6" s="31" t="s">
        <v>31</v>
      </c>
      <c r="B6" s="31"/>
      <c r="G6" s="38"/>
      <c r="H6" s="38"/>
      <c r="I6" s="38" t="s">
        <v>62</v>
      </c>
    </row>
    <row r="7" spans="1:9" s="32" customFormat="1" ht="20.100000000000001" customHeight="1">
      <c r="A7" s="32" t="str">
        <f>'Rate Case Constants'!C29</f>
        <v>TYPE OF FILING: __X__ ORIGINAL  _____ UPDATED  _____ REVISED</v>
      </c>
      <c r="G7" s="38"/>
      <c r="H7" s="38"/>
      <c r="I7" s="38" t="s">
        <v>64</v>
      </c>
    </row>
    <row r="8" spans="1:9" s="32" customFormat="1" ht="20.100000000000001" customHeight="1">
      <c r="A8" s="31" t="s">
        <v>151</v>
      </c>
      <c r="B8" s="31"/>
      <c r="F8" s="31"/>
      <c r="G8" s="39"/>
      <c r="H8" s="39"/>
      <c r="I8" s="39" t="str">
        <f>'Rate Case Constants'!C36</f>
        <v>WITNESS:   C. M. GARRETT</v>
      </c>
    </row>
    <row r="9" spans="1:9" s="32" customFormat="1" ht="20.100000000000001" customHeight="1"/>
    <row r="10" spans="1:9" ht="58.5" customHeight="1">
      <c r="A10" s="40" t="s">
        <v>29</v>
      </c>
      <c r="B10" s="40" t="s">
        <v>32</v>
      </c>
      <c r="C10" s="43" t="s">
        <v>65</v>
      </c>
      <c r="D10" s="40" t="s">
        <v>407</v>
      </c>
      <c r="E10" s="40" t="s">
        <v>67</v>
      </c>
      <c r="F10" s="40" t="s">
        <v>68</v>
      </c>
      <c r="G10" s="40" t="s">
        <v>69</v>
      </c>
      <c r="H10" s="40" t="s">
        <v>70</v>
      </c>
      <c r="I10" s="40" t="s">
        <v>71</v>
      </c>
    </row>
    <row r="11" spans="1:9" ht="23.1" customHeight="1">
      <c r="A11" s="44"/>
      <c r="B11" s="44"/>
      <c r="C11" s="45"/>
      <c r="D11" s="46"/>
      <c r="E11" s="46"/>
      <c r="F11" s="46"/>
      <c r="G11" s="46"/>
      <c r="H11" s="46"/>
      <c r="I11" s="46"/>
    </row>
    <row r="12" spans="1:9" ht="18.95" customHeight="1">
      <c r="A12" s="495" t="s">
        <v>628</v>
      </c>
      <c r="B12" s="495"/>
      <c r="C12" s="495"/>
      <c r="D12" s="495"/>
      <c r="E12" s="495"/>
      <c r="F12" s="495"/>
      <c r="G12" s="495"/>
      <c r="H12" s="495"/>
      <c r="I12" s="495"/>
    </row>
    <row r="13" spans="1:9" ht="18.95" customHeight="1">
      <c r="B13" s="35"/>
      <c r="D13" s="50"/>
    </row>
    <row r="14" spans="1:9" s="32" customFormat="1" ht="20.100000000000001" customHeight="1">
      <c r="A14" s="494" t="str">
        <f>$A$1</f>
        <v>LOUISVILLE GAS AND ELECTRIC COMPANY</v>
      </c>
      <c r="B14" s="494"/>
      <c r="C14" s="494"/>
      <c r="D14" s="494"/>
      <c r="E14" s="494"/>
      <c r="F14" s="494"/>
      <c r="G14" s="494"/>
      <c r="H14" s="494"/>
      <c r="I14" s="494"/>
    </row>
    <row r="15" spans="1:9" s="32" customFormat="1" ht="20.100000000000001" customHeight="1">
      <c r="A15" s="494" t="str">
        <f>$A$2</f>
        <v>CASE NO. 2016-00371 - GAS OPERATIONS</v>
      </c>
      <c r="B15" s="494"/>
      <c r="C15" s="494"/>
      <c r="D15" s="494"/>
      <c r="E15" s="494"/>
      <c r="F15" s="494"/>
      <c r="G15" s="494"/>
      <c r="H15" s="494"/>
      <c r="I15" s="494"/>
    </row>
    <row r="16" spans="1:9" s="32" customFormat="1" ht="20.100000000000001" customHeight="1">
      <c r="A16" s="494" t="str">
        <f>$A$3</f>
        <v>PROPERTY MERGED OR ACQUIRED</v>
      </c>
      <c r="B16" s="494"/>
      <c r="C16" s="494"/>
      <c r="D16" s="494"/>
      <c r="E16" s="494"/>
      <c r="F16" s="494"/>
      <c r="G16" s="494"/>
      <c r="H16" s="494"/>
      <c r="I16" s="494"/>
    </row>
    <row r="17" spans="1:9" s="32" customFormat="1" ht="20.100000000000001" customHeight="1">
      <c r="A17" s="494" t="str">
        <f>'Rate Case Constants'!C18</f>
        <v>AS OF JUNE 30, 2018</v>
      </c>
      <c r="B17" s="494"/>
      <c r="C17" s="494"/>
      <c r="D17" s="494"/>
      <c r="E17" s="494"/>
      <c r="F17" s="494"/>
      <c r="G17" s="494"/>
      <c r="H17" s="494"/>
      <c r="I17" s="494"/>
    </row>
    <row r="18" spans="1:9" s="32" customFormat="1" ht="20.100000000000001" customHeight="1">
      <c r="A18" s="48"/>
      <c r="B18" s="48"/>
      <c r="C18" s="48"/>
      <c r="D18" s="48"/>
      <c r="E18" s="48"/>
      <c r="F18" s="48"/>
      <c r="G18" s="48"/>
      <c r="H18" s="48"/>
      <c r="I18" s="48"/>
    </row>
    <row r="19" spans="1:9" s="32" customFormat="1" ht="20.100000000000001" customHeight="1">
      <c r="A19" s="31" t="s">
        <v>48</v>
      </c>
      <c r="B19" s="31"/>
      <c r="G19" s="38"/>
      <c r="H19" s="38"/>
      <c r="I19" s="38" t="s">
        <v>62</v>
      </c>
    </row>
    <row r="20" spans="1:9" s="32" customFormat="1" ht="20.100000000000001" customHeight="1">
      <c r="A20" s="31" t="str">
        <f>$A$7</f>
        <v>TYPE OF FILING: __X__ ORIGINAL  _____ UPDATED  _____ REVISED</v>
      </c>
      <c r="G20" s="38"/>
      <c r="H20" s="38"/>
      <c r="I20" s="38" t="s">
        <v>72</v>
      </c>
    </row>
    <row r="21" spans="1:9" s="32" customFormat="1" ht="20.100000000000001" customHeight="1">
      <c r="A21" s="31" t="str">
        <f>$A$8</f>
        <v>WORKPAPER REFERENCE NO(S).:</v>
      </c>
      <c r="B21" s="31"/>
      <c r="F21" s="31"/>
      <c r="G21" s="39"/>
      <c r="H21" s="39"/>
      <c r="I21" s="39" t="str">
        <f>$I$8</f>
        <v>WITNESS:   C. M. GARRETT</v>
      </c>
    </row>
    <row r="22" spans="1:9" s="32" customFormat="1" ht="20.100000000000001" customHeight="1"/>
    <row r="23" spans="1:9" ht="58.5" customHeight="1">
      <c r="A23" s="40" t="s">
        <v>29</v>
      </c>
      <c r="B23" s="40" t="s">
        <v>32</v>
      </c>
      <c r="C23" s="43" t="s">
        <v>65</v>
      </c>
      <c r="D23" s="40" t="s">
        <v>407</v>
      </c>
      <c r="E23" s="40" t="s">
        <v>67</v>
      </c>
      <c r="F23" s="40" t="s">
        <v>68</v>
      </c>
      <c r="G23" s="40" t="s">
        <v>69</v>
      </c>
      <c r="H23" s="40" t="s">
        <v>70</v>
      </c>
      <c r="I23" s="40" t="s">
        <v>71</v>
      </c>
    </row>
    <row r="24" spans="1:9" ht="23.1" customHeight="1">
      <c r="A24" s="44"/>
      <c r="B24" s="44"/>
      <c r="C24" s="45"/>
      <c r="D24" s="46"/>
      <c r="E24" s="46"/>
      <c r="F24" s="46"/>
      <c r="G24" s="46"/>
      <c r="H24" s="46"/>
      <c r="I24" s="46"/>
    </row>
    <row r="25" spans="1:9" ht="18.95" customHeight="1">
      <c r="A25" s="495" t="s">
        <v>628</v>
      </c>
      <c r="B25" s="495"/>
      <c r="C25" s="495"/>
      <c r="D25" s="495"/>
      <c r="E25" s="495"/>
      <c r="F25" s="495"/>
      <c r="G25" s="495"/>
      <c r="H25" s="495"/>
      <c r="I25" s="495"/>
    </row>
    <row r="26" spans="1:9" ht="18.95" customHeight="1">
      <c r="B26" s="35"/>
    </row>
    <row r="27" spans="1:9" ht="18.95" customHeight="1">
      <c r="B27" s="35"/>
    </row>
    <row r="28" spans="1:9" ht="18.95" customHeight="1">
      <c r="D28" s="33" t="s">
        <v>47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1:I1"/>
    <mergeCell ref="A2:I2"/>
    <mergeCell ref="A3:I3"/>
    <mergeCell ref="A4:I4"/>
    <mergeCell ref="A12:I12"/>
    <mergeCell ref="A25:I25"/>
    <mergeCell ref="A14:I14"/>
    <mergeCell ref="A15:I15"/>
    <mergeCell ref="A16:I16"/>
    <mergeCell ref="A17:I17"/>
  </mergeCells>
  <pageMargins left="0.95" right="0.5" top="0.75" bottom="0.75" header="0.3" footer="0.3"/>
  <pageSetup scale="68" fitToHeight="0" orientation="portrait" r:id="rId1"/>
  <rowBreaks count="1" manualBreakCount="1">
    <brk id="1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H40"/>
  <sheetViews>
    <sheetView zoomScaleNormal="100" workbookViewId="0">
      <selection activeCell="C27" sqref="C27"/>
    </sheetView>
  </sheetViews>
  <sheetFormatPr defaultColWidth="9" defaultRowHeight="12.75"/>
  <cols>
    <col min="1" max="1" width="6" style="33" customWidth="1"/>
    <col min="2" max="2" width="15.109375" style="33" customWidth="1"/>
    <col min="3" max="3" width="27.77734375" style="33" customWidth="1"/>
    <col min="4" max="4" width="14.21875" style="33" customWidth="1"/>
    <col min="5" max="5" width="13.109375" style="33" customWidth="1"/>
    <col min="6" max="6" width="13.6640625" style="33" customWidth="1"/>
    <col min="7" max="7" width="15.33203125" style="33" customWidth="1"/>
    <col min="8" max="8" width="22.6640625" style="33" customWidth="1"/>
    <col min="9" max="9" width="1.6640625" style="33" customWidth="1"/>
    <col min="10" max="16384" width="9" style="33"/>
  </cols>
  <sheetData>
    <row r="1" spans="1:8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  <c r="G1" s="494"/>
      <c r="H1" s="494"/>
    </row>
    <row r="2" spans="1:8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  <c r="G2" s="494"/>
      <c r="H2" s="494"/>
    </row>
    <row r="3" spans="1:8" s="32" customFormat="1" ht="20.100000000000001" customHeight="1">
      <c r="A3" s="494" t="s">
        <v>73</v>
      </c>
      <c r="B3" s="494"/>
      <c r="C3" s="494"/>
      <c r="D3" s="494"/>
      <c r="E3" s="494"/>
      <c r="F3" s="494"/>
      <c r="G3" s="494"/>
      <c r="H3" s="494"/>
    </row>
    <row r="4" spans="1:8" s="32" customFormat="1" ht="20.100000000000001" customHeight="1">
      <c r="A4" s="494" t="str">
        <f>'Rate Case Constants'!C12</f>
        <v>AS OF FEBRUARY 28, 2017</v>
      </c>
      <c r="B4" s="494"/>
      <c r="C4" s="494"/>
      <c r="D4" s="494"/>
      <c r="E4" s="494"/>
      <c r="F4" s="494"/>
      <c r="G4" s="494"/>
      <c r="H4" s="494"/>
    </row>
    <row r="5" spans="1:8" s="32" customFormat="1" ht="20.100000000000001" customHeight="1">
      <c r="A5" s="48"/>
      <c r="B5" s="48"/>
      <c r="C5" s="48"/>
      <c r="D5" s="48"/>
      <c r="E5" s="48"/>
      <c r="F5" s="48"/>
      <c r="G5" s="48"/>
      <c r="H5" s="48"/>
    </row>
    <row r="6" spans="1:8" s="32" customFormat="1" ht="20.100000000000001" customHeight="1">
      <c r="A6" s="31" t="s">
        <v>31</v>
      </c>
      <c r="B6" s="31"/>
      <c r="G6" s="38"/>
      <c r="H6" s="38" t="s">
        <v>74</v>
      </c>
    </row>
    <row r="7" spans="1:8" s="32" customFormat="1" ht="20.100000000000001" customHeight="1">
      <c r="A7" s="32" t="str">
        <f>'Rate Case Constants'!C29</f>
        <v>TYPE OF FILING: __X__ ORIGINAL  _____ UPDATED  _____ REVISED</v>
      </c>
      <c r="G7" s="38"/>
      <c r="H7" s="38" t="s">
        <v>64</v>
      </c>
    </row>
    <row r="8" spans="1:8" s="32" customFormat="1" ht="20.100000000000001" customHeight="1">
      <c r="A8" s="31" t="s">
        <v>151</v>
      </c>
      <c r="B8" s="31"/>
      <c r="F8" s="31"/>
      <c r="G8" s="39"/>
      <c r="H8" s="39" t="str">
        <f>'Rate Case Constants'!C36</f>
        <v>WITNESS:   C. M. GARRETT</v>
      </c>
    </row>
    <row r="9" spans="1:8" s="32" customFormat="1" ht="20.100000000000001" customHeight="1"/>
    <row r="10" spans="1:8" ht="58.5" customHeight="1">
      <c r="A10" s="40" t="s">
        <v>29</v>
      </c>
      <c r="B10" s="40" t="s">
        <v>75</v>
      </c>
      <c r="C10" s="43" t="s">
        <v>76</v>
      </c>
      <c r="D10" s="40" t="s">
        <v>77</v>
      </c>
      <c r="E10" s="40" t="s">
        <v>78</v>
      </c>
      <c r="F10" s="40" t="s">
        <v>79</v>
      </c>
      <c r="G10" s="40" t="s">
        <v>80</v>
      </c>
      <c r="H10" s="40" t="s">
        <v>81</v>
      </c>
    </row>
    <row r="11" spans="1:8" ht="23.1" customHeight="1">
      <c r="A11" s="44"/>
      <c r="B11" s="44"/>
      <c r="C11" s="45"/>
      <c r="D11" s="46"/>
      <c r="E11" s="46"/>
      <c r="F11" s="46"/>
      <c r="G11" s="46"/>
      <c r="H11" s="46"/>
    </row>
    <row r="12" spans="1:8" ht="18.95" customHeight="1">
      <c r="A12" s="494" t="s">
        <v>629</v>
      </c>
      <c r="B12" s="494"/>
      <c r="C12" s="494"/>
      <c r="D12" s="494"/>
      <c r="E12" s="494"/>
      <c r="F12" s="494"/>
      <c r="G12" s="494"/>
      <c r="H12" s="494"/>
    </row>
    <row r="13" spans="1:8" ht="18.95" customHeight="1">
      <c r="B13" s="35"/>
      <c r="D13" s="50"/>
    </row>
    <row r="14" spans="1:8" s="32" customFormat="1" ht="20.100000000000001" customHeight="1">
      <c r="A14" s="494" t="str">
        <f>$A$1</f>
        <v>LOUISVILLE GAS AND ELECTRIC COMPANY</v>
      </c>
      <c r="B14" s="494"/>
      <c r="C14" s="494"/>
      <c r="D14" s="494"/>
      <c r="E14" s="494"/>
      <c r="F14" s="494"/>
      <c r="G14" s="494"/>
      <c r="H14" s="494"/>
    </row>
    <row r="15" spans="1:8" s="32" customFormat="1" ht="20.100000000000001" customHeight="1">
      <c r="A15" s="494" t="str">
        <f>$A$2</f>
        <v>CASE NO. 2016-00371 - GAS OPERATIONS</v>
      </c>
      <c r="B15" s="494"/>
      <c r="C15" s="494"/>
      <c r="D15" s="494"/>
      <c r="E15" s="494"/>
      <c r="F15" s="494"/>
      <c r="G15" s="494"/>
      <c r="H15" s="494"/>
    </row>
    <row r="16" spans="1:8" s="32" customFormat="1" ht="20.100000000000001" customHeight="1">
      <c r="A16" s="494" t="str">
        <f>$A$3</f>
        <v>LEASED PROPERTY</v>
      </c>
      <c r="B16" s="494"/>
      <c r="C16" s="494"/>
      <c r="D16" s="494"/>
      <c r="E16" s="494"/>
      <c r="F16" s="494"/>
      <c r="G16" s="494"/>
      <c r="H16" s="494"/>
    </row>
    <row r="17" spans="1:8" s="32" customFormat="1" ht="20.100000000000001" customHeight="1">
      <c r="A17" s="494" t="str">
        <f>'Rate Case Constants'!C18</f>
        <v>AS OF JUNE 30, 2018</v>
      </c>
      <c r="B17" s="494"/>
      <c r="C17" s="494"/>
      <c r="D17" s="494"/>
      <c r="E17" s="494"/>
      <c r="F17" s="494"/>
      <c r="G17" s="494"/>
      <c r="H17" s="494"/>
    </row>
    <row r="18" spans="1:8" s="32" customFormat="1" ht="20.100000000000001" customHeight="1">
      <c r="A18" s="48"/>
      <c r="B18" s="48"/>
      <c r="C18" s="48"/>
      <c r="D18" s="48"/>
      <c r="E18" s="48"/>
      <c r="F18" s="48"/>
      <c r="G18" s="48"/>
      <c r="H18" s="48"/>
    </row>
    <row r="19" spans="1:8" s="32" customFormat="1" ht="20.100000000000001" customHeight="1">
      <c r="A19" s="31" t="s">
        <v>48</v>
      </c>
      <c r="B19" s="31"/>
      <c r="G19" s="38"/>
      <c r="H19" s="38" t="s">
        <v>74</v>
      </c>
    </row>
    <row r="20" spans="1:8" s="32" customFormat="1" ht="20.100000000000001" customHeight="1">
      <c r="A20" s="31" t="str">
        <f>$A$7</f>
        <v>TYPE OF FILING: __X__ ORIGINAL  _____ UPDATED  _____ REVISED</v>
      </c>
      <c r="G20" s="38"/>
      <c r="H20" s="38" t="s">
        <v>72</v>
      </c>
    </row>
    <row r="21" spans="1:8" s="32" customFormat="1" ht="20.100000000000001" customHeight="1">
      <c r="A21" s="31" t="str">
        <f>$A$8</f>
        <v>WORKPAPER REFERENCE NO(S).:</v>
      </c>
      <c r="B21" s="31"/>
      <c r="F21" s="31"/>
      <c r="G21" s="39"/>
      <c r="H21" s="39" t="str">
        <f>$H$8</f>
        <v>WITNESS:   C. M. GARRETT</v>
      </c>
    </row>
    <row r="22" spans="1:8" s="32" customFormat="1" ht="20.100000000000001" customHeight="1"/>
    <row r="23" spans="1:8" ht="58.5" customHeight="1">
      <c r="A23" s="40" t="s">
        <v>29</v>
      </c>
      <c r="B23" s="40" t="s">
        <v>75</v>
      </c>
      <c r="C23" s="43" t="s">
        <v>76</v>
      </c>
      <c r="D23" s="40" t="s">
        <v>77</v>
      </c>
      <c r="E23" s="40" t="s">
        <v>78</v>
      </c>
      <c r="F23" s="40" t="s">
        <v>79</v>
      </c>
      <c r="G23" s="40" t="s">
        <v>80</v>
      </c>
      <c r="H23" s="40" t="s">
        <v>81</v>
      </c>
    </row>
    <row r="24" spans="1:8" ht="23.1" customHeight="1">
      <c r="A24" s="44"/>
      <c r="B24" s="44"/>
      <c r="C24" s="45"/>
      <c r="D24" s="46"/>
      <c r="E24" s="46"/>
      <c r="F24" s="46"/>
      <c r="G24" s="46"/>
      <c r="H24" s="46"/>
    </row>
    <row r="25" spans="1:8" ht="18.95" customHeight="1">
      <c r="A25" s="494" t="s">
        <v>629</v>
      </c>
      <c r="B25" s="494"/>
      <c r="C25" s="494"/>
      <c r="D25" s="494"/>
      <c r="E25" s="494"/>
      <c r="F25" s="494"/>
      <c r="G25" s="494"/>
      <c r="H25" s="494"/>
    </row>
    <row r="26" spans="1:8" ht="18.95" customHeight="1">
      <c r="B26" s="35"/>
    </row>
    <row r="27" spans="1:8" ht="18.95" customHeight="1">
      <c r="B27" s="35"/>
    </row>
    <row r="28" spans="1:8" ht="18.95" customHeight="1">
      <c r="D28" s="33" t="s">
        <v>47</v>
      </c>
    </row>
    <row r="29" spans="1:8" ht="18.95" customHeight="1"/>
    <row r="30" spans="1:8" ht="18.95" customHeight="1"/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H25"/>
    <mergeCell ref="A16:H16"/>
    <mergeCell ref="A17:H17"/>
    <mergeCell ref="A1:H1"/>
    <mergeCell ref="A2:H2"/>
    <mergeCell ref="A3:H3"/>
    <mergeCell ref="A4:H4"/>
    <mergeCell ref="A14:H14"/>
    <mergeCell ref="A15:H15"/>
    <mergeCell ref="A12:H12"/>
  </mergeCells>
  <pageMargins left="0.95" right="0.5" top="0.75" bottom="0.75" header="0.3" footer="0.3"/>
  <pageSetup scale="65" fitToHeight="0" orientation="portrait" r:id="rId1"/>
  <rowBreaks count="1" manualBreakCount="1">
    <brk id="1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M53"/>
  <sheetViews>
    <sheetView topLeftCell="A4" zoomScaleNormal="100" workbookViewId="0">
      <selection activeCell="A24" sqref="A24:M24"/>
    </sheetView>
  </sheetViews>
  <sheetFormatPr defaultColWidth="9" defaultRowHeight="12.75"/>
  <cols>
    <col min="1" max="1" width="6" style="33" customWidth="1"/>
    <col min="2" max="2" width="41.21875" style="33" customWidth="1"/>
    <col min="3" max="3" width="12.109375" style="33" customWidth="1"/>
    <col min="4" max="4" width="12.33203125" style="33" customWidth="1"/>
    <col min="5" max="5" width="15.109375" style="33" customWidth="1"/>
    <col min="6" max="6" width="10.77734375" style="33" customWidth="1"/>
    <col min="7" max="7" width="11.6640625" style="33" customWidth="1"/>
    <col min="8" max="8" width="7.77734375" style="33" customWidth="1"/>
    <col min="9" max="9" width="13.6640625" style="33" customWidth="1"/>
    <col min="10" max="10" width="2.21875" style="33" customWidth="1"/>
    <col min="11" max="11" width="11.6640625" style="33" customWidth="1"/>
    <col min="12" max="12" width="7.77734375" style="33" customWidth="1"/>
    <col min="13" max="13" width="13.6640625" style="33" customWidth="1"/>
    <col min="14" max="14" width="1.6640625" style="33" customWidth="1"/>
    <col min="15" max="16384" width="9" style="33"/>
  </cols>
  <sheetData>
    <row r="1" spans="1:13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</row>
    <row r="2" spans="1:13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</row>
    <row r="3" spans="1:13" s="32" customFormat="1" ht="20.100000000000001" customHeight="1">
      <c r="A3" s="494" t="s">
        <v>82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</row>
    <row r="4" spans="1:13" s="32" customFormat="1" ht="20.100000000000001" customHeight="1">
      <c r="A4" s="494" t="str">
        <f>'Rate Case Constants'!C12</f>
        <v>AS OF FEBRUARY 28, 2017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</row>
    <row r="5" spans="1:13" s="32" customFormat="1" ht="20.100000000000001" customHeight="1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</row>
    <row r="6" spans="1:13" s="32" customFormat="1" ht="20.100000000000001" customHeight="1">
      <c r="A6" s="31" t="s">
        <v>31</v>
      </c>
      <c r="B6" s="31"/>
      <c r="G6" s="38"/>
      <c r="H6" s="38"/>
      <c r="I6" s="38"/>
      <c r="J6" s="38"/>
      <c r="K6" s="38"/>
      <c r="L6" s="38"/>
      <c r="M6" s="38" t="s">
        <v>83</v>
      </c>
    </row>
    <row r="7" spans="1:13" s="32" customFormat="1" ht="20.100000000000001" customHeight="1">
      <c r="A7" s="32" t="str">
        <f>'Rate Case Constants'!C29</f>
        <v>TYPE OF FILING: __X__ ORIGINAL  _____ UPDATED  _____ REVISED</v>
      </c>
      <c r="G7" s="38"/>
      <c r="H7" s="38"/>
      <c r="I7" s="38"/>
      <c r="J7" s="38"/>
      <c r="K7" s="38"/>
      <c r="L7" s="38"/>
      <c r="M7" s="38" t="s">
        <v>64</v>
      </c>
    </row>
    <row r="8" spans="1:13" s="32" customFormat="1" ht="20.100000000000001" customHeight="1">
      <c r="A8" s="31" t="s">
        <v>151</v>
      </c>
      <c r="B8" s="31"/>
      <c r="F8" s="31"/>
      <c r="G8" s="39"/>
      <c r="H8" s="39"/>
      <c r="I8" s="39"/>
      <c r="J8" s="39"/>
      <c r="K8" s="39"/>
      <c r="L8" s="39"/>
      <c r="M8" s="39" t="str">
        <f>'Rate Case Constants'!C36</f>
        <v>WITNESS:   C. M. GARRETT</v>
      </c>
    </row>
    <row r="9" spans="1:13" s="32" customFormat="1" ht="20.100000000000001" customHeight="1"/>
    <row r="10" spans="1:13" s="32" customFormat="1" ht="20.100000000000001" customHeight="1">
      <c r="A10" s="59"/>
      <c r="B10" s="59"/>
      <c r="C10" s="59"/>
      <c r="D10" s="59"/>
      <c r="E10" s="59"/>
      <c r="F10" s="59"/>
      <c r="G10" s="496" t="s">
        <v>91</v>
      </c>
      <c r="H10" s="496"/>
      <c r="I10" s="496"/>
      <c r="J10" s="60"/>
      <c r="K10" s="496" t="s">
        <v>93</v>
      </c>
      <c r="L10" s="496"/>
      <c r="M10" s="496"/>
    </row>
    <row r="11" spans="1:13" ht="43.5" customHeight="1">
      <c r="A11" s="35" t="s">
        <v>29</v>
      </c>
      <c r="B11" s="35" t="s">
        <v>84</v>
      </c>
      <c r="C11" s="35" t="s">
        <v>85</v>
      </c>
      <c r="D11" s="35" t="s">
        <v>86</v>
      </c>
      <c r="E11" s="35" t="s">
        <v>87</v>
      </c>
      <c r="F11" s="35" t="s">
        <v>88</v>
      </c>
      <c r="G11" s="35" t="s">
        <v>89</v>
      </c>
      <c r="H11" s="35" t="s">
        <v>90</v>
      </c>
      <c r="I11" s="35" t="s">
        <v>92</v>
      </c>
      <c r="J11" s="35"/>
      <c r="K11" s="35" t="s">
        <v>89</v>
      </c>
      <c r="L11" s="35" t="s">
        <v>90</v>
      </c>
      <c r="M11" s="35" t="s">
        <v>92</v>
      </c>
    </row>
    <row r="12" spans="1:13" ht="23.1" customHeight="1">
      <c r="A12" s="44"/>
      <c r="B12" s="44"/>
      <c r="C12" s="45"/>
      <c r="D12" s="46" t="s">
        <v>40</v>
      </c>
      <c r="E12" s="46" t="s">
        <v>40</v>
      </c>
      <c r="F12" s="46" t="s">
        <v>40</v>
      </c>
      <c r="G12" s="46" t="s">
        <v>40</v>
      </c>
      <c r="H12" s="46"/>
      <c r="I12" s="46"/>
      <c r="J12" s="46"/>
      <c r="K12" s="46" t="s">
        <v>40</v>
      </c>
      <c r="L12" s="46"/>
      <c r="M12" s="46"/>
    </row>
    <row r="13" spans="1:13" ht="23.1" customHeight="1">
      <c r="A13" s="37"/>
      <c r="B13" s="37"/>
      <c r="C13" s="64"/>
      <c r="D13" s="58"/>
      <c r="E13" s="58"/>
      <c r="F13" s="58"/>
      <c r="G13" s="58"/>
      <c r="H13" s="58"/>
      <c r="I13" s="58"/>
      <c r="J13" s="58"/>
      <c r="K13" s="58"/>
      <c r="L13" s="58"/>
      <c r="M13" s="58"/>
    </row>
    <row r="14" spans="1:13" s="32" customFormat="1" ht="20.100000000000001" customHeight="1">
      <c r="A14" s="494" t="s">
        <v>631</v>
      </c>
      <c r="B14" s="494"/>
      <c r="C14" s="494"/>
      <c r="D14" s="494"/>
      <c r="E14" s="494"/>
      <c r="F14" s="494"/>
      <c r="G14" s="494"/>
      <c r="H14" s="494"/>
      <c r="I14" s="494"/>
      <c r="J14" s="494"/>
      <c r="K14" s="494"/>
      <c r="L14" s="494"/>
      <c r="M14" s="494"/>
    </row>
    <row r="15" spans="1:13" s="32" customFormat="1" ht="18.95" customHeight="1">
      <c r="A15" s="37"/>
      <c r="B15" s="42"/>
      <c r="D15" s="50"/>
      <c r="E15" s="50"/>
      <c r="F15" s="50"/>
      <c r="G15" s="50"/>
      <c r="K15" s="50"/>
    </row>
    <row r="16" spans="1:13" s="32" customFormat="1" ht="18.95" customHeight="1">
      <c r="A16" s="37"/>
      <c r="B16" s="42"/>
      <c r="D16" s="50"/>
      <c r="E16" s="50"/>
      <c r="F16" s="50"/>
      <c r="G16" s="50"/>
      <c r="K16" s="50"/>
    </row>
    <row r="17" spans="1:13" s="32" customFormat="1" ht="18.95" customHeight="1">
      <c r="A17" s="37"/>
      <c r="B17" s="42"/>
      <c r="D17" s="50"/>
      <c r="E17" s="50"/>
      <c r="F17" s="50"/>
      <c r="G17" s="50"/>
      <c r="K17" s="50"/>
    </row>
    <row r="18" spans="1:13" s="32" customFormat="1" ht="18.95" customHeight="1">
      <c r="A18" s="37"/>
      <c r="B18" s="42"/>
      <c r="D18" s="50"/>
      <c r="E18" s="50"/>
      <c r="F18" s="50"/>
      <c r="G18" s="50"/>
      <c r="K18" s="50"/>
    </row>
    <row r="19" spans="1:13" s="32" customFormat="1" ht="18.95" customHeight="1">
      <c r="A19" s="37"/>
      <c r="B19" s="42"/>
      <c r="D19" s="50"/>
      <c r="E19" s="50"/>
      <c r="F19" s="50"/>
      <c r="G19" s="50"/>
      <c r="K19" s="50"/>
    </row>
    <row r="20" spans="1:13" ht="18.95" customHeight="1">
      <c r="B20" s="35"/>
      <c r="D20" s="50"/>
    </row>
    <row r="21" spans="1:13" s="32" customFormat="1" ht="20.100000000000001" customHeight="1">
      <c r="A21" s="494" t="str">
        <f>$A$1</f>
        <v>LOUISVILLE GAS AND ELECTRIC COMPANY</v>
      </c>
      <c r="B21" s="494"/>
      <c r="C21" s="494"/>
      <c r="D21" s="494"/>
      <c r="E21" s="494"/>
      <c r="F21" s="494"/>
      <c r="G21" s="494"/>
      <c r="H21" s="494"/>
      <c r="I21" s="494"/>
      <c r="J21" s="494"/>
      <c r="K21" s="494"/>
      <c r="L21" s="494"/>
      <c r="M21" s="494"/>
    </row>
    <row r="22" spans="1:13" s="32" customFormat="1" ht="20.100000000000001" customHeight="1">
      <c r="A22" s="494" t="str">
        <f>$A$2</f>
        <v>CASE NO. 2016-00371 - GAS OPERATIONS</v>
      </c>
      <c r="B22" s="494"/>
      <c r="C22" s="494"/>
      <c r="D22" s="494"/>
      <c r="E22" s="494"/>
      <c r="F22" s="494"/>
      <c r="G22" s="494"/>
      <c r="H22" s="494"/>
      <c r="I22" s="494"/>
      <c r="J22" s="494"/>
      <c r="K22" s="494"/>
      <c r="L22" s="494"/>
      <c r="M22" s="494"/>
    </row>
    <row r="23" spans="1:13" s="32" customFormat="1" ht="20.100000000000001" customHeight="1">
      <c r="A23" s="494" t="str">
        <f>$A$3</f>
        <v>PROPERTY HELD FOR FUTURE USE INCLUDED IN RATE BASE</v>
      </c>
      <c r="B23" s="494"/>
      <c r="C23" s="494"/>
      <c r="D23" s="494"/>
      <c r="E23" s="494"/>
      <c r="F23" s="494"/>
      <c r="G23" s="494"/>
      <c r="H23" s="494"/>
      <c r="I23" s="494"/>
      <c r="J23" s="494"/>
      <c r="K23" s="494"/>
      <c r="L23" s="494"/>
      <c r="M23" s="494"/>
    </row>
    <row r="24" spans="1:13" s="32" customFormat="1" ht="20.100000000000001" customHeight="1">
      <c r="A24" s="494" t="str">
        <f>'Rate Case Constants'!C18</f>
        <v>AS OF JUNE 30, 2018</v>
      </c>
      <c r="B24" s="494"/>
      <c r="C24" s="494"/>
      <c r="D24" s="494"/>
      <c r="E24" s="494"/>
      <c r="F24" s="494"/>
      <c r="G24" s="494"/>
      <c r="H24" s="494"/>
      <c r="I24" s="494"/>
      <c r="J24" s="494"/>
      <c r="K24" s="494"/>
      <c r="L24" s="494"/>
      <c r="M24" s="494"/>
    </row>
    <row r="25" spans="1:13" s="32" customFormat="1" ht="20.100000000000001" customHeight="1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</row>
    <row r="26" spans="1:13" s="32" customFormat="1" ht="20.100000000000001" customHeight="1">
      <c r="A26" s="31" t="s">
        <v>48</v>
      </c>
      <c r="B26" s="31"/>
      <c r="G26" s="38"/>
      <c r="H26" s="38"/>
      <c r="I26" s="38"/>
      <c r="J26" s="38"/>
      <c r="K26" s="38"/>
      <c r="L26" s="38"/>
      <c r="M26" s="38" t="s">
        <v>83</v>
      </c>
    </row>
    <row r="27" spans="1:13" s="32" customFormat="1" ht="20.100000000000001" customHeight="1">
      <c r="A27" s="31" t="str">
        <f>$A$7</f>
        <v>TYPE OF FILING: __X__ ORIGINAL  _____ UPDATED  _____ REVISED</v>
      </c>
      <c r="G27" s="38"/>
      <c r="H27" s="38"/>
      <c r="I27" s="38"/>
      <c r="J27" s="38"/>
      <c r="K27" s="38"/>
      <c r="L27" s="38"/>
      <c r="M27" s="38" t="s">
        <v>72</v>
      </c>
    </row>
    <row r="28" spans="1:13" s="32" customFormat="1" ht="20.100000000000001" customHeight="1">
      <c r="A28" s="31" t="str">
        <f>$A$8</f>
        <v>WORKPAPER REFERENCE NO(S).:</v>
      </c>
      <c r="B28" s="31"/>
      <c r="F28" s="31"/>
      <c r="G28" s="39"/>
      <c r="H28" s="39"/>
      <c r="I28" s="39"/>
      <c r="J28" s="39"/>
      <c r="K28" s="39"/>
      <c r="L28" s="39"/>
      <c r="M28" s="39" t="str">
        <f>$M$8</f>
        <v>WITNESS:   C. M. GARRETT</v>
      </c>
    </row>
    <row r="29" spans="1:13" s="32" customFormat="1" ht="20.100000000000001" customHeight="1"/>
    <row r="30" spans="1:13" s="32" customFormat="1" ht="20.100000000000001" customHeight="1">
      <c r="A30" s="59"/>
      <c r="B30" s="59"/>
      <c r="C30" s="59"/>
      <c r="D30" s="59"/>
      <c r="E30" s="59"/>
      <c r="F30" s="59"/>
      <c r="G30" s="496" t="s">
        <v>91</v>
      </c>
      <c r="H30" s="496"/>
      <c r="I30" s="496"/>
      <c r="J30" s="60"/>
      <c r="K30" s="496" t="s">
        <v>93</v>
      </c>
      <c r="L30" s="496"/>
      <c r="M30" s="496"/>
    </row>
    <row r="31" spans="1:13" ht="43.5" customHeight="1">
      <c r="A31" s="35" t="s">
        <v>29</v>
      </c>
      <c r="B31" s="35" t="s">
        <v>84</v>
      </c>
      <c r="C31" s="35" t="s">
        <v>85</v>
      </c>
      <c r="D31" s="35" t="s">
        <v>86</v>
      </c>
      <c r="E31" s="35" t="s">
        <v>87</v>
      </c>
      <c r="F31" s="35" t="s">
        <v>88</v>
      </c>
      <c r="G31" s="35" t="s">
        <v>89</v>
      </c>
      <c r="H31" s="35" t="s">
        <v>90</v>
      </c>
      <c r="I31" s="35" t="s">
        <v>92</v>
      </c>
      <c r="J31" s="35"/>
      <c r="K31" s="35" t="s">
        <v>89</v>
      </c>
      <c r="L31" s="35" t="s">
        <v>90</v>
      </c>
      <c r="M31" s="35" t="s">
        <v>92</v>
      </c>
    </row>
    <row r="32" spans="1:13" ht="23.1" customHeight="1">
      <c r="A32" s="44"/>
      <c r="B32" s="44"/>
      <c r="C32" s="45"/>
      <c r="D32" s="46" t="s">
        <v>40</v>
      </c>
      <c r="E32" s="46" t="s">
        <v>40</v>
      </c>
      <c r="F32" s="46" t="s">
        <v>40</v>
      </c>
      <c r="G32" s="46" t="s">
        <v>40</v>
      </c>
      <c r="H32" s="46"/>
      <c r="I32" s="46"/>
      <c r="J32" s="46"/>
      <c r="K32" s="46" t="s">
        <v>40</v>
      </c>
      <c r="L32" s="46"/>
      <c r="M32" s="46"/>
    </row>
    <row r="33" spans="1:13" s="32" customFormat="1" ht="18.95" customHeight="1">
      <c r="A33" s="37"/>
      <c r="B33" s="42"/>
      <c r="D33" s="50"/>
      <c r="E33" s="50"/>
      <c r="F33" s="50"/>
      <c r="G33" s="50"/>
      <c r="K33" s="50"/>
    </row>
    <row r="34" spans="1:13" s="32" customFormat="1" ht="20.100000000000001" customHeight="1">
      <c r="A34" s="494" t="s">
        <v>631</v>
      </c>
      <c r="B34" s="494"/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</row>
    <row r="35" spans="1:13" s="32" customFormat="1" ht="18.95" customHeight="1">
      <c r="A35" s="37"/>
      <c r="B35" s="42"/>
      <c r="D35" s="50"/>
      <c r="E35" s="50"/>
      <c r="F35" s="50"/>
      <c r="G35" s="50"/>
      <c r="K35" s="50"/>
    </row>
    <row r="36" spans="1:13" s="32" customFormat="1" ht="18.95" customHeight="1">
      <c r="A36" s="37"/>
      <c r="B36" s="42"/>
      <c r="D36" s="50"/>
      <c r="E36" s="50"/>
      <c r="F36" s="50"/>
      <c r="G36" s="50"/>
      <c r="K36" s="50"/>
    </row>
    <row r="37" spans="1:13" s="32" customFormat="1" ht="18.95" customHeight="1">
      <c r="A37" s="37"/>
      <c r="B37" s="42"/>
      <c r="D37" s="50"/>
      <c r="E37" s="50"/>
      <c r="F37" s="50"/>
      <c r="G37" s="50"/>
      <c r="K37" s="50"/>
    </row>
    <row r="38" spans="1:13" s="32" customFormat="1" ht="18.95" customHeight="1">
      <c r="A38" s="37"/>
      <c r="B38" s="42"/>
      <c r="D38" s="50"/>
      <c r="E38" s="50"/>
      <c r="F38" s="50"/>
      <c r="G38" s="50"/>
      <c r="K38" s="50"/>
    </row>
    <row r="39" spans="1:13" ht="18.95" customHeight="1">
      <c r="B39" s="35"/>
    </row>
    <row r="40" spans="1:13" ht="18.95" customHeight="1">
      <c r="B40" s="35"/>
    </row>
    <row r="41" spans="1:13" ht="18.95" customHeight="1">
      <c r="D41" s="33" t="s">
        <v>47</v>
      </c>
    </row>
    <row r="42" spans="1:13" ht="18.95" customHeight="1"/>
    <row r="43" spans="1:13" ht="18.95" customHeight="1"/>
    <row r="44" spans="1:13" ht="18.95" customHeight="1"/>
    <row r="45" spans="1:13" ht="18.95" customHeight="1"/>
    <row r="46" spans="1:13" ht="18.95" customHeight="1"/>
    <row r="47" spans="1:13" ht="18.95" customHeight="1"/>
    <row r="48" spans="1:13" ht="18.95" customHeight="1"/>
    <row r="49" ht="18.95" customHeight="1"/>
    <row r="50" ht="18.95" customHeight="1"/>
    <row r="51" ht="18.95" customHeight="1"/>
    <row r="52" ht="18.95" customHeight="1"/>
    <row r="53" ht="18.95" customHeight="1"/>
  </sheetData>
  <mergeCells count="14">
    <mergeCell ref="A34:M34"/>
    <mergeCell ref="A23:M23"/>
    <mergeCell ref="A24:M24"/>
    <mergeCell ref="G10:I10"/>
    <mergeCell ref="K10:M10"/>
    <mergeCell ref="G30:I30"/>
    <mergeCell ref="K30:M30"/>
    <mergeCell ref="A22:M22"/>
    <mergeCell ref="A14:M14"/>
    <mergeCell ref="A1:M1"/>
    <mergeCell ref="A2:M2"/>
    <mergeCell ref="A3:M3"/>
    <mergeCell ref="A4:M4"/>
    <mergeCell ref="A21:M21"/>
  </mergeCells>
  <printOptions horizontalCentered="1"/>
  <pageMargins left="1" right="0.5" top="1" bottom="0.75" header="0.3" footer="0.3"/>
  <pageSetup scale="49" fitToHeight="0" orientation="portrait" r:id="rId1"/>
  <rowBreaks count="1" manualBreakCount="1">
    <brk id="20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82"/>
  <sheetViews>
    <sheetView zoomScaleNormal="100" workbookViewId="0">
      <selection activeCell="F66" sqref="F66"/>
    </sheetView>
  </sheetViews>
  <sheetFormatPr defaultColWidth="9" defaultRowHeight="12.75"/>
  <cols>
    <col min="1" max="1" width="6" style="33" customWidth="1"/>
    <col min="2" max="2" width="7.109375" style="33" customWidth="1"/>
    <col min="3" max="3" width="44.6640625" style="33" customWidth="1"/>
    <col min="4" max="4" width="11.44140625" style="33" customWidth="1"/>
    <col min="5" max="5" width="12.33203125" style="33" customWidth="1"/>
    <col min="6" max="6" width="15.109375" style="33" customWidth="1"/>
    <col min="7" max="7" width="10.77734375" style="33" customWidth="1"/>
    <col min="8" max="8" width="11.6640625" style="33" customWidth="1"/>
    <col min="9" max="9" width="7.77734375" style="33" customWidth="1"/>
    <col min="10" max="10" width="14.109375" style="33" customWidth="1"/>
    <col min="11" max="11" width="35.77734375" style="33" customWidth="1"/>
    <col min="12" max="12" width="1.6640625" style="33" customWidth="1"/>
    <col min="13" max="16384" width="9" style="33"/>
  </cols>
  <sheetData>
    <row r="1" spans="1:11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</row>
    <row r="2" spans="1:11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</row>
    <row r="3" spans="1:11" s="32" customFormat="1" ht="20.100000000000001" customHeight="1">
      <c r="A3" s="494" t="s">
        <v>95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</row>
    <row r="4" spans="1:11" s="32" customFormat="1" ht="20.100000000000001" customHeight="1">
      <c r="A4" s="494" t="s">
        <v>96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</row>
    <row r="5" spans="1:11" s="32" customFormat="1" ht="20.100000000000001" customHeight="1">
      <c r="A5" s="494" t="str">
        <f>'Rate Case Constants'!C12</f>
        <v>AS OF FEBRUARY 28, 2017</v>
      </c>
      <c r="B5" s="494"/>
      <c r="C5" s="494"/>
      <c r="D5" s="494"/>
      <c r="E5" s="494"/>
      <c r="F5" s="494"/>
      <c r="G5" s="494"/>
      <c r="H5" s="494"/>
      <c r="I5" s="494"/>
      <c r="J5" s="494"/>
      <c r="K5" s="494"/>
    </row>
    <row r="6" spans="1:11" s="32" customFormat="1" ht="20.100000000000001" customHeight="1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</row>
    <row r="7" spans="1:11" s="32" customFormat="1" ht="20.100000000000001" customHeight="1">
      <c r="A7" s="31" t="s">
        <v>31</v>
      </c>
      <c r="B7" s="31"/>
      <c r="H7" s="38"/>
      <c r="I7" s="38"/>
      <c r="J7" s="38"/>
      <c r="K7" s="38" t="s">
        <v>94</v>
      </c>
    </row>
    <row r="8" spans="1:11" s="32" customFormat="1" ht="20.100000000000001" customHeight="1">
      <c r="A8" s="32" t="str">
        <f>'Rate Case Constants'!C29</f>
        <v>TYPE OF FILING: __X__ ORIGINAL  _____ UPDATED  _____ REVISED</v>
      </c>
      <c r="H8" s="38"/>
      <c r="I8" s="38"/>
      <c r="J8" s="38"/>
      <c r="K8" s="38" t="s">
        <v>64</v>
      </c>
    </row>
    <row r="9" spans="1:11" s="32" customFormat="1" ht="20.100000000000001" customHeight="1">
      <c r="A9" s="31" t="s">
        <v>151</v>
      </c>
      <c r="B9" s="31"/>
      <c r="G9" s="31"/>
      <c r="H9" s="39"/>
      <c r="I9" s="39"/>
      <c r="J9" s="39"/>
      <c r="K9" s="39" t="str">
        <f>'Rate Case Constants'!C36</f>
        <v>WITNESS:   C. M. GARRETT</v>
      </c>
    </row>
    <row r="10" spans="1:11" s="32" customFormat="1" ht="20.100000000000001" customHeight="1"/>
    <row r="11" spans="1:11" s="32" customFormat="1" ht="20.100000000000001" customHeight="1">
      <c r="A11" s="59"/>
      <c r="B11" s="59"/>
      <c r="C11" s="59"/>
      <c r="D11" s="59"/>
      <c r="E11" s="59"/>
      <c r="F11" s="59"/>
      <c r="G11" s="59"/>
      <c r="H11" s="496" t="s">
        <v>98</v>
      </c>
      <c r="I11" s="496"/>
      <c r="J11" s="496"/>
      <c r="K11" s="60"/>
    </row>
    <row r="12" spans="1:11" ht="43.5" customHeight="1">
      <c r="A12" s="35" t="s">
        <v>29</v>
      </c>
      <c r="B12" s="35" t="s">
        <v>32</v>
      </c>
      <c r="C12" s="35" t="s">
        <v>100</v>
      </c>
      <c r="D12" s="35" t="s">
        <v>97</v>
      </c>
      <c r="E12" s="35" t="s">
        <v>86</v>
      </c>
      <c r="F12" s="35" t="s">
        <v>87</v>
      </c>
      <c r="G12" s="35" t="s">
        <v>88</v>
      </c>
      <c r="H12" s="35" t="s">
        <v>89</v>
      </c>
      <c r="I12" s="35" t="s">
        <v>90</v>
      </c>
      <c r="J12" s="35" t="s">
        <v>92</v>
      </c>
      <c r="K12" s="61" t="s">
        <v>99</v>
      </c>
    </row>
    <row r="13" spans="1:11" ht="23.1" customHeight="1">
      <c r="A13" s="44"/>
      <c r="B13" s="44"/>
      <c r="C13" s="45"/>
      <c r="D13" s="46"/>
      <c r="E13" s="46" t="s">
        <v>40</v>
      </c>
      <c r="F13" s="46" t="s">
        <v>40</v>
      </c>
      <c r="G13" s="46" t="s">
        <v>40</v>
      </c>
      <c r="H13" s="46" t="s">
        <v>40</v>
      </c>
      <c r="I13" s="46"/>
      <c r="J13" s="46"/>
      <c r="K13" s="46"/>
    </row>
    <row r="14" spans="1:11" ht="23.1" customHeight="1">
      <c r="A14" s="135">
        <v>1</v>
      </c>
      <c r="B14" s="37"/>
      <c r="C14" s="181" t="s">
        <v>646</v>
      </c>
      <c r="D14" s="58"/>
      <c r="E14" s="58"/>
      <c r="F14" s="58"/>
      <c r="G14" s="58"/>
      <c r="H14" s="58"/>
      <c r="I14" s="58"/>
      <c r="J14" s="58"/>
      <c r="K14" s="58"/>
    </row>
    <row r="15" spans="1:11" ht="18.95" customHeight="1">
      <c r="A15" s="135">
        <f>A14+1</f>
        <v>2</v>
      </c>
      <c r="B15" s="342">
        <v>121</v>
      </c>
      <c r="C15" s="32" t="s">
        <v>647</v>
      </c>
      <c r="D15" s="182">
        <v>14596</v>
      </c>
      <c r="E15" s="345">
        <v>28.81</v>
      </c>
      <c r="F15" s="345">
        <v>1.49</v>
      </c>
      <c r="G15" s="345">
        <f>E15-F15</f>
        <v>27.32</v>
      </c>
      <c r="K15" s="32" t="s">
        <v>648</v>
      </c>
    </row>
    <row r="16" spans="1:11" ht="18.95" customHeight="1">
      <c r="A16" s="135">
        <f t="shared" ref="A16:A32" si="0">A15+1</f>
        <v>3</v>
      </c>
      <c r="B16" s="342">
        <v>121</v>
      </c>
      <c r="C16" s="32" t="s">
        <v>649</v>
      </c>
      <c r="D16" s="182">
        <v>28734</v>
      </c>
      <c r="E16" s="345">
        <v>21926.880000000001</v>
      </c>
      <c r="F16" s="345">
        <v>0</v>
      </c>
      <c r="G16" s="345">
        <f t="shared" ref="G16:G33" si="1">E16-F16</f>
        <v>21926.880000000001</v>
      </c>
      <c r="K16" s="32" t="s">
        <v>648</v>
      </c>
    </row>
    <row r="17" spans="1:11" ht="18.95" customHeight="1">
      <c r="A17" s="135">
        <f t="shared" si="0"/>
        <v>4</v>
      </c>
      <c r="B17" s="342">
        <v>121</v>
      </c>
      <c r="C17" s="32" t="s">
        <v>649</v>
      </c>
      <c r="D17" s="182">
        <v>40456</v>
      </c>
      <c r="E17" s="345">
        <v>455614.16</v>
      </c>
      <c r="F17" s="345">
        <v>0</v>
      </c>
      <c r="G17" s="345">
        <f t="shared" si="1"/>
        <v>455614.16</v>
      </c>
      <c r="K17" s="32" t="s">
        <v>648</v>
      </c>
    </row>
    <row r="18" spans="1:11" ht="18.95" customHeight="1">
      <c r="A18" s="135">
        <f t="shared" si="0"/>
        <v>5</v>
      </c>
      <c r="B18" s="342">
        <v>121</v>
      </c>
      <c r="C18" s="32" t="s">
        <v>650</v>
      </c>
      <c r="D18" s="182">
        <v>15014</v>
      </c>
      <c r="E18" s="345">
        <v>332.4</v>
      </c>
      <c r="F18" s="345">
        <v>0</v>
      </c>
      <c r="G18" s="345">
        <f t="shared" si="1"/>
        <v>332.4</v>
      </c>
      <c r="K18" s="32" t="s">
        <v>648</v>
      </c>
    </row>
    <row r="19" spans="1:11" ht="18.95" customHeight="1">
      <c r="A19" s="135">
        <f t="shared" si="0"/>
        <v>6</v>
      </c>
      <c r="B19" s="342">
        <v>121</v>
      </c>
      <c r="C19" s="32" t="s">
        <v>651</v>
      </c>
      <c r="D19" s="182">
        <v>20281</v>
      </c>
      <c r="E19" s="345">
        <v>1074.25</v>
      </c>
      <c r="F19" s="345">
        <v>0</v>
      </c>
      <c r="G19" s="345">
        <f t="shared" si="1"/>
        <v>1074.25</v>
      </c>
      <c r="K19" s="32" t="s">
        <v>648</v>
      </c>
    </row>
    <row r="20" spans="1:11" ht="18.95" customHeight="1">
      <c r="A20" s="135">
        <f t="shared" si="0"/>
        <v>7</v>
      </c>
      <c r="B20" s="342">
        <v>121</v>
      </c>
      <c r="C20" s="32" t="s">
        <v>652</v>
      </c>
      <c r="D20" s="182">
        <v>20724</v>
      </c>
      <c r="E20" s="345">
        <v>3291.32</v>
      </c>
      <c r="F20" s="345">
        <v>0</v>
      </c>
      <c r="G20" s="345">
        <f t="shared" si="1"/>
        <v>3291.32</v>
      </c>
      <c r="K20" s="32" t="s">
        <v>648</v>
      </c>
    </row>
    <row r="21" spans="1:11" ht="18.95" customHeight="1">
      <c r="A21" s="135">
        <f t="shared" si="0"/>
        <v>8</v>
      </c>
      <c r="B21" s="342">
        <v>121</v>
      </c>
      <c r="C21" s="32" t="s">
        <v>653</v>
      </c>
      <c r="D21" s="182">
        <v>26744</v>
      </c>
      <c r="E21" s="345">
        <v>5677</v>
      </c>
      <c r="F21" s="345">
        <v>0</v>
      </c>
      <c r="G21" s="345">
        <f t="shared" si="1"/>
        <v>5677</v>
      </c>
      <c r="K21" s="32" t="s">
        <v>648</v>
      </c>
    </row>
    <row r="22" spans="1:11" ht="18.95" customHeight="1">
      <c r="A22" s="135">
        <f t="shared" si="0"/>
        <v>9</v>
      </c>
      <c r="B22" s="342">
        <v>121</v>
      </c>
      <c r="C22" s="32" t="s">
        <v>654</v>
      </c>
      <c r="D22" s="182">
        <v>15522</v>
      </c>
      <c r="E22" s="345">
        <v>268.64999999999998</v>
      </c>
      <c r="F22" s="345">
        <v>0</v>
      </c>
      <c r="G22" s="345">
        <f t="shared" si="1"/>
        <v>268.64999999999998</v>
      </c>
      <c r="K22" s="32" t="s">
        <v>648</v>
      </c>
    </row>
    <row r="23" spans="1:11" ht="18.95" customHeight="1">
      <c r="A23" s="135">
        <f t="shared" si="0"/>
        <v>10</v>
      </c>
      <c r="B23" s="342">
        <v>121</v>
      </c>
      <c r="C23" s="32" t="s">
        <v>655</v>
      </c>
      <c r="D23" s="182">
        <v>36981</v>
      </c>
      <c r="E23" s="345">
        <v>50000</v>
      </c>
      <c r="F23" s="345">
        <v>0</v>
      </c>
      <c r="G23" s="345">
        <f t="shared" si="1"/>
        <v>50000</v>
      </c>
      <c r="K23" s="32" t="s">
        <v>648</v>
      </c>
    </row>
    <row r="24" spans="1:11" ht="18.95" customHeight="1">
      <c r="A24" s="135">
        <f t="shared" si="0"/>
        <v>11</v>
      </c>
      <c r="B24" s="342">
        <v>121</v>
      </c>
      <c r="C24" s="32" t="s">
        <v>1350</v>
      </c>
      <c r="D24" s="182">
        <v>29151</v>
      </c>
      <c r="E24" s="345">
        <v>28633.1</v>
      </c>
      <c r="F24" s="345">
        <v>0</v>
      </c>
      <c r="G24" s="345">
        <f t="shared" si="1"/>
        <v>28633.1</v>
      </c>
      <c r="K24" s="32" t="s">
        <v>648</v>
      </c>
    </row>
    <row r="25" spans="1:11" ht="18.95" customHeight="1">
      <c r="A25" s="135">
        <f t="shared" si="0"/>
        <v>12</v>
      </c>
      <c r="B25" s="342">
        <v>121</v>
      </c>
      <c r="C25" s="32" t="s">
        <v>656</v>
      </c>
      <c r="D25" s="182">
        <v>14792</v>
      </c>
      <c r="E25" s="345">
        <v>185.17</v>
      </c>
      <c r="F25" s="345">
        <v>0</v>
      </c>
      <c r="G25" s="345">
        <f t="shared" si="1"/>
        <v>185.17</v>
      </c>
      <c r="K25" s="32" t="s">
        <v>648</v>
      </c>
    </row>
    <row r="26" spans="1:11" ht="18.95" customHeight="1">
      <c r="A26" s="135">
        <f t="shared" si="0"/>
        <v>13</v>
      </c>
      <c r="B26" s="342">
        <v>121</v>
      </c>
      <c r="C26" s="32" t="s">
        <v>657</v>
      </c>
      <c r="D26" s="182">
        <v>14792</v>
      </c>
      <c r="E26" s="345">
        <v>14.83</v>
      </c>
      <c r="F26" s="345">
        <v>0</v>
      </c>
      <c r="G26" s="345">
        <f t="shared" si="1"/>
        <v>14.83</v>
      </c>
      <c r="K26" s="32" t="s">
        <v>648</v>
      </c>
    </row>
    <row r="27" spans="1:11" ht="18.95" customHeight="1">
      <c r="A27" s="135">
        <f t="shared" si="0"/>
        <v>14</v>
      </c>
      <c r="B27" s="342">
        <v>121</v>
      </c>
      <c r="C27" s="32" t="s">
        <v>658</v>
      </c>
      <c r="D27" s="182">
        <v>14792</v>
      </c>
      <c r="E27" s="345">
        <v>47.91</v>
      </c>
      <c r="F27" s="345">
        <v>0</v>
      </c>
      <c r="G27" s="345">
        <f t="shared" si="1"/>
        <v>47.91</v>
      </c>
      <c r="K27" s="32" t="s">
        <v>648</v>
      </c>
    </row>
    <row r="28" spans="1:11" ht="18.95" customHeight="1">
      <c r="A28" s="135">
        <f t="shared" si="0"/>
        <v>15</v>
      </c>
      <c r="B28" s="342">
        <v>121</v>
      </c>
      <c r="C28" s="32" t="s">
        <v>659</v>
      </c>
      <c r="D28" s="182">
        <v>14792</v>
      </c>
      <c r="E28" s="345">
        <v>192.14</v>
      </c>
      <c r="F28" s="345">
        <v>0</v>
      </c>
      <c r="G28" s="345">
        <f t="shared" si="1"/>
        <v>192.14</v>
      </c>
      <c r="K28" s="32" t="s">
        <v>648</v>
      </c>
    </row>
    <row r="29" spans="1:11" ht="18.95" customHeight="1">
      <c r="A29" s="135">
        <f t="shared" si="0"/>
        <v>16</v>
      </c>
      <c r="B29" s="342">
        <v>121</v>
      </c>
      <c r="C29" s="32" t="s">
        <v>660</v>
      </c>
      <c r="D29" s="182">
        <v>24288</v>
      </c>
      <c r="E29" s="345">
        <v>250</v>
      </c>
      <c r="F29" s="345">
        <v>0</v>
      </c>
      <c r="G29" s="345">
        <f t="shared" si="1"/>
        <v>250</v>
      </c>
      <c r="K29" s="32" t="s">
        <v>648</v>
      </c>
    </row>
    <row r="30" spans="1:11" ht="18.95" customHeight="1">
      <c r="A30" s="135">
        <f t="shared" si="0"/>
        <v>17</v>
      </c>
      <c r="B30" s="342">
        <v>121</v>
      </c>
      <c r="C30" s="32" t="s">
        <v>661</v>
      </c>
      <c r="D30" s="182">
        <v>19892</v>
      </c>
      <c r="E30" s="345">
        <v>31482.83</v>
      </c>
      <c r="F30" s="345">
        <f>E30</f>
        <v>31482.83</v>
      </c>
      <c r="G30" s="345">
        <f t="shared" si="1"/>
        <v>0</v>
      </c>
      <c r="K30" s="32" t="s">
        <v>648</v>
      </c>
    </row>
    <row r="31" spans="1:11" ht="18.95" customHeight="1">
      <c r="A31" s="135">
        <f t="shared" si="0"/>
        <v>18</v>
      </c>
      <c r="B31" s="342">
        <v>121</v>
      </c>
      <c r="C31" s="32" t="s">
        <v>662</v>
      </c>
      <c r="D31" s="182">
        <v>14821</v>
      </c>
      <c r="E31" s="345">
        <v>31627.599999999999</v>
      </c>
      <c r="F31" s="345">
        <f>E31</f>
        <v>31627.599999999999</v>
      </c>
      <c r="G31" s="345">
        <f t="shared" si="1"/>
        <v>0</v>
      </c>
      <c r="K31" s="32" t="s">
        <v>648</v>
      </c>
    </row>
    <row r="32" spans="1:11" ht="18.95" customHeight="1">
      <c r="A32" s="135">
        <f t="shared" si="0"/>
        <v>19</v>
      </c>
      <c r="B32" s="342">
        <v>121</v>
      </c>
      <c r="C32" s="32" t="s">
        <v>663</v>
      </c>
      <c r="D32" s="182">
        <v>14792</v>
      </c>
      <c r="E32" s="345">
        <v>249.92999999999998</v>
      </c>
      <c r="F32" s="345">
        <f>E32</f>
        <v>249.92999999999998</v>
      </c>
      <c r="G32" s="345">
        <f t="shared" si="1"/>
        <v>0</v>
      </c>
      <c r="K32" s="32" t="s">
        <v>648</v>
      </c>
    </row>
    <row r="33" spans="1:11" ht="18.95" customHeight="1" thickBot="1">
      <c r="A33" s="135">
        <f>A32+1</f>
        <v>20</v>
      </c>
      <c r="B33" s="35"/>
      <c r="C33" s="32" t="s">
        <v>664</v>
      </c>
      <c r="D33" s="182"/>
      <c r="E33" s="346">
        <f>SUM(E15:E32)</f>
        <v>630896.98</v>
      </c>
      <c r="F33" s="346">
        <f>SUM(F15:F32)</f>
        <v>63361.85</v>
      </c>
      <c r="G33" s="346">
        <f t="shared" si="1"/>
        <v>567535.13</v>
      </c>
      <c r="H33" s="346">
        <f>SUM(H15:H32)</f>
        <v>0</v>
      </c>
      <c r="K33" s="32" t="s">
        <v>648</v>
      </c>
    </row>
    <row r="34" spans="1:11" s="32" customFormat="1" ht="20.100000000000001" customHeight="1" thickTop="1">
      <c r="A34" s="133"/>
      <c r="B34" s="133"/>
      <c r="C34" s="133"/>
      <c r="D34" s="133"/>
      <c r="E34" s="133"/>
      <c r="F34" s="133"/>
      <c r="G34" s="133"/>
      <c r="H34" s="133"/>
      <c r="I34" s="133"/>
      <c r="J34" s="133"/>
      <c r="K34" s="133"/>
    </row>
    <row r="35" spans="1:11" s="32" customFormat="1" ht="20.100000000000001" customHeight="1">
      <c r="A35" s="494" t="str">
        <f>$A$1</f>
        <v>LOUISVILLE GAS AND ELECTRIC COMPANY</v>
      </c>
      <c r="B35" s="494"/>
      <c r="C35" s="494"/>
      <c r="D35" s="494"/>
      <c r="E35" s="494"/>
      <c r="F35" s="494"/>
      <c r="G35" s="494"/>
      <c r="H35" s="494"/>
      <c r="I35" s="494"/>
      <c r="J35" s="494"/>
      <c r="K35" s="494"/>
    </row>
    <row r="36" spans="1:11" s="32" customFormat="1" ht="20.100000000000001" customHeight="1">
      <c r="A36" s="494" t="str">
        <f>$A$2</f>
        <v>CASE NO. 2016-00371 - GAS OPERATIONS</v>
      </c>
      <c r="B36" s="494"/>
      <c r="C36" s="494"/>
      <c r="D36" s="494"/>
      <c r="E36" s="494"/>
      <c r="F36" s="494"/>
      <c r="G36" s="494"/>
      <c r="H36" s="494"/>
      <c r="I36" s="494"/>
      <c r="J36" s="494"/>
      <c r="K36" s="494"/>
    </row>
    <row r="37" spans="1:11" s="32" customFormat="1" ht="20.100000000000001" customHeight="1">
      <c r="A37" s="494" t="str">
        <f>$A$3</f>
        <v>PROPERTY EXCLUDED FROM RATE BASE</v>
      </c>
      <c r="B37" s="494"/>
      <c r="C37" s="494"/>
      <c r="D37" s="494"/>
      <c r="E37" s="494"/>
      <c r="F37" s="494"/>
      <c r="G37" s="494"/>
      <c r="H37" s="494"/>
      <c r="I37" s="494"/>
      <c r="J37" s="494"/>
      <c r="K37" s="494"/>
    </row>
    <row r="38" spans="1:11" s="32" customFormat="1" ht="20.100000000000001" customHeight="1">
      <c r="A38" s="494" t="str">
        <f>$A$4</f>
        <v>(FOR REASONS OTHER THAN JURISDICTIONAL ALLOCATION)</v>
      </c>
      <c r="B38" s="494"/>
      <c r="C38" s="494"/>
      <c r="D38" s="494"/>
      <c r="E38" s="494"/>
      <c r="F38" s="494"/>
      <c r="G38" s="494"/>
      <c r="H38" s="494"/>
      <c r="I38" s="494"/>
      <c r="J38" s="494"/>
      <c r="K38" s="494"/>
    </row>
    <row r="39" spans="1:11" s="32" customFormat="1" ht="20.100000000000001" customHeight="1">
      <c r="A39" s="494" t="str">
        <f>'Rate Case Constants'!C18</f>
        <v>AS OF JUNE 30, 2018</v>
      </c>
      <c r="B39" s="494"/>
      <c r="C39" s="494"/>
      <c r="D39" s="494"/>
      <c r="E39" s="494"/>
      <c r="F39" s="494"/>
      <c r="G39" s="494"/>
      <c r="H39" s="494"/>
      <c r="I39" s="494"/>
      <c r="J39" s="494"/>
      <c r="K39" s="494"/>
    </row>
    <row r="40" spans="1:11" s="32" customFormat="1" ht="20.100000000000001" customHeight="1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</row>
    <row r="41" spans="1:11" s="32" customFormat="1" ht="20.100000000000001" customHeight="1">
      <c r="A41" s="31" t="s">
        <v>48</v>
      </c>
      <c r="B41" s="31"/>
      <c r="H41" s="38"/>
      <c r="I41" s="38"/>
      <c r="J41" s="38"/>
      <c r="K41" s="38" t="s">
        <v>94</v>
      </c>
    </row>
    <row r="42" spans="1:11" s="32" customFormat="1" ht="20.100000000000001" customHeight="1">
      <c r="A42" s="31" t="str">
        <f>$A$8</f>
        <v>TYPE OF FILING: __X__ ORIGINAL  _____ UPDATED  _____ REVISED</v>
      </c>
      <c r="H42" s="38"/>
      <c r="I42" s="38"/>
      <c r="J42" s="38"/>
      <c r="K42" s="38" t="s">
        <v>72</v>
      </c>
    </row>
    <row r="43" spans="1:11" s="32" customFormat="1" ht="20.100000000000001" customHeight="1">
      <c r="A43" s="31" t="str">
        <f>$A$9</f>
        <v>WORKPAPER REFERENCE NO(S).:</v>
      </c>
      <c r="B43" s="31"/>
      <c r="G43" s="31"/>
      <c r="H43" s="39"/>
      <c r="I43" s="39"/>
      <c r="J43" s="39"/>
      <c r="K43" s="39" t="str">
        <f>$K$9</f>
        <v>WITNESS:   C. M. GARRETT</v>
      </c>
    </row>
    <row r="44" spans="1:11" s="32" customFormat="1" ht="20.100000000000001" customHeight="1"/>
    <row r="45" spans="1:11" s="32" customFormat="1" ht="20.100000000000001" customHeight="1">
      <c r="A45" s="59"/>
      <c r="B45" s="59"/>
      <c r="C45" s="59"/>
      <c r="D45" s="59"/>
      <c r="E45" s="59"/>
      <c r="F45" s="59"/>
      <c r="G45" s="59"/>
      <c r="H45" s="496" t="s">
        <v>98</v>
      </c>
      <c r="I45" s="496"/>
      <c r="J45" s="496"/>
      <c r="K45" s="60"/>
    </row>
    <row r="46" spans="1:11" ht="43.5" customHeight="1">
      <c r="A46" s="35" t="s">
        <v>29</v>
      </c>
      <c r="B46" s="35" t="s">
        <v>32</v>
      </c>
      <c r="C46" s="35" t="s">
        <v>100</v>
      </c>
      <c r="D46" s="35" t="s">
        <v>97</v>
      </c>
      <c r="E46" s="35" t="s">
        <v>86</v>
      </c>
      <c r="F46" s="35" t="s">
        <v>87</v>
      </c>
      <c r="G46" s="35" t="s">
        <v>88</v>
      </c>
      <c r="H46" s="35" t="s">
        <v>89</v>
      </c>
      <c r="I46" s="35" t="s">
        <v>90</v>
      </c>
      <c r="J46" s="35" t="s">
        <v>92</v>
      </c>
      <c r="K46" s="61" t="s">
        <v>99</v>
      </c>
    </row>
    <row r="47" spans="1:11" ht="23.1" customHeight="1">
      <c r="A47" s="44"/>
      <c r="B47" s="44"/>
      <c r="C47" s="45"/>
      <c r="D47" s="46"/>
      <c r="E47" s="46" t="s">
        <v>40</v>
      </c>
      <c r="F47" s="46" t="s">
        <v>40</v>
      </c>
      <c r="G47" s="46" t="s">
        <v>40</v>
      </c>
      <c r="H47" s="46" t="s">
        <v>40</v>
      </c>
      <c r="I47" s="46"/>
      <c r="J47" s="46"/>
      <c r="K47" s="46"/>
    </row>
    <row r="48" spans="1:11" ht="23.1" customHeight="1">
      <c r="A48" s="135">
        <v>1</v>
      </c>
      <c r="B48" s="37"/>
      <c r="C48" s="181" t="s">
        <v>646</v>
      </c>
      <c r="D48" s="58"/>
      <c r="E48" s="58"/>
      <c r="F48" s="58"/>
      <c r="G48" s="58"/>
      <c r="H48" s="58"/>
      <c r="I48" s="58"/>
      <c r="J48" s="58"/>
      <c r="K48" s="58"/>
    </row>
    <row r="49" spans="1:11" ht="18.95" customHeight="1">
      <c r="A49" s="135">
        <f>A48+1</f>
        <v>2</v>
      </c>
      <c r="B49" s="342">
        <v>121</v>
      </c>
      <c r="C49" s="32" t="s">
        <v>647</v>
      </c>
      <c r="D49" s="182">
        <v>14596</v>
      </c>
      <c r="E49" s="345">
        <v>28.81</v>
      </c>
      <c r="F49" s="345">
        <v>1.49</v>
      </c>
      <c r="G49" s="345">
        <f>E49-F49</f>
        <v>27.32</v>
      </c>
      <c r="K49" s="32" t="s">
        <v>648</v>
      </c>
    </row>
    <row r="50" spans="1:11" ht="18.95" customHeight="1">
      <c r="A50" s="135">
        <f t="shared" ref="A50:A66" si="2">A49+1</f>
        <v>3</v>
      </c>
      <c r="B50" s="342">
        <v>121</v>
      </c>
      <c r="C50" s="32" t="s">
        <v>649</v>
      </c>
      <c r="D50" s="182">
        <v>28734</v>
      </c>
      <c r="E50" s="345">
        <v>21926.880000000001</v>
      </c>
      <c r="F50" s="345">
        <v>0</v>
      </c>
      <c r="G50" s="345">
        <f t="shared" ref="G50:G67" si="3">E50-F50</f>
        <v>21926.880000000001</v>
      </c>
      <c r="K50" s="32" t="s">
        <v>648</v>
      </c>
    </row>
    <row r="51" spans="1:11" ht="18.95" customHeight="1">
      <c r="A51" s="135">
        <f t="shared" si="2"/>
        <v>4</v>
      </c>
      <c r="B51" s="342">
        <v>121</v>
      </c>
      <c r="C51" s="32" t="s">
        <v>649</v>
      </c>
      <c r="D51" s="182">
        <v>40456</v>
      </c>
      <c r="E51" s="345">
        <v>455614.16</v>
      </c>
      <c r="F51" s="345">
        <v>0</v>
      </c>
      <c r="G51" s="345">
        <f t="shared" si="3"/>
        <v>455614.16</v>
      </c>
      <c r="K51" s="32" t="s">
        <v>648</v>
      </c>
    </row>
    <row r="52" spans="1:11" ht="18.95" customHeight="1">
      <c r="A52" s="135">
        <f t="shared" si="2"/>
        <v>5</v>
      </c>
      <c r="B52" s="342">
        <v>121</v>
      </c>
      <c r="C52" s="32" t="s">
        <v>650</v>
      </c>
      <c r="D52" s="182">
        <v>15014</v>
      </c>
      <c r="E52" s="345">
        <v>332.4</v>
      </c>
      <c r="F52" s="345">
        <v>0</v>
      </c>
      <c r="G52" s="345">
        <f t="shared" si="3"/>
        <v>332.4</v>
      </c>
      <c r="K52" s="32" t="s">
        <v>648</v>
      </c>
    </row>
    <row r="53" spans="1:11" ht="18.95" customHeight="1">
      <c r="A53" s="135">
        <f t="shared" si="2"/>
        <v>6</v>
      </c>
      <c r="B53" s="342">
        <v>121</v>
      </c>
      <c r="C53" s="32" t="s">
        <v>651</v>
      </c>
      <c r="D53" s="182">
        <v>20281</v>
      </c>
      <c r="E53" s="345">
        <v>1074.25</v>
      </c>
      <c r="F53" s="345">
        <v>0</v>
      </c>
      <c r="G53" s="345">
        <f t="shared" si="3"/>
        <v>1074.25</v>
      </c>
      <c r="K53" s="32" t="s">
        <v>648</v>
      </c>
    </row>
    <row r="54" spans="1:11" ht="18.95" customHeight="1">
      <c r="A54" s="135">
        <f t="shared" si="2"/>
        <v>7</v>
      </c>
      <c r="B54" s="342">
        <v>121</v>
      </c>
      <c r="C54" s="32" t="s">
        <v>652</v>
      </c>
      <c r="D54" s="182">
        <v>20724</v>
      </c>
      <c r="E54" s="345">
        <v>3291.32</v>
      </c>
      <c r="F54" s="345">
        <v>0</v>
      </c>
      <c r="G54" s="345">
        <f t="shared" si="3"/>
        <v>3291.32</v>
      </c>
      <c r="K54" s="32" t="s">
        <v>648</v>
      </c>
    </row>
    <row r="55" spans="1:11" ht="18.95" customHeight="1">
      <c r="A55" s="135">
        <f t="shared" si="2"/>
        <v>8</v>
      </c>
      <c r="B55" s="342">
        <v>121</v>
      </c>
      <c r="C55" s="32" t="s">
        <v>653</v>
      </c>
      <c r="D55" s="182">
        <v>26744</v>
      </c>
      <c r="E55" s="345">
        <v>5677</v>
      </c>
      <c r="F55" s="345">
        <v>0</v>
      </c>
      <c r="G55" s="345">
        <f t="shared" si="3"/>
        <v>5677</v>
      </c>
      <c r="K55" s="32" t="s">
        <v>648</v>
      </c>
    </row>
    <row r="56" spans="1:11" ht="18.95" customHeight="1">
      <c r="A56" s="135">
        <f t="shared" si="2"/>
        <v>9</v>
      </c>
      <c r="B56" s="342">
        <v>121</v>
      </c>
      <c r="C56" s="32" t="s">
        <v>654</v>
      </c>
      <c r="D56" s="182">
        <v>15522</v>
      </c>
      <c r="E56" s="345">
        <v>268.64999999999998</v>
      </c>
      <c r="F56" s="345">
        <v>0</v>
      </c>
      <c r="G56" s="345">
        <f t="shared" si="3"/>
        <v>268.64999999999998</v>
      </c>
      <c r="K56" s="32" t="s">
        <v>648</v>
      </c>
    </row>
    <row r="57" spans="1:11" ht="18.95" customHeight="1">
      <c r="A57" s="135">
        <f t="shared" si="2"/>
        <v>10</v>
      </c>
      <c r="B57" s="342">
        <v>121</v>
      </c>
      <c r="C57" s="32" t="s">
        <v>655</v>
      </c>
      <c r="D57" s="182">
        <v>36981</v>
      </c>
      <c r="E57" s="345">
        <v>50000</v>
      </c>
      <c r="F57" s="345">
        <v>0</v>
      </c>
      <c r="G57" s="345">
        <f t="shared" si="3"/>
        <v>50000</v>
      </c>
      <c r="K57" s="32" t="s">
        <v>648</v>
      </c>
    </row>
    <row r="58" spans="1:11" ht="18.95" customHeight="1">
      <c r="A58" s="135">
        <f t="shared" si="2"/>
        <v>11</v>
      </c>
      <c r="B58" s="342">
        <v>121</v>
      </c>
      <c r="C58" s="32" t="s">
        <v>1350</v>
      </c>
      <c r="D58" s="182">
        <v>29151</v>
      </c>
      <c r="E58" s="345">
        <v>28633.1</v>
      </c>
      <c r="F58" s="345">
        <v>0</v>
      </c>
      <c r="G58" s="345">
        <f t="shared" si="3"/>
        <v>28633.1</v>
      </c>
      <c r="K58" s="32" t="s">
        <v>648</v>
      </c>
    </row>
    <row r="59" spans="1:11" ht="18.95" customHeight="1">
      <c r="A59" s="135">
        <f t="shared" si="2"/>
        <v>12</v>
      </c>
      <c r="B59" s="342">
        <v>121</v>
      </c>
      <c r="C59" s="32" t="s">
        <v>656</v>
      </c>
      <c r="D59" s="182">
        <v>14792</v>
      </c>
      <c r="E59" s="345">
        <v>185.17</v>
      </c>
      <c r="F59" s="345">
        <v>0</v>
      </c>
      <c r="G59" s="345">
        <f t="shared" si="3"/>
        <v>185.17</v>
      </c>
      <c r="K59" s="32" t="s">
        <v>648</v>
      </c>
    </row>
    <row r="60" spans="1:11" ht="18.95" customHeight="1">
      <c r="A60" s="135">
        <f t="shared" si="2"/>
        <v>13</v>
      </c>
      <c r="B60" s="342">
        <v>121</v>
      </c>
      <c r="C60" s="32" t="s">
        <v>657</v>
      </c>
      <c r="D60" s="182">
        <v>14792</v>
      </c>
      <c r="E60" s="345">
        <v>14.83</v>
      </c>
      <c r="F60" s="345">
        <v>0</v>
      </c>
      <c r="G60" s="345">
        <f t="shared" si="3"/>
        <v>14.83</v>
      </c>
      <c r="K60" s="32" t="s">
        <v>648</v>
      </c>
    </row>
    <row r="61" spans="1:11" ht="18.95" customHeight="1">
      <c r="A61" s="135">
        <f t="shared" si="2"/>
        <v>14</v>
      </c>
      <c r="B61" s="342">
        <v>121</v>
      </c>
      <c r="C61" s="32" t="s">
        <v>658</v>
      </c>
      <c r="D61" s="182">
        <v>14792</v>
      </c>
      <c r="E61" s="345">
        <v>47.91</v>
      </c>
      <c r="F61" s="345">
        <v>0</v>
      </c>
      <c r="G61" s="345">
        <f t="shared" si="3"/>
        <v>47.91</v>
      </c>
      <c r="K61" s="32" t="s">
        <v>648</v>
      </c>
    </row>
    <row r="62" spans="1:11" ht="18.95" customHeight="1">
      <c r="A62" s="135">
        <f t="shared" si="2"/>
        <v>15</v>
      </c>
      <c r="B62" s="342">
        <v>121</v>
      </c>
      <c r="C62" s="32" t="s">
        <v>659</v>
      </c>
      <c r="D62" s="182">
        <v>14792</v>
      </c>
      <c r="E62" s="345">
        <v>192.14</v>
      </c>
      <c r="F62" s="345">
        <v>0</v>
      </c>
      <c r="G62" s="345">
        <f t="shared" si="3"/>
        <v>192.14</v>
      </c>
      <c r="K62" s="32" t="s">
        <v>648</v>
      </c>
    </row>
    <row r="63" spans="1:11" ht="18.95" customHeight="1">
      <c r="A63" s="135">
        <f t="shared" si="2"/>
        <v>16</v>
      </c>
      <c r="B63" s="342">
        <v>121</v>
      </c>
      <c r="C63" s="32" t="s">
        <v>660</v>
      </c>
      <c r="D63" s="182">
        <v>24288</v>
      </c>
      <c r="E63" s="345">
        <v>250</v>
      </c>
      <c r="F63" s="345">
        <v>0</v>
      </c>
      <c r="G63" s="345">
        <f t="shared" si="3"/>
        <v>250</v>
      </c>
      <c r="K63" s="32" t="s">
        <v>648</v>
      </c>
    </row>
    <row r="64" spans="1:11" ht="18.95" customHeight="1">
      <c r="A64" s="135">
        <f t="shared" si="2"/>
        <v>17</v>
      </c>
      <c r="B64" s="342">
        <v>121</v>
      </c>
      <c r="C64" s="32" t="s">
        <v>661</v>
      </c>
      <c r="D64" s="182">
        <v>19892</v>
      </c>
      <c r="E64" s="345">
        <v>31482.83</v>
      </c>
      <c r="F64" s="345">
        <f>E64</f>
        <v>31482.83</v>
      </c>
      <c r="G64" s="345">
        <f t="shared" si="3"/>
        <v>0</v>
      </c>
      <c r="K64" s="32" t="s">
        <v>648</v>
      </c>
    </row>
    <row r="65" spans="1:11" ht="18.95" customHeight="1">
      <c r="A65" s="135">
        <f t="shared" si="2"/>
        <v>18</v>
      </c>
      <c r="B65" s="342">
        <v>121</v>
      </c>
      <c r="C65" s="32" t="s">
        <v>662</v>
      </c>
      <c r="D65" s="182">
        <v>14821</v>
      </c>
      <c r="E65" s="345">
        <v>31627.599999999999</v>
      </c>
      <c r="F65" s="345">
        <f>E65</f>
        <v>31627.599999999999</v>
      </c>
      <c r="G65" s="345">
        <f t="shared" si="3"/>
        <v>0</v>
      </c>
      <c r="K65" s="32" t="s">
        <v>648</v>
      </c>
    </row>
    <row r="66" spans="1:11" ht="18.95" customHeight="1">
      <c r="A66" s="135">
        <f t="shared" si="2"/>
        <v>19</v>
      </c>
      <c r="B66" s="342">
        <v>121</v>
      </c>
      <c r="C66" s="32" t="s">
        <v>663</v>
      </c>
      <c r="D66" s="182">
        <v>14792</v>
      </c>
      <c r="E66" s="345">
        <v>249.92999999999998</v>
      </c>
      <c r="F66" s="345">
        <f>E66</f>
        <v>249.92999999999998</v>
      </c>
      <c r="G66" s="345">
        <f t="shared" si="3"/>
        <v>0</v>
      </c>
      <c r="K66" s="32" t="s">
        <v>648</v>
      </c>
    </row>
    <row r="67" spans="1:11" ht="18.95" customHeight="1" thickBot="1">
      <c r="A67" s="135">
        <f>A66+1</f>
        <v>20</v>
      </c>
      <c r="B67" s="35"/>
      <c r="C67" s="32" t="s">
        <v>664</v>
      </c>
      <c r="D67" s="182"/>
      <c r="E67" s="346">
        <f>SUM(E49:E66)</f>
        <v>630896.98</v>
      </c>
      <c r="F67" s="346">
        <f>SUM(F49:F66)</f>
        <v>63361.85</v>
      </c>
      <c r="G67" s="346">
        <f t="shared" si="3"/>
        <v>567535.13</v>
      </c>
      <c r="H67" s="346">
        <f>SUM(H49:H66)</f>
        <v>0</v>
      </c>
      <c r="K67" s="32" t="s">
        <v>648</v>
      </c>
    </row>
    <row r="68" spans="1:11" ht="18.95" customHeight="1" thickTop="1">
      <c r="B68" s="35"/>
      <c r="C68" s="42"/>
    </row>
    <row r="69" spans="1:11" ht="18.95" customHeight="1">
      <c r="B69" s="35"/>
    </row>
    <row r="70" spans="1:11" ht="18.95" customHeight="1">
      <c r="D70" s="33" t="s">
        <v>47</v>
      </c>
      <c r="E70" s="33" t="s">
        <v>47</v>
      </c>
    </row>
    <row r="71" spans="1:11" ht="18.95" customHeight="1"/>
    <row r="72" spans="1:11" ht="18.95" customHeight="1"/>
    <row r="73" spans="1:11" ht="18.95" customHeight="1"/>
    <row r="74" spans="1:11" ht="18.95" customHeight="1"/>
    <row r="75" spans="1:11" ht="18.95" customHeight="1"/>
    <row r="76" spans="1:11" ht="18.95" customHeight="1"/>
    <row r="77" spans="1:11" ht="18.95" customHeight="1"/>
    <row r="78" spans="1:11" ht="18.95" customHeight="1"/>
    <row r="79" spans="1:11" ht="18.95" customHeight="1"/>
    <row r="80" spans="1:11" ht="18.95" customHeight="1"/>
    <row r="81" ht="18.95" customHeight="1"/>
    <row r="82" ht="18.95" customHeight="1"/>
  </sheetData>
  <mergeCells count="12">
    <mergeCell ref="A35:K35"/>
    <mergeCell ref="A36:K36"/>
    <mergeCell ref="A37:K37"/>
    <mergeCell ref="A39:K39"/>
    <mergeCell ref="H45:J45"/>
    <mergeCell ref="A38:K38"/>
    <mergeCell ref="A1:K1"/>
    <mergeCell ref="A2:K2"/>
    <mergeCell ref="A3:K3"/>
    <mergeCell ref="A5:K5"/>
    <mergeCell ref="H11:J11"/>
    <mergeCell ref="A4:K4"/>
  </mergeCells>
  <pageMargins left="0.95" right="0.5" top="0.75" bottom="0.75" header="0.3" footer="0.3"/>
  <pageSetup scale="47" fitToHeight="0" orientation="portrait" r:id="rId1"/>
  <rowBreaks count="1" manualBreakCount="1">
    <brk id="34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pageSetUpPr fitToPage="1"/>
  </sheetPr>
  <dimension ref="A1:P127"/>
  <sheetViews>
    <sheetView zoomScaleNormal="100" workbookViewId="0">
      <selection sqref="A1:I1"/>
    </sheetView>
  </sheetViews>
  <sheetFormatPr defaultColWidth="9" defaultRowHeight="12.75"/>
  <cols>
    <col min="1" max="1" width="6" style="33" customWidth="1"/>
    <col min="2" max="2" width="9.44140625" style="33" customWidth="1"/>
    <col min="3" max="3" width="38.33203125" style="33" customWidth="1"/>
    <col min="4" max="5" width="13.6640625" style="33" customWidth="1"/>
    <col min="6" max="6" width="9.88671875" style="33" customWidth="1"/>
    <col min="7" max="7" width="15.6640625" style="33" customWidth="1"/>
    <col min="8" max="8" width="14.6640625" style="33" customWidth="1"/>
    <col min="9" max="9" width="13.6640625" style="33" customWidth="1"/>
    <col min="10" max="10" width="1.6640625" style="33" customWidth="1"/>
    <col min="11" max="11" width="9" style="33"/>
    <col min="12" max="12" width="13.109375" style="33" customWidth="1"/>
    <col min="13" max="13" width="9" style="33"/>
    <col min="14" max="14" width="12.6640625" style="33" customWidth="1"/>
    <col min="15" max="15" width="12.88671875" style="33" customWidth="1"/>
    <col min="16" max="16384" width="9" style="33"/>
  </cols>
  <sheetData>
    <row r="1" spans="1:9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  <c r="G1" s="494"/>
      <c r="H1" s="494"/>
      <c r="I1" s="494"/>
    </row>
    <row r="2" spans="1:9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  <c r="G2" s="494"/>
      <c r="H2" s="494"/>
      <c r="I2" s="494"/>
    </row>
    <row r="3" spans="1:9" s="32" customFormat="1" ht="20.100000000000001" customHeight="1">
      <c r="A3" s="494" t="s">
        <v>153</v>
      </c>
      <c r="B3" s="494"/>
      <c r="C3" s="494"/>
      <c r="D3" s="494"/>
      <c r="E3" s="494"/>
      <c r="F3" s="494"/>
      <c r="G3" s="494"/>
      <c r="H3" s="494"/>
      <c r="I3" s="494"/>
    </row>
    <row r="4" spans="1:9" s="32" customFormat="1" ht="20.100000000000001" customHeight="1">
      <c r="A4" s="493" t="str">
        <f>'Rate Case Constants'!C12</f>
        <v>AS OF FEBRUARY 28, 2017</v>
      </c>
      <c r="B4" s="494"/>
      <c r="C4" s="494"/>
      <c r="D4" s="494"/>
      <c r="E4" s="494"/>
      <c r="F4" s="494"/>
      <c r="G4" s="494"/>
      <c r="H4" s="494"/>
      <c r="I4" s="494"/>
    </row>
    <row r="5" spans="1:9" s="32" customFormat="1" ht="20.100000000000001" customHeight="1">
      <c r="A5" s="48"/>
      <c r="B5" s="48"/>
      <c r="C5" s="48"/>
      <c r="D5" s="48"/>
      <c r="E5" s="48"/>
      <c r="F5" s="48"/>
      <c r="G5" s="48"/>
      <c r="H5" s="48"/>
      <c r="I5" s="48"/>
    </row>
    <row r="6" spans="1:9" s="32" customFormat="1" ht="20.100000000000001" customHeight="1">
      <c r="A6" s="31" t="s">
        <v>31</v>
      </c>
      <c r="B6" s="31"/>
      <c r="H6" s="38"/>
      <c r="I6" s="38" t="s">
        <v>152</v>
      </c>
    </row>
    <row r="7" spans="1:9" s="32" customFormat="1" ht="20.100000000000001" customHeight="1">
      <c r="A7" s="32" t="str">
        <f>'Rate Case Constants'!C29</f>
        <v>TYPE OF FILING: __X__ ORIGINAL  _____ UPDATED  _____ REVISED</v>
      </c>
      <c r="H7" s="38"/>
      <c r="I7" s="38" t="s">
        <v>60</v>
      </c>
    </row>
    <row r="8" spans="1:9" s="32" customFormat="1" ht="20.100000000000001" customHeight="1">
      <c r="A8" s="31" t="s">
        <v>151</v>
      </c>
      <c r="B8" s="31"/>
      <c r="F8" s="31"/>
      <c r="G8" s="31"/>
      <c r="H8" s="39"/>
      <c r="I8" s="39" t="str">
        <f>'Rate Case Constants'!C36</f>
        <v>WITNESS:   C. M. GARRETT</v>
      </c>
    </row>
    <row r="9" spans="1:9" s="32" customFormat="1" ht="20.100000000000001" customHeight="1"/>
    <row r="10" spans="1:9" s="32" customFormat="1" ht="20.100000000000001" customHeight="1">
      <c r="A10" s="59"/>
      <c r="B10" s="59"/>
      <c r="C10" s="59"/>
      <c r="D10" s="59"/>
      <c r="E10" s="496" t="s">
        <v>156</v>
      </c>
      <c r="F10" s="496"/>
      <c r="G10" s="496"/>
      <c r="H10" s="496"/>
      <c r="I10" s="496"/>
    </row>
    <row r="11" spans="1:9" ht="69.95" customHeight="1">
      <c r="A11" s="35" t="s">
        <v>29</v>
      </c>
      <c r="B11" s="35" t="s">
        <v>32</v>
      </c>
      <c r="C11" s="42" t="s">
        <v>33</v>
      </c>
      <c r="D11" s="35" t="s">
        <v>154</v>
      </c>
      <c r="E11" s="35" t="s">
        <v>155</v>
      </c>
      <c r="F11" s="35" t="s">
        <v>111</v>
      </c>
      <c r="G11" s="35" t="s">
        <v>112</v>
      </c>
      <c r="H11" s="35" t="s">
        <v>113</v>
      </c>
      <c r="I11" s="35" t="s">
        <v>114</v>
      </c>
    </row>
    <row r="12" spans="1:9" ht="23.1" customHeight="1">
      <c r="A12" s="44"/>
      <c r="B12" s="44"/>
      <c r="C12" s="45"/>
      <c r="D12" s="46" t="s">
        <v>40</v>
      </c>
      <c r="E12" s="46" t="s">
        <v>40</v>
      </c>
      <c r="F12" s="131">
        <v>1</v>
      </c>
      <c r="G12" s="46" t="s">
        <v>40</v>
      </c>
      <c r="H12" s="46" t="s">
        <v>40</v>
      </c>
      <c r="I12" s="46" t="s">
        <v>40</v>
      </c>
    </row>
    <row r="13" spans="1:9" ht="23.1" customHeight="1">
      <c r="A13" s="37">
        <v>1</v>
      </c>
      <c r="B13" s="37"/>
      <c r="C13" s="49" t="s">
        <v>571</v>
      </c>
      <c r="D13" s="41"/>
      <c r="E13" s="41"/>
      <c r="F13" s="41"/>
      <c r="G13" s="41"/>
      <c r="H13" s="41"/>
      <c r="I13" s="41"/>
    </row>
    <row r="14" spans="1:9" ht="18.95" customHeight="1">
      <c r="A14" s="34">
        <f>A13+1</f>
        <v>2</v>
      </c>
      <c r="B14" s="35" t="s">
        <v>411</v>
      </c>
      <c r="C14" s="42" t="s">
        <v>412</v>
      </c>
      <c r="D14" s="50">
        <f>'SCH B-2.1 B'!D13</f>
        <v>0</v>
      </c>
      <c r="E14" s="50">
        <f>SUMIFS('PIS B'!$V$11:$V$112,'PIS B'!$A$11:$A$112,$B$67,'PIS B'!$B$11:$B$112,$B14)</f>
        <v>0</v>
      </c>
      <c r="F14" s="62"/>
      <c r="G14" s="50">
        <f>E14</f>
        <v>0</v>
      </c>
      <c r="H14" s="50">
        <v>0</v>
      </c>
      <c r="I14" s="50">
        <f t="shared" ref="I14:I15" si="0">SUM(G14:H14)</f>
        <v>0</v>
      </c>
    </row>
    <row r="15" spans="1:9" ht="18.95" customHeight="1">
      <c r="A15" s="34">
        <f t="shared" ref="A15:A17" si="1">A14+1</f>
        <v>3</v>
      </c>
      <c r="B15" s="35" t="s">
        <v>413</v>
      </c>
      <c r="C15" s="42" t="s">
        <v>414</v>
      </c>
      <c r="D15" s="50">
        <f>'SCH B-2.1 B'!D14</f>
        <v>387.49</v>
      </c>
      <c r="E15" s="50">
        <f>SUMIFS('PIS B'!$V$11:$V$112,'PIS B'!$A$11:$A$112,$B$67,'PIS B'!$B$11:$B$112,$B15)</f>
        <v>-170.978221002</v>
      </c>
      <c r="F15" s="66"/>
      <c r="G15" s="52">
        <f t="shared" ref="G15:G16" si="2">E15</f>
        <v>-170.978221002</v>
      </c>
      <c r="H15" s="51">
        <v>0</v>
      </c>
      <c r="I15" s="52">
        <f t="shared" si="0"/>
        <v>-170.978221002</v>
      </c>
    </row>
    <row r="16" spans="1:9" ht="18.95" customHeight="1">
      <c r="A16" s="34">
        <f t="shared" si="1"/>
        <v>4</v>
      </c>
      <c r="B16" s="35" t="s">
        <v>415</v>
      </c>
      <c r="C16" s="42" t="s">
        <v>416</v>
      </c>
      <c r="D16" s="53">
        <f>'SCH B-2.1 B'!D15</f>
        <v>0</v>
      </c>
      <c r="E16" s="53">
        <f>SUMIFS('PIS B'!$V$11:$V$112,'PIS B'!$A$11:$A$112,$B$67,'PIS B'!$B$11:$B$112,$B16)</f>
        <v>0</v>
      </c>
      <c r="F16" s="62"/>
      <c r="G16" s="53">
        <f t="shared" si="2"/>
        <v>0</v>
      </c>
      <c r="H16" s="53">
        <v>0</v>
      </c>
      <c r="I16" s="53">
        <f>SUM(G16:H16)</f>
        <v>0</v>
      </c>
    </row>
    <row r="17" spans="1:16" ht="18.95" customHeight="1">
      <c r="A17" s="34">
        <f t="shared" si="1"/>
        <v>5</v>
      </c>
      <c r="B17" s="34"/>
      <c r="C17" s="42" t="s">
        <v>41</v>
      </c>
      <c r="D17" s="50">
        <f>SUM(D14:D16)</f>
        <v>387.49</v>
      </c>
      <c r="E17" s="50">
        <f>SUM(E14:E16)</f>
        <v>-170.978221002</v>
      </c>
      <c r="F17" s="62"/>
      <c r="G17" s="50">
        <f>SUM(G14:G16)</f>
        <v>-170.978221002</v>
      </c>
      <c r="H17" s="50">
        <f>SUM(H14:H16)</f>
        <v>0</v>
      </c>
      <c r="I17" s="50">
        <f>SUM(I14:I16)</f>
        <v>-170.978221002</v>
      </c>
      <c r="L17" s="67"/>
      <c r="M17" s="67"/>
      <c r="N17" s="67"/>
      <c r="O17" s="67"/>
      <c r="P17" s="68"/>
    </row>
    <row r="18" spans="1:16" ht="18.95" customHeight="1">
      <c r="A18" s="34"/>
      <c r="B18" s="34"/>
      <c r="D18" s="36"/>
      <c r="E18" s="36"/>
      <c r="F18" s="65"/>
      <c r="G18" s="36"/>
      <c r="H18" s="36"/>
      <c r="I18" s="36"/>
    </row>
    <row r="19" spans="1:16" ht="18.95" customHeight="1">
      <c r="A19" s="34">
        <f>A17+1</f>
        <v>6</v>
      </c>
      <c r="B19" s="34"/>
      <c r="C19" s="54" t="s">
        <v>572</v>
      </c>
      <c r="D19" s="36"/>
      <c r="E19" s="36"/>
      <c r="F19" s="65"/>
      <c r="G19" s="36"/>
      <c r="H19" s="36"/>
      <c r="I19" s="36"/>
    </row>
    <row r="20" spans="1:16" ht="18.95" customHeight="1">
      <c r="A20" s="34">
        <f t="shared" ref="A20:A45" si="3">A19+1</f>
        <v>7</v>
      </c>
      <c r="B20" s="35">
        <v>350</v>
      </c>
      <c r="C20" s="42" t="s">
        <v>43</v>
      </c>
      <c r="D20" s="52">
        <f>'SCH B-2.1 B'!D19</f>
        <v>134076.56</v>
      </c>
      <c r="E20" s="52">
        <f>SUMIFS('PIS B'!$V$11:$V$112,'PIS B'!$B$11:$B$112,'SCH B-3 B'!$B20)</f>
        <v>-69852.564571979892</v>
      </c>
      <c r="F20" s="66"/>
      <c r="G20" s="52">
        <f t="shared" ref="G20:G25" si="4">E20</f>
        <v>-69852.564571979892</v>
      </c>
      <c r="H20" s="52">
        <v>0</v>
      </c>
      <c r="I20" s="52">
        <f t="shared" ref="I20:I25" si="5">SUM(G20:H20)</f>
        <v>-69852.564571979892</v>
      </c>
    </row>
    <row r="21" spans="1:16" ht="18" customHeight="1">
      <c r="A21" s="34">
        <f t="shared" si="3"/>
        <v>8</v>
      </c>
      <c r="B21" s="35">
        <v>351</v>
      </c>
      <c r="C21" s="42" t="s">
        <v>42</v>
      </c>
      <c r="D21" s="52">
        <f>'SCH B-2.1 B'!D20</f>
        <v>15767126.41</v>
      </c>
      <c r="E21" s="52">
        <f>SUMIFS('PIS B'!$V$11:$V$112,'PIS B'!$B$11:$B$112,'SCH B-3 B'!$B21)</f>
        <v>-2386389.8680235087</v>
      </c>
      <c r="F21" s="66"/>
      <c r="G21" s="52">
        <f t="shared" si="4"/>
        <v>-2386389.8680235087</v>
      </c>
      <c r="H21" s="52">
        <v>0</v>
      </c>
      <c r="I21" s="52">
        <f t="shared" si="5"/>
        <v>-2386389.8680235087</v>
      </c>
    </row>
    <row r="22" spans="1:16" ht="18.95" customHeight="1">
      <c r="A22" s="34">
        <f t="shared" si="3"/>
        <v>9</v>
      </c>
      <c r="B22" s="35">
        <v>352</v>
      </c>
      <c r="C22" s="42" t="s">
        <v>597</v>
      </c>
      <c r="D22" s="52">
        <f>'SCH B-2.1 B'!D21</f>
        <v>20145663.3699999</v>
      </c>
      <c r="E22" s="52">
        <f>SUMIFS('PIS B'!$V$11:$V$112,'PIS B'!$B$11:$B$112,'SCH B-3 B'!$B22)</f>
        <v>-3073069.009354589</v>
      </c>
      <c r="F22" s="66"/>
      <c r="G22" s="52">
        <f t="shared" si="4"/>
        <v>-3073069.009354589</v>
      </c>
      <c r="H22" s="52">
        <v>0</v>
      </c>
      <c r="I22" s="52">
        <f t="shared" si="5"/>
        <v>-3073069.009354589</v>
      </c>
    </row>
    <row r="23" spans="1:16" ht="18.95" customHeight="1">
      <c r="A23" s="34">
        <f t="shared" si="3"/>
        <v>10</v>
      </c>
      <c r="B23" s="35">
        <v>352.1</v>
      </c>
      <c r="C23" s="42" t="s">
        <v>598</v>
      </c>
      <c r="D23" s="52">
        <f>'SCH B-2.1 B'!D22</f>
        <v>548241.14</v>
      </c>
      <c r="E23" s="52">
        <f>SUMIFS('PIS B'!$V$11:$V$112,'PIS B'!$B$11:$B$112,'SCH B-3 B'!$B23)</f>
        <v>-569589.96</v>
      </c>
      <c r="F23" s="66"/>
      <c r="G23" s="52">
        <f t="shared" si="4"/>
        <v>-569589.96</v>
      </c>
      <c r="H23" s="52">
        <v>0</v>
      </c>
      <c r="I23" s="52">
        <f t="shared" si="5"/>
        <v>-569589.96</v>
      </c>
    </row>
    <row r="24" spans="1:16" ht="18.95" customHeight="1">
      <c r="A24" s="34">
        <f t="shared" si="3"/>
        <v>11</v>
      </c>
      <c r="B24" s="35">
        <v>352.2</v>
      </c>
      <c r="C24" s="42" t="s">
        <v>599</v>
      </c>
      <c r="D24" s="52">
        <f>'SCH B-2.1 B'!D23</f>
        <v>400511.39999999997</v>
      </c>
      <c r="E24" s="52">
        <f>SUMIFS('PIS B'!$V$11:$V$112,'PIS B'!$B$11:$B$112,'SCH B-3 B'!$B24)</f>
        <v>-452027.29</v>
      </c>
      <c r="F24" s="66"/>
      <c r="G24" s="52">
        <f t="shared" si="4"/>
        <v>-452027.29</v>
      </c>
      <c r="H24" s="52">
        <v>0</v>
      </c>
      <c r="I24" s="52">
        <f t="shared" si="5"/>
        <v>-452027.29</v>
      </c>
    </row>
    <row r="25" spans="1:16" ht="18.95" customHeight="1">
      <c r="A25" s="34">
        <f t="shared" si="3"/>
        <v>12</v>
      </c>
      <c r="B25" s="35" t="s">
        <v>1104</v>
      </c>
      <c r="C25" s="42" t="s">
        <v>600</v>
      </c>
      <c r="D25" s="52">
        <f>'SCH B-2.1 B'!D24</f>
        <v>11788845</v>
      </c>
      <c r="E25" s="52">
        <f>SUMIFS('PIS B'!$V$11:$V$112,'PIS B'!$B$11:$B$112,'SCH B-3 B'!$B25)</f>
        <v>-8194835.6482500006</v>
      </c>
      <c r="F25" s="66"/>
      <c r="G25" s="52">
        <f t="shared" si="4"/>
        <v>-8194835.6482500006</v>
      </c>
      <c r="H25" s="52">
        <v>0</v>
      </c>
      <c r="I25" s="52">
        <f t="shared" si="5"/>
        <v>-8194835.6482500006</v>
      </c>
    </row>
    <row r="26" spans="1:16" ht="18.95" customHeight="1">
      <c r="A26" s="34">
        <f t="shared" si="3"/>
        <v>13</v>
      </c>
      <c r="B26" s="35">
        <v>353</v>
      </c>
      <c r="C26" s="42" t="s">
        <v>601</v>
      </c>
      <c r="D26" s="52">
        <f>'SCH B-2.1 B'!D25</f>
        <v>23080886.600000001</v>
      </c>
      <c r="E26" s="52">
        <f>SUMIFS('PIS B'!$V$11:$V$112,'PIS B'!$B$11:$B$112,'SCH B-3 B'!$B26)</f>
        <v>-8773707.4748441707</v>
      </c>
      <c r="F26" s="66"/>
      <c r="G26" s="52">
        <f t="shared" ref="G26:G31" si="6">E26</f>
        <v>-8773707.4748441707</v>
      </c>
      <c r="H26" s="52">
        <v>0</v>
      </c>
      <c r="I26" s="52">
        <f t="shared" ref="I26:I31" si="7">SUM(G26:H26)</f>
        <v>-8773707.4748441707</v>
      </c>
    </row>
    <row r="27" spans="1:16" ht="18.95" customHeight="1">
      <c r="A27" s="34">
        <f t="shared" si="3"/>
        <v>14</v>
      </c>
      <c r="B27" s="35">
        <v>354</v>
      </c>
      <c r="C27" s="42" t="s">
        <v>602</v>
      </c>
      <c r="D27" s="52">
        <f>'SCH B-2.1 B'!D26</f>
        <v>56444455.789999999</v>
      </c>
      <c r="E27" s="52">
        <f>SUMIFS('PIS B'!$V$11:$V$112,'PIS B'!$B$11:$B$112,'SCH B-3 B'!$B27)</f>
        <v>-7160404.7762560006</v>
      </c>
      <c r="F27" s="66"/>
      <c r="G27" s="52">
        <f t="shared" si="6"/>
        <v>-7160404.7762560006</v>
      </c>
      <c r="H27" s="52">
        <v>0</v>
      </c>
      <c r="I27" s="52">
        <f t="shared" si="7"/>
        <v>-7160404.7762560006</v>
      </c>
    </row>
    <row r="28" spans="1:16" ht="18.95" customHeight="1">
      <c r="A28" s="34">
        <f t="shared" si="3"/>
        <v>15</v>
      </c>
      <c r="B28" s="35">
        <v>355</v>
      </c>
      <c r="C28" s="42" t="s">
        <v>603</v>
      </c>
      <c r="D28" s="52">
        <f>'SCH B-2.1 B'!D27</f>
        <v>2274976.42</v>
      </c>
      <c r="E28" s="50">
        <f>SUMIFS('PIS B'!$V$11:$V$112,'PIS B'!$B$11:$B$112,'SCH B-3 B'!$B28)</f>
        <v>-264933.99849039997</v>
      </c>
      <c r="F28" s="62"/>
      <c r="G28" s="50">
        <f t="shared" si="6"/>
        <v>-264933.99849039997</v>
      </c>
      <c r="H28" s="50">
        <v>0</v>
      </c>
      <c r="I28" s="50">
        <f t="shared" si="7"/>
        <v>-264933.99849039997</v>
      </c>
      <c r="L28" s="67"/>
      <c r="M28" s="67"/>
      <c r="N28" s="67"/>
      <c r="O28" s="67"/>
      <c r="P28" s="68"/>
    </row>
    <row r="29" spans="1:16" ht="18.95" customHeight="1">
      <c r="A29" s="34">
        <f t="shared" si="3"/>
        <v>16</v>
      </c>
      <c r="B29" s="35">
        <v>356</v>
      </c>
      <c r="C29" s="42" t="s">
        <v>604</v>
      </c>
      <c r="D29" s="52">
        <f>'SCH B-2.1 B'!D28</f>
        <v>23009251.41</v>
      </c>
      <c r="E29" s="50">
        <f>SUMIFS('PIS B'!$V$11:$V$112,'PIS B'!$B$11:$B$112,'SCH B-3 B'!$B29)</f>
        <v>-5762050.2384038903</v>
      </c>
      <c r="F29" s="62"/>
      <c r="G29" s="50">
        <f t="shared" si="6"/>
        <v>-5762050.2384038903</v>
      </c>
      <c r="H29" s="50">
        <v>0</v>
      </c>
      <c r="I29" s="50">
        <f t="shared" si="7"/>
        <v>-5762050.2384038903</v>
      </c>
    </row>
    <row r="30" spans="1:16" ht="18.95" customHeight="1">
      <c r="A30" s="34">
        <f t="shared" si="3"/>
        <v>17</v>
      </c>
      <c r="B30" s="35">
        <v>357</v>
      </c>
      <c r="C30" s="42" t="s">
        <v>605</v>
      </c>
      <c r="D30" s="52">
        <f>'SCH B-2.1 B'!D29</f>
        <v>4641787.3899999997</v>
      </c>
      <c r="E30" s="50">
        <f>SUMIFS('PIS B'!$V$11:$V$112,'PIS B'!$B$11:$B$112,'SCH B-3 B'!$B30)</f>
        <v>-362209.87800780003</v>
      </c>
      <c r="F30" s="62"/>
      <c r="G30" s="50">
        <f t="shared" si="6"/>
        <v>-362209.87800780003</v>
      </c>
      <c r="H30" s="50">
        <v>0</v>
      </c>
      <c r="I30" s="50">
        <f t="shared" si="7"/>
        <v>-362209.87800780003</v>
      </c>
    </row>
    <row r="31" spans="1:16" ht="18.95" customHeight="1">
      <c r="A31" s="34">
        <f t="shared" si="3"/>
        <v>18</v>
      </c>
      <c r="B31" s="35">
        <v>358</v>
      </c>
      <c r="C31" s="42" t="s">
        <v>606</v>
      </c>
      <c r="D31" s="53">
        <f>'SCH B-2.1 B'!D30</f>
        <v>4432697.84</v>
      </c>
      <c r="E31" s="53">
        <f>SUMIFS('PIS B'!$V$11:$V$112,'PIS B'!$B$11:$B$112,'SCH B-3 B'!$B31)</f>
        <v>-994496.55975199898</v>
      </c>
      <c r="F31" s="66"/>
      <c r="G31" s="53">
        <f t="shared" si="6"/>
        <v>-994496.55975199898</v>
      </c>
      <c r="H31" s="53">
        <f>'SCH B-3.1'!F12</f>
        <v>994496.55975199898</v>
      </c>
      <c r="I31" s="53">
        <f t="shared" si="7"/>
        <v>0</v>
      </c>
    </row>
    <row r="32" spans="1:16" ht="18.95" customHeight="1">
      <c r="A32" s="34">
        <f t="shared" si="3"/>
        <v>19</v>
      </c>
      <c r="C32" s="42" t="s">
        <v>608</v>
      </c>
      <c r="D32" s="52">
        <f>SUM(D20:D31)</f>
        <v>162668519.32999989</v>
      </c>
      <c r="E32" s="52">
        <f>SUM(E20:E31)</f>
        <v>-38063567.265954345</v>
      </c>
      <c r="F32" s="66"/>
      <c r="G32" s="52">
        <f t="shared" ref="G32:I32" si="8">SUM(G20:G31)</f>
        <v>-38063567.265954345</v>
      </c>
      <c r="H32" s="52">
        <f t="shared" si="8"/>
        <v>994496.55975199898</v>
      </c>
      <c r="I32" s="52">
        <f t="shared" si="8"/>
        <v>-37069070.706202343</v>
      </c>
    </row>
    <row r="33" spans="1:16" ht="18.95" customHeight="1">
      <c r="A33" s="34"/>
      <c r="C33" s="42"/>
      <c r="D33" s="52"/>
      <c r="E33" s="52"/>
      <c r="F33" s="66"/>
      <c r="G33" s="52"/>
      <c r="H33" s="52"/>
      <c r="I33" s="52"/>
    </row>
    <row r="34" spans="1:16" ht="18.95" customHeight="1">
      <c r="A34" s="34">
        <f>A32+1</f>
        <v>20</v>
      </c>
      <c r="C34" s="54" t="s">
        <v>591</v>
      </c>
      <c r="D34" s="52"/>
      <c r="E34" s="52"/>
      <c r="F34" s="66"/>
      <c r="G34" s="52"/>
      <c r="H34" s="52"/>
      <c r="I34" s="52"/>
    </row>
    <row r="35" spans="1:16" ht="18.95" customHeight="1">
      <c r="A35" s="34">
        <f t="shared" si="3"/>
        <v>21</v>
      </c>
      <c r="B35" s="35">
        <v>365</v>
      </c>
      <c r="C35" s="42" t="s">
        <v>610</v>
      </c>
      <c r="D35" s="52">
        <f>'SCH B-2.1 B'!D34</f>
        <v>220659.049999999</v>
      </c>
      <c r="E35" s="52">
        <f>SUMIFS('PIS B'!$V$11:$V$112,'PIS B'!$B$11:$B$112,'SCH B-3 B'!$B35)</f>
        <v>-210904.27724002002</v>
      </c>
      <c r="F35" s="66"/>
      <c r="G35" s="52">
        <f t="shared" ref="G35:G37" si="9">E35</f>
        <v>-210904.27724002002</v>
      </c>
      <c r="H35" s="52">
        <v>0</v>
      </c>
      <c r="I35" s="52">
        <f t="shared" ref="I35:I37" si="10">SUM(G35:H35)</f>
        <v>-210904.27724002002</v>
      </c>
    </row>
    <row r="36" spans="1:16" ht="18.95" customHeight="1">
      <c r="A36" s="34">
        <f t="shared" si="3"/>
        <v>22</v>
      </c>
      <c r="B36" s="35">
        <v>367</v>
      </c>
      <c r="C36" s="42" t="s">
        <v>609</v>
      </c>
      <c r="D36" s="52">
        <f>'SCH B-2.1 B'!D35</f>
        <v>52897958.020000003</v>
      </c>
      <c r="E36" s="52">
        <f>SUMIFS('PIS B'!$V$11:$V$112,'PIS B'!$B$11:$B$112,'SCH B-3 B'!$B36)</f>
        <v>-11119608.322853399</v>
      </c>
      <c r="F36" s="66"/>
      <c r="G36" s="52">
        <f t="shared" si="9"/>
        <v>-11119608.322853399</v>
      </c>
      <c r="H36" s="52">
        <v>0</v>
      </c>
      <c r="I36" s="52">
        <f t="shared" si="10"/>
        <v>-11119608.322853399</v>
      </c>
    </row>
    <row r="37" spans="1:16" ht="18.95" customHeight="1">
      <c r="A37" s="34">
        <f t="shared" si="3"/>
        <v>23</v>
      </c>
      <c r="B37" s="35">
        <v>372</v>
      </c>
      <c r="C37" s="42" t="s">
        <v>611</v>
      </c>
      <c r="D37" s="53">
        <f>'SCH B-2.1 B'!D36</f>
        <v>2332004.91</v>
      </c>
      <c r="E37" s="53">
        <f>SUMIFS('PIS B'!$V$11:$V$112,'PIS B'!$B$11:$B$112,'SCH B-3 B'!$B37)</f>
        <v>-346544.82546599902</v>
      </c>
      <c r="F37" s="66"/>
      <c r="G37" s="53">
        <f t="shared" si="9"/>
        <v>-346544.82546599902</v>
      </c>
      <c r="H37" s="53">
        <f>'SCH B-3.1'!F13</f>
        <v>346544.82546599902</v>
      </c>
      <c r="I37" s="53">
        <f t="shared" si="10"/>
        <v>0</v>
      </c>
    </row>
    <row r="38" spans="1:16" ht="18.95" customHeight="1">
      <c r="A38" s="34">
        <f>A37+1</f>
        <v>24</v>
      </c>
      <c r="B38" s="35" t="s">
        <v>117</v>
      </c>
      <c r="C38" s="42" t="s">
        <v>612</v>
      </c>
      <c r="D38" s="50">
        <f>SUM(D35:D37)</f>
        <v>55450621.980000004</v>
      </c>
      <c r="E38" s="50">
        <f>SUM(E35:E37)</f>
        <v>-11677057.425559418</v>
      </c>
      <c r="F38" s="62"/>
      <c r="G38" s="50">
        <f t="shared" ref="G38:I38" si="11">SUM(G35:G37)</f>
        <v>-11677057.425559418</v>
      </c>
      <c r="H38" s="50">
        <f t="shared" si="11"/>
        <v>346544.82546599902</v>
      </c>
      <c r="I38" s="50">
        <f t="shared" si="11"/>
        <v>-11330512.600093419</v>
      </c>
    </row>
    <row r="39" spans="1:16" ht="18.95" customHeight="1">
      <c r="A39" s="34"/>
      <c r="B39" s="35"/>
      <c r="C39" s="42"/>
      <c r="D39" s="50"/>
      <c r="E39" s="50"/>
      <c r="F39" s="62"/>
      <c r="G39" s="50"/>
      <c r="H39" s="50"/>
      <c r="I39" s="50"/>
      <c r="L39" s="67"/>
      <c r="M39" s="67"/>
      <c r="N39" s="67"/>
      <c r="O39" s="67"/>
      <c r="P39" s="68"/>
    </row>
    <row r="40" spans="1:16" ht="18.95" customHeight="1">
      <c r="A40" s="34">
        <f>A38+1</f>
        <v>25</v>
      </c>
      <c r="C40" s="54" t="s">
        <v>546</v>
      </c>
      <c r="D40" s="50"/>
      <c r="E40" s="50"/>
      <c r="F40" s="62"/>
      <c r="G40" s="50"/>
      <c r="H40" s="50"/>
      <c r="I40" s="50"/>
    </row>
    <row r="41" spans="1:16" ht="18.95" customHeight="1">
      <c r="A41" s="34">
        <f t="shared" si="3"/>
        <v>26</v>
      </c>
      <c r="B41" s="35">
        <v>374</v>
      </c>
      <c r="C41" s="42" t="s">
        <v>43</v>
      </c>
      <c r="D41" s="52">
        <f>'SCH B-2.1 B'!D40</f>
        <v>134496.91</v>
      </c>
      <c r="E41" s="52">
        <f>SUMIFS('PIS B'!$V$11:$V$112,'PIS B'!$B$11:$B$112,'SCH B-3 B'!$B41)</f>
        <v>-77439.69</v>
      </c>
      <c r="F41" s="66"/>
      <c r="G41" s="52">
        <f t="shared" ref="G41:G45" si="12">E41</f>
        <v>-77439.69</v>
      </c>
      <c r="H41" s="52">
        <v>0</v>
      </c>
      <c r="I41" s="52">
        <f t="shared" ref="I41:I45" si="13">SUM(G41:H41)</f>
        <v>-77439.69</v>
      </c>
    </row>
    <row r="42" spans="1:16" ht="18.95" customHeight="1">
      <c r="A42" s="34">
        <f t="shared" si="3"/>
        <v>27</v>
      </c>
      <c r="B42" s="35">
        <v>375</v>
      </c>
      <c r="C42" s="42" t="s">
        <v>42</v>
      </c>
      <c r="D42" s="52">
        <f>'SCH B-2.1 B'!D41</f>
        <v>1155812.4299999899</v>
      </c>
      <c r="E42" s="52">
        <f>SUMIFS('PIS B'!$V$11:$V$112,'PIS B'!$B$11:$B$112,'SCH B-3 B'!$B42)</f>
        <v>-367587.26153397717</v>
      </c>
      <c r="F42" s="66"/>
      <c r="G42" s="52">
        <f t="shared" si="12"/>
        <v>-367587.26153397717</v>
      </c>
      <c r="H42" s="52">
        <v>0</v>
      </c>
      <c r="I42" s="52">
        <f t="shared" si="13"/>
        <v>-367587.26153397717</v>
      </c>
    </row>
    <row r="43" spans="1:16" ht="18.95" customHeight="1">
      <c r="A43" s="34">
        <f t="shared" si="3"/>
        <v>28</v>
      </c>
      <c r="B43" s="35">
        <v>376</v>
      </c>
      <c r="C43" s="42" t="s">
        <v>609</v>
      </c>
      <c r="D43" s="52">
        <f>'SCH B-2.1 B'!D42</f>
        <v>417259204.11000001</v>
      </c>
      <c r="E43" s="52">
        <f>SUMIFS('PIS B'!$V$11:$V$112,'PIS B'!$B$11:$B$112,'SCH B-3 B'!$B43)</f>
        <v>-127771762.97111957</v>
      </c>
      <c r="F43" s="66"/>
      <c r="G43" s="52">
        <f t="shared" si="12"/>
        <v>-127771762.97111957</v>
      </c>
      <c r="H43" s="52">
        <f>'SCH B-3.1'!F14</f>
        <v>1810154.648977</v>
      </c>
      <c r="I43" s="52">
        <f t="shared" si="13"/>
        <v>-125961608.32214257</v>
      </c>
    </row>
    <row r="44" spans="1:16" ht="18.95" customHeight="1">
      <c r="A44" s="34">
        <f t="shared" si="3"/>
        <v>29</v>
      </c>
      <c r="B44" s="35">
        <v>377</v>
      </c>
      <c r="C44" s="42" t="s">
        <v>602</v>
      </c>
      <c r="D44" s="52">
        <f>'SCH B-2.1 B'!D43</f>
        <v>0</v>
      </c>
      <c r="E44" s="52">
        <f>SUMIFS('PIS B'!$V$11:$V$112,'PIS B'!$B$11:$B$112,'SCH B-3 B'!$B44)</f>
        <v>0</v>
      </c>
      <c r="F44" s="66"/>
      <c r="G44" s="52">
        <f t="shared" si="12"/>
        <v>0</v>
      </c>
      <c r="H44" s="52">
        <v>0</v>
      </c>
      <c r="I44" s="52">
        <f t="shared" si="13"/>
        <v>0</v>
      </c>
    </row>
    <row r="45" spans="1:16" ht="18.95" customHeight="1">
      <c r="A45" s="34">
        <f t="shared" si="3"/>
        <v>30</v>
      </c>
      <c r="B45" s="35">
        <v>378</v>
      </c>
      <c r="C45" s="42" t="s">
        <v>613</v>
      </c>
      <c r="D45" s="52">
        <f>'SCH B-2.1 B'!D44</f>
        <v>22779896.84999999</v>
      </c>
      <c r="E45" s="52">
        <f>SUMIFS('PIS B'!$V$11:$V$112,'PIS B'!$B$11:$B$112,'SCH B-3 B'!$B45)</f>
        <v>-2429025.3369320291</v>
      </c>
      <c r="F45" s="66"/>
      <c r="G45" s="52">
        <f t="shared" si="12"/>
        <v>-2429025.3369320291</v>
      </c>
      <c r="H45" s="52">
        <v>0</v>
      </c>
      <c r="I45" s="52">
        <f t="shared" si="13"/>
        <v>-2429025.3369320291</v>
      </c>
    </row>
    <row r="46" spans="1:16" s="32" customFormat="1" ht="20.100000000000001" customHeight="1">
      <c r="A46" s="494" t="str">
        <f>$A$1</f>
        <v>LOUISVILLE GAS AND ELECTRIC COMPANY</v>
      </c>
      <c r="B46" s="494"/>
      <c r="C46" s="494"/>
      <c r="D46" s="494"/>
      <c r="E46" s="494"/>
      <c r="F46" s="494"/>
      <c r="G46" s="494"/>
      <c r="H46" s="494"/>
      <c r="I46" s="494"/>
    </row>
    <row r="47" spans="1:16" s="32" customFormat="1" ht="20.100000000000001" customHeight="1">
      <c r="A47" s="494" t="str">
        <f>$A$2</f>
        <v>CASE NO. 2016-00371 - GAS OPERATIONS</v>
      </c>
      <c r="B47" s="494"/>
      <c r="C47" s="494"/>
      <c r="D47" s="494"/>
      <c r="E47" s="494"/>
      <c r="F47" s="494"/>
      <c r="G47" s="494"/>
      <c r="H47" s="494"/>
      <c r="I47" s="494"/>
    </row>
    <row r="48" spans="1:16" s="32" customFormat="1" ht="20.100000000000001" customHeight="1">
      <c r="A48" s="494" t="str">
        <f>$A$3</f>
        <v>ACCUMULATED DEPRECIATION AND AMORTIZATION</v>
      </c>
      <c r="B48" s="494"/>
      <c r="C48" s="494"/>
      <c r="D48" s="494"/>
      <c r="E48" s="494"/>
      <c r="F48" s="494"/>
      <c r="G48" s="494"/>
      <c r="H48" s="494"/>
      <c r="I48" s="494"/>
    </row>
    <row r="49" spans="1:16" s="32" customFormat="1" ht="20.100000000000001" customHeight="1">
      <c r="A49" s="493" t="str">
        <f>$A$4</f>
        <v>AS OF FEBRUARY 28, 2017</v>
      </c>
      <c r="B49" s="494"/>
      <c r="C49" s="494"/>
      <c r="D49" s="494"/>
      <c r="E49" s="494"/>
      <c r="F49" s="494"/>
      <c r="G49" s="494"/>
      <c r="H49" s="494"/>
      <c r="I49" s="494"/>
    </row>
    <row r="50" spans="1:16" s="32" customFormat="1" ht="20.100000000000001" customHeight="1">
      <c r="A50" s="48"/>
      <c r="B50" s="48"/>
      <c r="C50" s="48"/>
      <c r="D50" s="48"/>
      <c r="E50" s="48"/>
      <c r="F50" s="48"/>
      <c r="G50" s="48"/>
      <c r="H50" s="48"/>
      <c r="I50" s="48"/>
    </row>
    <row r="51" spans="1:16" s="32" customFormat="1" ht="20.100000000000001" customHeight="1">
      <c r="A51" s="31" t="str">
        <f>$A$6</f>
        <v>DATA:__X__BASE  PERIOD____FORECASTED  PERIOD</v>
      </c>
      <c r="B51" s="31"/>
      <c r="H51" s="38"/>
      <c r="I51" s="39" t="str">
        <f>$I$6</f>
        <v>SCHEDULE B-3</v>
      </c>
    </row>
    <row r="52" spans="1:16" s="32" customFormat="1" ht="20.100000000000001" customHeight="1">
      <c r="A52" s="31" t="str">
        <f>$A$7</f>
        <v>TYPE OF FILING: __X__ ORIGINAL  _____ UPDATED  _____ REVISED</v>
      </c>
      <c r="H52" s="38"/>
      <c r="I52" s="38" t="s">
        <v>59</v>
      </c>
    </row>
    <row r="53" spans="1:16" s="32" customFormat="1" ht="20.100000000000001" customHeight="1">
      <c r="A53" s="31" t="str">
        <f>$A$8</f>
        <v>WORKPAPER REFERENCE NO(S).:</v>
      </c>
      <c r="B53" s="31"/>
      <c r="F53" s="31"/>
      <c r="G53" s="31"/>
      <c r="H53" s="39"/>
      <c r="I53" s="39" t="str">
        <f>$I$8</f>
        <v>WITNESS:   C. M. GARRETT</v>
      </c>
    </row>
    <row r="54" spans="1:16" s="32" customFormat="1" ht="20.100000000000001" customHeight="1"/>
    <row r="55" spans="1:16" s="32" customFormat="1" ht="20.100000000000001" customHeight="1">
      <c r="A55" s="59"/>
      <c r="B55" s="59"/>
      <c r="C55" s="59"/>
      <c r="D55" s="59"/>
      <c r="E55" s="496" t="s">
        <v>156</v>
      </c>
      <c r="F55" s="496"/>
      <c r="G55" s="496"/>
      <c r="H55" s="496"/>
      <c r="I55" s="496"/>
    </row>
    <row r="56" spans="1:16" ht="69.95" customHeight="1">
      <c r="A56" s="35" t="s">
        <v>29</v>
      </c>
      <c r="B56" s="35" t="s">
        <v>32</v>
      </c>
      <c r="C56" s="42" t="s">
        <v>33</v>
      </c>
      <c r="D56" s="35" t="s">
        <v>154</v>
      </c>
      <c r="E56" s="35" t="s">
        <v>155</v>
      </c>
      <c r="F56" s="35" t="s">
        <v>111</v>
      </c>
      <c r="G56" s="35" t="s">
        <v>112</v>
      </c>
      <c r="H56" s="35" t="s">
        <v>113</v>
      </c>
      <c r="I56" s="35" t="s">
        <v>114</v>
      </c>
    </row>
    <row r="57" spans="1:16" ht="23.1" customHeight="1">
      <c r="A57" s="44"/>
      <c r="B57" s="44"/>
      <c r="C57" s="45"/>
      <c r="D57" s="46" t="s">
        <v>40</v>
      </c>
      <c r="E57" s="46" t="s">
        <v>40</v>
      </c>
      <c r="F57" s="131">
        <v>1</v>
      </c>
      <c r="G57" s="46" t="s">
        <v>40</v>
      </c>
      <c r="H57" s="46" t="s">
        <v>40</v>
      </c>
      <c r="I57" s="46" t="s">
        <v>40</v>
      </c>
    </row>
    <row r="58" spans="1:16" ht="18.95" customHeight="1">
      <c r="A58" s="34">
        <f>A45+1</f>
        <v>31</v>
      </c>
      <c r="B58" s="35">
        <v>379</v>
      </c>
      <c r="C58" s="42" t="s">
        <v>614</v>
      </c>
      <c r="D58" s="52">
        <f>'SCH B-2.1 B'!D56</f>
        <v>11878755.74</v>
      </c>
      <c r="E58" s="52">
        <f>SUMIFS('PIS B'!$V$11:$V$112,'PIS B'!$B$11:$B$112,'SCH B-3 B'!$B58)</f>
        <v>-1304215.6465812086</v>
      </c>
      <c r="F58" s="66"/>
      <c r="G58" s="52">
        <f t="shared" ref="G58:G64" si="14">E58</f>
        <v>-1304215.6465812086</v>
      </c>
      <c r="H58" s="52">
        <v>0</v>
      </c>
      <c r="I58" s="52">
        <f t="shared" ref="I58:I64" si="15">SUM(G58:H58)</f>
        <v>-1304215.6465812086</v>
      </c>
    </row>
    <row r="59" spans="1:16" ht="18.95" customHeight="1">
      <c r="A59" s="34">
        <f>A58+1</f>
        <v>32</v>
      </c>
      <c r="B59" s="35">
        <v>380</v>
      </c>
      <c r="C59" s="42" t="s">
        <v>417</v>
      </c>
      <c r="D59" s="52">
        <f>'SCH B-2.1 B'!D57</f>
        <v>361958280.86000001</v>
      </c>
      <c r="E59" s="52">
        <f>SUMIFS('PIS B'!$V$11:$V$112,'PIS B'!$B$11:$B$112,'SCH B-3 B'!$B59)</f>
        <v>-103411970.75661573</v>
      </c>
      <c r="F59" s="66"/>
      <c r="G59" s="52">
        <f t="shared" si="14"/>
        <v>-103411970.75661573</v>
      </c>
      <c r="H59" s="52">
        <f>'SCH B-3.1'!F15</f>
        <v>7505654.4230000013</v>
      </c>
      <c r="I59" s="52">
        <f t="shared" si="15"/>
        <v>-95906316.33361572</v>
      </c>
    </row>
    <row r="60" spans="1:16" ht="18.95" customHeight="1">
      <c r="A60" s="34">
        <f t="shared" ref="A60:A65" si="16">A59+1</f>
        <v>33</v>
      </c>
      <c r="B60" s="35">
        <v>381</v>
      </c>
      <c r="C60" s="42" t="s">
        <v>418</v>
      </c>
      <c r="D60" s="52">
        <f>'SCH B-2.1 B'!D58</f>
        <v>51252660.240000002</v>
      </c>
      <c r="E60" s="52">
        <f>SUMIFS('PIS B'!$V$11:$V$112,'PIS B'!$B$11:$B$112,'SCH B-3 B'!$B60)</f>
        <v>-14259617.992956202</v>
      </c>
      <c r="F60" s="66"/>
      <c r="G60" s="52">
        <f t="shared" si="14"/>
        <v>-14259617.992956202</v>
      </c>
      <c r="H60" s="52">
        <v>0</v>
      </c>
      <c r="I60" s="52">
        <f t="shared" si="15"/>
        <v>-14259617.992956202</v>
      </c>
    </row>
    <row r="61" spans="1:16" ht="18.95" customHeight="1">
      <c r="A61" s="34">
        <f t="shared" si="16"/>
        <v>34</v>
      </c>
      <c r="B61" s="35">
        <v>383</v>
      </c>
      <c r="C61" s="42" t="s">
        <v>615</v>
      </c>
      <c r="D61" s="52">
        <f>'SCH B-2.1 B'!D59</f>
        <v>25550379.959999997</v>
      </c>
      <c r="E61" s="52">
        <f>SUMIFS('PIS B'!$V$11:$V$112,'PIS B'!$B$11:$B$112,'SCH B-3 B'!$B61)</f>
        <v>-4816022.0691860002</v>
      </c>
      <c r="F61" s="66"/>
      <c r="G61" s="52">
        <f t="shared" si="14"/>
        <v>-4816022.0691860002</v>
      </c>
      <c r="H61" s="52">
        <v>0</v>
      </c>
      <c r="I61" s="52">
        <f t="shared" si="15"/>
        <v>-4816022.0691860002</v>
      </c>
    </row>
    <row r="62" spans="1:16" ht="18.95" customHeight="1">
      <c r="A62" s="34">
        <f t="shared" si="16"/>
        <v>35</v>
      </c>
      <c r="B62" s="35">
        <v>385</v>
      </c>
      <c r="C62" s="42" t="s">
        <v>616</v>
      </c>
      <c r="D62" s="52">
        <f>'SCH B-2.1 B'!D60</f>
        <v>1540255.4900000002</v>
      </c>
      <c r="E62" s="52">
        <f>SUMIFS('PIS B'!$V$11:$V$112,'PIS B'!$B$11:$B$112,'SCH B-3 B'!$B62)</f>
        <v>-136994.47663015008</v>
      </c>
      <c r="F62" s="66"/>
      <c r="G62" s="52">
        <f t="shared" si="14"/>
        <v>-136994.47663015008</v>
      </c>
      <c r="H62" s="52">
        <v>0</v>
      </c>
      <c r="I62" s="52">
        <f t="shared" si="15"/>
        <v>-136994.47663015008</v>
      </c>
      <c r="L62" s="67"/>
      <c r="M62" s="67"/>
      <c r="N62" s="67"/>
      <c r="O62" s="67"/>
      <c r="P62" s="68"/>
    </row>
    <row r="63" spans="1:16" ht="18.95" customHeight="1">
      <c r="A63" s="34">
        <f t="shared" si="16"/>
        <v>36</v>
      </c>
      <c r="B63" s="35">
        <v>387</v>
      </c>
      <c r="C63" s="42" t="s">
        <v>605</v>
      </c>
      <c r="D63" s="52">
        <f>'SCH B-2.1 B'!D61</f>
        <v>344432.66999999969</v>
      </c>
      <c r="E63" s="52">
        <f>SUMIFS('PIS B'!$V$11:$V$112,'PIS B'!$B$11:$B$112,'SCH B-3 B'!$B63)</f>
        <v>-30545.991735505406</v>
      </c>
      <c r="F63" s="66"/>
      <c r="G63" s="52">
        <f t="shared" si="14"/>
        <v>-30545.991735505406</v>
      </c>
      <c r="H63" s="52">
        <v>0</v>
      </c>
      <c r="I63" s="52">
        <f t="shared" si="15"/>
        <v>-30545.991735505406</v>
      </c>
    </row>
    <row r="64" spans="1:16" ht="18.95" customHeight="1">
      <c r="A64" s="34">
        <f t="shared" si="16"/>
        <v>37</v>
      </c>
      <c r="B64" s="35">
        <v>388</v>
      </c>
      <c r="C64" s="42" t="s">
        <v>617</v>
      </c>
      <c r="D64" s="53">
        <f>'SCH B-2.1 B'!D62</f>
        <v>10475152.659999998</v>
      </c>
      <c r="E64" s="53">
        <f>SUMIFS('PIS B'!$V$11:$V$112,'PIS B'!$B$11:$B$112,'SCH B-3 B'!$B64)</f>
        <v>-1462931.7442399899</v>
      </c>
      <c r="F64" s="66"/>
      <c r="G64" s="53">
        <f t="shared" si="14"/>
        <v>-1462931.7442399899</v>
      </c>
      <c r="H64" s="53">
        <f>'SCH B-3.1'!F16</f>
        <v>1462931.7442399899</v>
      </c>
      <c r="I64" s="53">
        <f t="shared" si="15"/>
        <v>0</v>
      </c>
    </row>
    <row r="65" spans="1:16" ht="18.95" customHeight="1">
      <c r="A65" s="34">
        <f t="shared" si="16"/>
        <v>38</v>
      </c>
      <c r="C65" s="42" t="s">
        <v>618</v>
      </c>
      <c r="D65" s="52">
        <f>SUM(D41:D45,D58:D64)</f>
        <v>904329327.91999996</v>
      </c>
      <c r="E65" s="52">
        <f>SUM(E41:E45,E58:E64)</f>
        <v>-256068113.93753034</v>
      </c>
      <c r="F65" s="66"/>
      <c r="G65" s="52">
        <f t="shared" ref="G65:I65" si="17">SUM(G41:G45,G58:G64)</f>
        <v>-256068113.93753034</v>
      </c>
      <c r="H65" s="52">
        <f t="shared" si="17"/>
        <v>10778740.81621699</v>
      </c>
      <c r="I65" s="52">
        <f t="shared" si="17"/>
        <v>-245289373.12131336</v>
      </c>
    </row>
    <row r="66" spans="1:16" ht="18.95" customHeight="1">
      <c r="A66" s="34"/>
      <c r="D66" s="52"/>
      <c r="E66" s="52"/>
      <c r="F66" s="66"/>
      <c r="G66" s="52"/>
      <c r="H66" s="52"/>
      <c r="I66" s="52"/>
    </row>
    <row r="67" spans="1:16" ht="18.95" customHeight="1">
      <c r="A67" s="34">
        <f>A65+1</f>
        <v>39</v>
      </c>
      <c r="B67" s="129" t="s">
        <v>545</v>
      </c>
      <c r="C67" s="54" t="s">
        <v>563</v>
      </c>
      <c r="D67" s="52"/>
      <c r="E67" s="52"/>
      <c r="F67" s="66"/>
      <c r="G67" s="52"/>
      <c r="H67" s="52"/>
      <c r="I67" s="52"/>
    </row>
    <row r="68" spans="1:16" ht="18.95" customHeight="1">
      <c r="A68" s="34">
        <f t="shared" ref="A68:A70" si="18">A67+1</f>
        <v>40</v>
      </c>
      <c r="B68" s="35" t="s">
        <v>419</v>
      </c>
      <c r="C68" s="42" t="s">
        <v>43</v>
      </c>
      <c r="D68" s="52">
        <f>'SCH B-2.1 B'!D66</f>
        <v>0</v>
      </c>
      <c r="E68" s="50">
        <f>SUMIFS('PIS B'!$V$11:$V$112,'PIS B'!$A$11:$A$112,$B$67,'PIS B'!$B$11:$B$112,$B68)</f>
        <v>0</v>
      </c>
      <c r="F68" s="66"/>
      <c r="G68" s="52">
        <f t="shared" ref="G68:G77" si="19">E68</f>
        <v>0</v>
      </c>
      <c r="H68" s="52">
        <v>0</v>
      </c>
      <c r="I68" s="52">
        <f t="shared" ref="I68:I77" si="20">SUM(G68:H68)</f>
        <v>0</v>
      </c>
    </row>
    <row r="69" spans="1:16" ht="18.95" customHeight="1">
      <c r="A69" s="34">
        <f t="shared" si="18"/>
        <v>41</v>
      </c>
      <c r="B69" s="35" t="s">
        <v>420</v>
      </c>
      <c r="C69" s="42" t="s">
        <v>42</v>
      </c>
      <c r="D69" s="52">
        <f>'SCH B-2.1 B'!D67</f>
        <v>0</v>
      </c>
      <c r="E69" s="52">
        <f>SUMIFS('PIS B'!$V$11:$V$112,'PIS B'!$A$11:$A$112,$B$67,'PIS B'!$B$11:$B$112,$B69)</f>
        <v>0</v>
      </c>
      <c r="F69" s="66"/>
      <c r="G69" s="52">
        <f t="shared" si="19"/>
        <v>0</v>
      </c>
      <c r="H69" s="52">
        <v>0</v>
      </c>
      <c r="I69" s="52">
        <f t="shared" si="20"/>
        <v>0</v>
      </c>
    </row>
    <row r="70" spans="1:16" ht="18.95" customHeight="1">
      <c r="A70" s="34">
        <f t="shared" si="18"/>
        <v>42</v>
      </c>
      <c r="B70" s="35" t="s">
        <v>421</v>
      </c>
      <c r="C70" s="42" t="s">
        <v>45</v>
      </c>
      <c r="D70" s="52">
        <f>'SCH B-2.1 B'!D68</f>
        <v>0</v>
      </c>
      <c r="E70" s="52">
        <f>SUMIFS('PIS B'!$V$11:$V$112,'PIS B'!$A$11:$A$112,$B$67,'PIS B'!$B$11:$B$112,$B70)</f>
        <v>0</v>
      </c>
      <c r="F70" s="66"/>
      <c r="G70" s="52">
        <f t="shared" si="19"/>
        <v>0</v>
      </c>
      <c r="H70" s="52">
        <v>0</v>
      </c>
      <c r="I70" s="52">
        <f t="shared" si="20"/>
        <v>0</v>
      </c>
    </row>
    <row r="71" spans="1:16" ht="18.95" customHeight="1">
      <c r="A71" s="34">
        <f>A70+1</f>
        <v>43</v>
      </c>
      <c r="B71" s="35" t="s">
        <v>422</v>
      </c>
      <c r="C71" s="42" t="s">
        <v>44</v>
      </c>
      <c r="D71" s="52">
        <f>'SCH B-2.1 B'!D69</f>
        <v>1916379.34</v>
      </c>
      <c r="E71" s="52">
        <f>SUMIFS('PIS B'!$V$11:$V$112,'PIS B'!$A$11:$A$112,$B$67,'PIS B'!$B$11:$B$112,$B71)</f>
        <v>-859745.35568039992</v>
      </c>
      <c r="F71" s="66"/>
      <c r="G71" s="52">
        <f t="shared" si="19"/>
        <v>-859745.35568039992</v>
      </c>
      <c r="H71" s="52">
        <v>0</v>
      </c>
      <c r="I71" s="52">
        <f t="shared" si="20"/>
        <v>-859745.35568039992</v>
      </c>
    </row>
    <row r="72" spans="1:16" ht="18.95" customHeight="1">
      <c r="A72" s="34">
        <f t="shared" ref="A72:A78" si="21">A71+1</f>
        <v>44</v>
      </c>
      <c r="B72" s="35" t="s">
        <v>423</v>
      </c>
      <c r="C72" s="42" t="s">
        <v>424</v>
      </c>
      <c r="D72" s="52">
        <f>'SCH B-2.1 B'!D70</f>
        <v>0</v>
      </c>
      <c r="E72" s="52">
        <f>SUMIFS('PIS B'!$V$11:$V$112,'PIS B'!$A$11:$A$112,$B$67,'PIS B'!$B$11:$B$112,$B72)</f>
        <v>0</v>
      </c>
      <c r="F72" s="66"/>
      <c r="G72" s="52">
        <f t="shared" si="19"/>
        <v>0</v>
      </c>
      <c r="H72" s="52">
        <v>0</v>
      </c>
      <c r="I72" s="52">
        <f t="shared" si="20"/>
        <v>0</v>
      </c>
    </row>
    <row r="73" spans="1:16" ht="18.95" customHeight="1">
      <c r="A73" s="34">
        <f t="shared" si="21"/>
        <v>45</v>
      </c>
      <c r="B73" s="35" t="s">
        <v>425</v>
      </c>
      <c r="C73" s="42" t="s">
        <v>426</v>
      </c>
      <c r="D73" s="52">
        <f>'SCH B-2.1 B'!D71</f>
        <v>6905086.3900000006</v>
      </c>
      <c r="E73" s="52">
        <f>SUMIFS('PIS B'!$V$11:$V$112,'PIS B'!$A$11:$A$112,$B$67,'PIS B'!$B$11:$B$112,$B73)</f>
        <v>-2663124.74645</v>
      </c>
      <c r="F73" s="66"/>
      <c r="G73" s="52">
        <f t="shared" si="19"/>
        <v>-2663124.74645</v>
      </c>
      <c r="H73" s="52">
        <v>0</v>
      </c>
      <c r="I73" s="52">
        <f t="shared" si="20"/>
        <v>-2663124.74645</v>
      </c>
    </row>
    <row r="74" spans="1:16" ht="18.95" customHeight="1">
      <c r="A74" s="34">
        <f t="shared" si="21"/>
        <v>46</v>
      </c>
      <c r="B74" s="35" t="s">
        <v>427</v>
      </c>
      <c r="C74" s="42" t="s">
        <v>428</v>
      </c>
      <c r="D74" s="52">
        <f>'SCH B-2.1 B'!D72</f>
        <v>0</v>
      </c>
      <c r="E74" s="52">
        <f>SUMIFS('PIS B'!$V$11:$V$112,'PIS B'!$A$11:$A$112,$B$67,'PIS B'!$B$11:$B$112,$B74)</f>
        <v>0</v>
      </c>
      <c r="F74" s="66"/>
      <c r="G74" s="52">
        <f t="shared" si="19"/>
        <v>0</v>
      </c>
      <c r="H74" s="52">
        <v>0</v>
      </c>
      <c r="I74" s="52">
        <f t="shared" si="20"/>
        <v>0</v>
      </c>
      <c r="L74" s="67"/>
      <c r="M74" s="67"/>
      <c r="N74" s="67"/>
      <c r="O74" s="67"/>
      <c r="P74" s="68"/>
    </row>
    <row r="75" spans="1:16" ht="18.95" customHeight="1">
      <c r="A75" s="34">
        <f t="shared" si="21"/>
        <v>47</v>
      </c>
      <c r="B75" s="35" t="s">
        <v>429</v>
      </c>
      <c r="C75" s="42" t="s">
        <v>430</v>
      </c>
      <c r="D75" s="52">
        <f>'SCH B-2.1 B'!D73</f>
        <v>3771229.42</v>
      </c>
      <c r="E75" s="52">
        <f>SUMIFS('PIS B'!$V$11:$V$112,'PIS B'!$A$11:$A$112,$B$67,'PIS B'!$B$11:$B$112,$B75)</f>
        <v>-2421969.4913152903</v>
      </c>
      <c r="F75" s="66"/>
      <c r="G75" s="52">
        <f t="shared" si="19"/>
        <v>-2421969.4913152903</v>
      </c>
      <c r="H75" s="52">
        <v>0</v>
      </c>
      <c r="I75" s="52">
        <f t="shared" si="20"/>
        <v>-2421969.4913152903</v>
      </c>
    </row>
    <row r="76" spans="1:16" ht="18.95" customHeight="1">
      <c r="A76" s="34">
        <f t="shared" si="21"/>
        <v>48</v>
      </c>
      <c r="B76" s="35" t="s">
        <v>431</v>
      </c>
      <c r="C76" s="42" t="s">
        <v>46</v>
      </c>
      <c r="D76" s="52">
        <f>'SCH B-2.1 B'!D74</f>
        <v>0</v>
      </c>
      <c r="E76" s="52">
        <f>SUMIFS('PIS B'!$V$11:$V$112,'PIS B'!$A$11:$A$112,$B$67,'PIS B'!$B$11:$B$112,$B76)</f>
        <v>0</v>
      </c>
      <c r="F76" s="66"/>
      <c r="G76" s="52">
        <f t="shared" si="19"/>
        <v>0</v>
      </c>
      <c r="H76" s="52">
        <v>0</v>
      </c>
      <c r="I76" s="52">
        <f t="shared" si="20"/>
        <v>0</v>
      </c>
    </row>
    <row r="77" spans="1:16" ht="18.95" customHeight="1">
      <c r="A77" s="34">
        <f t="shared" si="21"/>
        <v>49</v>
      </c>
      <c r="B77" s="35" t="s">
        <v>432</v>
      </c>
      <c r="C77" s="42" t="s">
        <v>433</v>
      </c>
      <c r="D77" s="53">
        <f>'SCH B-2.1 B'!D75</f>
        <v>0</v>
      </c>
      <c r="E77" s="53">
        <f>SUMIFS('PIS B'!$V$11:$V$112,'PIS B'!$A$11:$A$112,$B$67,'PIS B'!$B$11:$B$112,$B77)</f>
        <v>0</v>
      </c>
      <c r="F77" s="66"/>
      <c r="G77" s="53">
        <f t="shared" si="19"/>
        <v>0</v>
      </c>
      <c r="H77" s="53">
        <v>0</v>
      </c>
      <c r="I77" s="53">
        <f t="shared" si="20"/>
        <v>0</v>
      </c>
    </row>
    <row r="78" spans="1:16" ht="18.95" customHeight="1">
      <c r="A78" s="34">
        <f t="shared" si="21"/>
        <v>50</v>
      </c>
      <c r="B78" s="35"/>
      <c r="C78" s="42" t="s">
        <v>619</v>
      </c>
      <c r="D78" s="52">
        <f>SUM(D68:D77)</f>
        <v>12592695.15</v>
      </c>
      <c r="E78" s="52">
        <f>SUM(E68:E77)</f>
        <v>-5944839.5934456903</v>
      </c>
      <c r="F78" s="66"/>
      <c r="G78" s="52">
        <f>SUM(G68:G77)</f>
        <v>-5944839.5934456903</v>
      </c>
      <c r="H78" s="52">
        <f>SUM(H68:H77)</f>
        <v>0</v>
      </c>
      <c r="I78" s="52">
        <f>SUM(I68:I77)</f>
        <v>-5944839.5934456903</v>
      </c>
    </row>
    <row r="79" spans="1:16" ht="18.95" customHeight="1">
      <c r="A79" s="34"/>
      <c r="B79" s="35"/>
      <c r="D79" s="52"/>
      <c r="E79" s="52"/>
      <c r="F79" s="66"/>
      <c r="G79" s="52"/>
      <c r="H79" s="52"/>
      <c r="I79" s="52"/>
    </row>
    <row r="80" spans="1:16" ht="18.95" customHeight="1">
      <c r="A80" s="34">
        <f>A78+1</f>
        <v>51</v>
      </c>
      <c r="B80" s="129" t="s">
        <v>452</v>
      </c>
      <c r="C80" s="54" t="s">
        <v>502</v>
      </c>
      <c r="D80" s="52"/>
      <c r="E80" s="52"/>
      <c r="F80" s="66"/>
      <c r="G80" s="52"/>
      <c r="H80" s="52"/>
      <c r="I80" s="52"/>
    </row>
    <row r="81" spans="1:16" ht="18.95" customHeight="1">
      <c r="A81" s="34">
        <f>A80+1</f>
        <v>52</v>
      </c>
      <c r="B81" s="35" t="s">
        <v>411</v>
      </c>
      <c r="C81" s="42" t="s">
        <v>412</v>
      </c>
      <c r="D81" s="52">
        <f>'SCH B-2.1 B'!D79</f>
        <v>25134.686999999973</v>
      </c>
      <c r="E81" s="50">
        <f>SUMIFS('PIS B'!$V$11:$V$112,'PIS B'!$A$11:$A$112,$B$80,'PIS B'!$B$11:$B$112,$B81)</f>
        <v>0</v>
      </c>
      <c r="F81" s="66"/>
      <c r="G81" s="52">
        <f t="shared" ref="G81:G90" si="22">E81</f>
        <v>0</v>
      </c>
      <c r="H81" s="52">
        <v>0</v>
      </c>
      <c r="I81" s="52">
        <f t="shared" ref="I81:I90" si="23">SUM(G81:H81)</f>
        <v>0</v>
      </c>
    </row>
    <row r="82" spans="1:16" ht="18.95" customHeight="1">
      <c r="A82" s="34">
        <f t="shared" ref="A82:A83" si="24">A81+1</f>
        <v>53</v>
      </c>
      <c r="B82" s="35" t="s">
        <v>413</v>
      </c>
      <c r="C82" s="42" t="s">
        <v>414</v>
      </c>
      <c r="D82" s="52">
        <f>'SCH B-2.1 B'!D80</f>
        <v>0</v>
      </c>
      <c r="E82" s="50">
        <f>SUMIFS('PIS B'!$V$11:$V$112,'PIS B'!$A$11:$A$112,$B$80,'PIS B'!$B$11:$B$112,$B82)</f>
        <v>0</v>
      </c>
      <c r="F82" s="66"/>
      <c r="G82" s="52">
        <f t="shared" si="22"/>
        <v>0</v>
      </c>
      <c r="H82" s="52">
        <v>0</v>
      </c>
      <c r="I82" s="52">
        <f t="shared" si="23"/>
        <v>0</v>
      </c>
    </row>
    <row r="83" spans="1:16" ht="18.95" customHeight="1">
      <c r="A83" s="34">
        <f t="shared" si="24"/>
        <v>54</v>
      </c>
      <c r="B83" s="35" t="s">
        <v>415</v>
      </c>
      <c r="C83" s="42" t="s">
        <v>416</v>
      </c>
      <c r="D83" s="52">
        <f>'SCH B-2.1 B'!D81</f>
        <v>30567512.666999996</v>
      </c>
      <c r="E83" s="50">
        <f>SUMIFS('PIS B'!$V$11:$V$112,'PIS B'!$A$11:$A$112,$B$80,'PIS B'!$B$11:$B$112,$B83)</f>
        <v>-16007376.232109968</v>
      </c>
      <c r="F83" s="66"/>
      <c r="G83" s="52">
        <f t="shared" si="22"/>
        <v>-16007376.232109968</v>
      </c>
      <c r="H83" s="52">
        <v>0</v>
      </c>
      <c r="I83" s="52">
        <f t="shared" si="23"/>
        <v>-16007376.232109968</v>
      </c>
    </row>
    <row r="84" spans="1:16" ht="18.95" customHeight="1">
      <c r="A84" s="34">
        <f>A83+1</f>
        <v>55</v>
      </c>
      <c r="B84" s="35" t="s">
        <v>419</v>
      </c>
      <c r="C84" s="42" t="s">
        <v>43</v>
      </c>
      <c r="D84" s="52">
        <f>'SCH B-2.1 B'!D82</f>
        <v>529946.79299999995</v>
      </c>
      <c r="E84" s="50">
        <f>SUMIFS('PIS B'!$V$11:$V$112,'PIS B'!$A$11:$A$112,$B$80,'PIS B'!$B$11:$B$112,$B84)</f>
        <v>-42248.573999999993</v>
      </c>
      <c r="F84" s="66"/>
      <c r="G84" s="52">
        <f t="shared" si="22"/>
        <v>-42248.573999999993</v>
      </c>
      <c r="H84" s="52">
        <v>0</v>
      </c>
      <c r="I84" s="52">
        <f t="shared" si="23"/>
        <v>-42248.573999999993</v>
      </c>
    </row>
    <row r="85" spans="1:16" ht="18.95" customHeight="1">
      <c r="A85" s="34">
        <f t="shared" ref="A85:A90" si="25">A84+1</f>
        <v>56</v>
      </c>
      <c r="B85" s="35" t="s">
        <v>420</v>
      </c>
      <c r="C85" s="42" t="s">
        <v>42</v>
      </c>
      <c r="D85" s="52">
        <f>'SCH B-2.1 B'!D83</f>
        <v>24057509.621999972</v>
      </c>
      <c r="E85" s="50">
        <f>SUMIFS('PIS B'!$V$11:$V$112,'PIS B'!$A$11:$A$112,$B$80,'PIS B'!$B$11:$B$112,$B85)</f>
        <v>-10550452.639616491</v>
      </c>
      <c r="F85" s="66"/>
      <c r="G85" s="52">
        <f t="shared" si="22"/>
        <v>-10550452.639616491</v>
      </c>
      <c r="H85" s="52">
        <v>0</v>
      </c>
      <c r="I85" s="52">
        <f t="shared" si="23"/>
        <v>-10550452.639616491</v>
      </c>
    </row>
    <row r="86" spans="1:16" ht="18.95" customHeight="1">
      <c r="A86" s="34">
        <f t="shared" si="25"/>
        <v>57</v>
      </c>
      <c r="B86" s="35" t="s">
        <v>421</v>
      </c>
      <c r="C86" s="42" t="s">
        <v>45</v>
      </c>
      <c r="D86" s="52">
        <f>'SCH B-2.1 B'!D84</f>
        <v>12800052.009</v>
      </c>
      <c r="E86" s="50">
        <f>SUMIFS('PIS B'!$V$11:$V$112,'PIS B'!$A$11:$A$112,$B$80,'PIS B'!$B$11:$B$112,$B86)</f>
        <v>-4842606.6697134003</v>
      </c>
      <c r="F86" s="66"/>
      <c r="G86" s="52">
        <f t="shared" si="22"/>
        <v>-4842606.6697134003</v>
      </c>
      <c r="H86" s="52">
        <v>0</v>
      </c>
      <c r="I86" s="52">
        <f t="shared" si="23"/>
        <v>-4842606.6697134003</v>
      </c>
    </row>
    <row r="87" spans="1:16" ht="18.95" customHeight="1">
      <c r="A87" s="34">
        <f t="shared" si="25"/>
        <v>58</v>
      </c>
      <c r="B87" s="35" t="s">
        <v>422</v>
      </c>
      <c r="C87" s="42" t="s">
        <v>44</v>
      </c>
      <c r="D87" s="52">
        <f>'SCH B-2.1 B'!D85</f>
        <v>82252.911000000007</v>
      </c>
      <c r="E87" s="50">
        <f>SUMIFS('PIS B'!$V$11:$V$112,'PIS B'!$A$11:$A$112,$B$80,'PIS B'!$B$11:$B$112,$B87)</f>
        <v>-57771.618981929998</v>
      </c>
      <c r="F87" s="66"/>
      <c r="G87" s="52">
        <f t="shared" si="22"/>
        <v>-57771.618981929998</v>
      </c>
      <c r="H87" s="52">
        <v>0</v>
      </c>
      <c r="I87" s="52">
        <f t="shared" si="23"/>
        <v>-57771.618981929998</v>
      </c>
    </row>
    <row r="88" spans="1:16" ht="18.95" customHeight="1">
      <c r="A88" s="34">
        <f t="shared" si="25"/>
        <v>59</v>
      </c>
      <c r="B88" s="35" t="s">
        <v>423</v>
      </c>
      <c r="C88" s="42" t="s">
        <v>424</v>
      </c>
      <c r="D88" s="52">
        <f>'SCH B-2.1 B'!D86</f>
        <v>441322.50599999999</v>
      </c>
      <c r="E88" s="50">
        <f>SUMIFS('PIS B'!$V$11:$V$112,'PIS B'!$A$11:$A$112,$B$80,'PIS B'!$B$11:$B$112,$B88)</f>
        <v>-278521.62992459995</v>
      </c>
      <c r="F88" s="66"/>
      <c r="G88" s="52">
        <f t="shared" si="22"/>
        <v>-278521.62992459995</v>
      </c>
      <c r="H88" s="52">
        <v>0</v>
      </c>
      <c r="I88" s="52">
        <f t="shared" si="23"/>
        <v>-278521.62992459995</v>
      </c>
    </row>
    <row r="89" spans="1:16" ht="18.95" customHeight="1">
      <c r="A89" s="34">
        <f t="shared" si="25"/>
        <v>60</v>
      </c>
      <c r="B89" s="35" t="s">
        <v>425</v>
      </c>
      <c r="C89" s="42" t="s">
        <v>426</v>
      </c>
      <c r="D89" s="52">
        <f>'SCH B-2.1 B'!D87</f>
        <v>1209629.574</v>
      </c>
      <c r="E89" s="50">
        <f>SUMIFS('PIS B'!$V$11:$V$112,'PIS B'!$A$11:$A$112,$B$80,'PIS B'!$B$11:$B$112,$B89)</f>
        <v>-672545.63718900003</v>
      </c>
      <c r="F89" s="66"/>
      <c r="G89" s="52">
        <f t="shared" si="22"/>
        <v>-672545.63718900003</v>
      </c>
      <c r="H89" s="52">
        <v>0</v>
      </c>
      <c r="I89" s="52">
        <f t="shared" si="23"/>
        <v>-672545.63718900003</v>
      </c>
      <c r="L89" s="67"/>
      <c r="M89" s="67"/>
      <c r="N89" s="67"/>
      <c r="O89" s="67"/>
      <c r="P89" s="68"/>
    </row>
    <row r="90" spans="1:16" ht="18.95" customHeight="1">
      <c r="A90" s="34">
        <f t="shared" si="25"/>
        <v>61</v>
      </c>
      <c r="B90" s="35" t="s">
        <v>427</v>
      </c>
      <c r="C90" s="42" t="s">
        <v>428</v>
      </c>
      <c r="D90" s="52">
        <f>'SCH B-2.1 B'!D88</f>
        <v>0</v>
      </c>
      <c r="E90" s="50">
        <f>SUMIFS('PIS B'!$V$11:$V$112,'PIS B'!$A$11:$A$112,$B$80,'PIS B'!$B$11:$B$112,$B90)</f>
        <v>0</v>
      </c>
      <c r="F90" s="66"/>
      <c r="G90" s="52">
        <f t="shared" si="22"/>
        <v>0</v>
      </c>
      <c r="H90" s="52">
        <v>0</v>
      </c>
      <c r="I90" s="52">
        <f t="shared" si="23"/>
        <v>0</v>
      </c>
      <c r="L90" s="67"/>
      <c r="M90" s="67"/>
      <c r="N90" s="67"/>
      <c r="O90" s="67"/>
      <c r="P90" s="68"/>
    </row>
    <row r="91" spans="1:16" s="32" customFormat="1" ht="20.100000000000001" customHeight="1">
      <c r="A91" s="494" t="str">
        <f>$A$1</f>
        <v>LOUISVILLE GAS AND ELECTRIC COMPANY</v>
      </c>
      <c r="B91" s="494"/>
      <c r="C91" s="494"/>
      <c r="D91" s="494"/>
      <c r="E91" s="494"/>
      <c r="F91" s="494"/>
      <c r="G91" s="494"/>
      <c r="H91" s="494"/>
      <c r="I91" s="494"/>
    </row>
    <row r="92" spans="1:16" s="32" customFormat="1" ht="20.100000000000001" customHeight="1">
      <c r="A92" s="494" t="str">
        <f>$A$2</f>
        <v>CASE NO. 2016-00371 - GAS OPERATIONS</v>
      </c>
      <c r="B92" s="494"/>
      <c r="C92" s="494"/>
      <c r="D92" s="494"/>
      <c r="E92" s="494"/>
      <c r="F92" s="494"/>
      <c r="G92" s="494"/>
      <c r="H92" s="494"/>
      <c r="I92" s="494"/>
    </row>
    <row r="93" spans="1:16" s="32" customFormat="1" ht="20.100000000000001" customHeight="1">
      <c r="A93" s="494" t="str">
        <f>$A$3</f>
        <v>ACCUMULATED DEPRECIATION AND AMORTIZATION</v>
      </c>
      <c r="B93" s="494"/>
      <c r="C93" s="494"/>
      <c r="D93" s="494"/>
      <c r="E93" s="494"/>
      <c r="F93" s="494"/>
      <c r="G93" s="494"/>
      <c r="H93" s="494"/>
      <c r="I93" s="494"/>
    </row>
    <row r="94" spans="1:16" s="32" customFormat="1" ht="20.100000000000001" customHeight="1">
      <c r="A94" s="493" t="str">
        <f>$A$4</f>
        <v>AS OF FEBRUARY 28, 2017</v>
      </c>
      <c r="B94" s="494"/>
      <c r="C94" s="494"/>
      <c r="D94" s="494"/>
      <c r="E94" s="494"/>
      <c r="F94" s="494"/>
      <c r="G94" s="494"/>
      <c r="H94" s="494"/>
      <c r="I94" s="494"/>
    </row>
    <row r="95" spans="1:16" s="32" customFormat="1" ht="20.100000000000001" customHeight="1">
      <c r="A95" s="48"/>
      <c r="B95" s="48"/>
      <c r="C95" s="48"/>
      <c r="D95" s="48"/>
      <c r="E95" s="48"/>
      <c r="F95" s="48"/>
      <c r="G95" s="48"/>
      <c r="H95" s="48"/>
      <c r="I95" s="48"/>
    </row>
    <row r="96" spans="1:16" s="32" customFormat="1" ht="20.100000000000001" customHeight="1">
      <c r="A96" s="31" t="str">
        <f>$A$6</f>
        <v>DATA:__X__BASE  PERIOD____FORECASTED  PERIOD</v>
      </c>
      <c r="B96" s="31"/>
      <c r="H96" s="38"/>
      <c r="I96" s="39" t="str">
        <f>$I$6</f>
        <v>SCHEDULE B-3</v>
      </c>
    </row>
    <row r="97" spans="1:16" s="32" customFormat="1" ht="20.100000000000001" customHeight="1">
      <c r="A97" s="31" t="str">
        <f>$A$7</f>
        <v>TYPE OF FILING: __X__ ORIGINAL  _____ UPDATED  _____ REVISED</v>
      </c>
      <c r="H97" s="38"/>
      <c r="I97" s="38" t="s">
        <v>58</v>
      </c>
    </row>
    <row r="98" spans="1:16" s="32" customFormat="1" ht="20.100000000000001" customHeight="1">
      <c r="A98" s="31" t="str">
        <f>$A$8</f>
        <v>WORKPAPER REFERENCE NO(S).:</v>
      </c>
      <c r="B98" s="31"/>
      <c r="F98" s="31"/>
      <c r="G98" s="31"/>
      <c r="H98" s="39"/>
      <c r="I98" s="39" t="str">
        <f>$I$8</f>
        <v>WITNESS:   C. M. GARRETT</v>
      </c>
    </row>
    <row r="99" spans="1:16" s="32" customFormat="1" ht="20.100000000000001" customHeight="1"/>
    <row r="100" spans="1:16" s="32" customFormat="1" ht="20.100000000000001" customHeight="1">
      <c r="A100" s="59"/>
      <c r="B100" s="59"/>
      <c r="C100" s="59"/>
      <c r="D100" s="59"/>
      <c r="E100" s="496" t="s">
        <v>156</v>
      </c>
      <c r="F100" s="496"/>
      <c r="G100" s="496"/>
      <c r="H100" s="496"/>
      <c r="I100" s="496"/>
    </row>
    <row r="101" spans="1:16" ht="69.95" customHeight="1">
      <c r="A101" s="35" t="s">
        <v>29</v>
      </c>
      <c r="B101" s="35" t="s">
        <v>32</v>
      </c>
      <c r="C101" s="42" t="s">
        <v>33</v>
      </c>
      <c r="D101" s="35" t="s">
        <v>154</v>
      </c>
      <c r="E101" s="35" t="s">
        <v>155</v>
      </c>
      <c r="F101" s="35" t="s">
        <v>111</v>
      </c>
      <c r="G101" s="35" t="s">
        <v>112</v>
      </c>
      <c r="H101" s="35" t="s">
        <v>113</v>
      </c>
      <c r="I101" s="35" t="s">
        <v>114</v>
      </c>
    </row>
    <row r="102" spans="1:16" ht="23.1" customHeight="1">
      <c r="A102" s="44"/>
      <c r="B102" s="44"/>
      <c r="C102" s="45"/>
      <c r="D102" s="46" t="s">
        <v>40</v>
      </c>
      <c r="E102" s="46" t="s">
        <v>40</v>
      </c>
      <c r="F102" s="131">
        <v>1</v>
      </c>
      <c r="G102" s="46" t="s">
        <v>40</v>
      </c>
      <c r="H102" s="46" t="s">
        <v>40</v>
      </c>
      <c r="I102" s="46" t="s">
        <v>40</v>
      </c>
    </row>
    <row r="103" spans="1:16" ht="18.95" customHeight="1">
      <c r="A103" s="34">
        <f>A90+1</f>
        <v>62</v>
      </c>
      <c r="B103" s="35" t="s">
        <v>429</v>
      </c>
      <c r="C103" s="42" t="s">
        <v>430</v>
      </c>
      <c r="D103" s="52">
        <f>'SCH B-2.1 B'!D100</f>
        <v>102775.863</v>
      </c>
      <c r="E103" s="52">
        <f>SUMIFS('PIS B'!$V$11:$V$112,'PIS B'!$A$11:$A$112,$B$80,'PIS B'!$B$11:$B$112,$B103)</f>
        <v>-90458.589473394575</v>
      </c>
      <c r="F103" s="66"/>
      <c r="G103" s="52">
        <f t="shared" ref="G103:G106" si="26">E103</f>
        <v>-90458.589473394575</v>
      </c>
      <c r="H103" s="52">
        <v>0</v>
      </c>
      <c r="I103" s="52">
        <f t="shared" ref="I103:I106" si="27">SUM(G103:H103)</f>
        <v>-90458.589473394575</v>
      </c>
    </row>
    <row r="104" spans="1:16" ht="18.95" customHeight="1">
      <c r="A104" s="34">
        <f t="shared" ref="A104:A107" si="28">A103+1</f>
        <v>63</v>
      </c>
      <c r="B104" s="35" t="s">
        <v>431</v>
      </c>
      <c r="C104" s="42" t="s">
        <v>46</v>
      </c>
      <c r="D104" s="52">
        <f>'SCH B-2.1 B'!D101</f>
        <v>12343871.207999999</v>
      </c>
      <c r="E104" s="52">
        <f>SUMIFS('PIS B'!$V$11:$V$112,'PIS B'!$A$11:$A$112,$B$80,'PIS B'!$B$11:$B$112,$B104)</f>
        <v>-9458880.1510965005</v>
      </c>
      <c r="F104" s="66"/>
      <c r="G104" s="52">
        <f t="shared" si="26"/>
        <v>-9458880.1510965005</v>
      </c>
      <c r="H104" s="52">
        <v>0</v>
      </c>
      <c r="I104" s="52">
        <f t="shared" si="27"/>
        <v>-9458880.1510965005</v>
      </c>
    </row>
    <row r="105" spans="1:16" ht="18.95" customHeight="1">
      <c r="A105" s="34">
        <f t="shared" si="28"/>
        <v>64</v>
      </c>
      <c r="B105" s="35" t="s">
        <v>432</v>
      </c>
      <c r="C105" s="42" t="s">
        <v>433</v>
      </c>
      <c r="D105" s="52">
        <f>'SCH B-2.1 B'!D102</f>
        <v>0</v>
      </c>
      <c r="E105" s="52">
        <f>SUMIFS('PIS B'!$V$11:$V$112,'PIS B'!$A$11:$A$112,$B$80,'PIS B'!$B$11:$B$112,$B105)</f>
        <v>0</v>
      </c>
      <c r="F105" s="66"/>
      <c r="G105" s="52">
        <f t="shared" si="26"/>
        <v>0</v>
      </c>
      <c r="H105" s="52">
        <v>0</v>
      </c>
      <c r="I105" s="52">
        <f t="shared" si="27"/>
        <v>0</v>
      </c>
    </row>
    <row r="106" spans="1:16" ht="18.95" customHeight="1">
      <c r="A106" s="34">
        <f t="shared" si="28"/>
        <v>65</v>
      </c>
      <c r="B106" s="35">
        <v>399</v>
      </c>
      <c r="C106" s="42" t="s">
        <v>490</v>
      </c>
      <c r="D106" s="53">
        <f>'SCH B-2.1 B'!D103</f>
        <v>0</v>
      </c>
      <c r="E106" s="53">
        <f>SUMIFS('PIS B'!$V$11:$V$112,'PIS B'!$A$11:$A$112,$B$80,'PIS B'!$B$11:$B$112,$B106)</f>
        <v>0</v>
      </c>
      <c r="F106" s="66"/>
      <c r="G106" s="53">
        <f t="shared" si="26"/>
        <v>0</v>
      </c>
      <c r="H106" s="53">
        <v>0</v>
      </c>
      <c r="I106" s="53">
        <f t="shared" si="27"/>
        <v>0</v>
      </c>
    </row>
    <row r="107" spans="1:16" ht="18.95" customHeight="1">
      <c r="A107" s="34">
        <f t="shared" si="28"/>
        <v>66</v>
      </c>
      <c r="B107" s="35"/>
      <c r="C107" s="42" t="s">
        <v>622</v>
      </c>
      <c r="D107" s="50">
        <f>SUM(D81:D90,D103:D106)</f>
        <v>82160007.839999974</v>
      </c>
      <c r="E107" s="50">
        <f>SUM(E81:E90,E103:E106)</f>
        <v>-42000861.742105283</v>
      </c>
      <c r="F107" s="50"/>
      <c r="G107" s="50">
        <f t="shared" ref="G107:I107" si="29">SUM(G81:G90,G103:G106)</f>
        <v>-42000861.742105283</v>
      </c>
      <c r="H107" s="50">
        <f t="shared" si="29"/>
        <v>0</v>
      </c>
      <c r="I107" s="50">
        <f t="shared" si="29"/>
        <v>-42000861.742105283</v>
      </c>
      <c r="L107" s="67"/>
      <c r="M107" s="67"/>
      <c r="N107" s="67"/>
      <c r="O107" s="67"/>
      <c r="P107" s="68"/>
    </row>
    <row r="108" spans="1:16" ht="18.95" customHeight="1">
      <c r="A108" s="34"/>
      <c r="B108" s="35"/>
    </row>
    <row r="109" spans="1:16" ht="18.95" customHeight="1" thickBot="1">
      <c r="A109" s="34">
        <f>A107+1</f>
        <v>67</v>
      </c>
      <c r="B109" s="35"/>
      <c r="C109" s="32" t="s">
        <v>627</v>
      </c>
      <c r="D109" s="57">
        <f>SUM(D17,D32,D38,D65,D78,D107)</f>
        <v>1217201559.7099998</v>
      </c>
      <c r="E109" s="57">
        <f>SUM(E17,E32,E38,E65,E78,E107)</f>
        <v>-353754610.94281614</v>
      </c>
      <c r="F109" s="50"/>
      <c r="G109" s="57">
        <f>SUM(G17,G32,G38,G65,G78,G107)</f>
        <v>-353754610.94281614</v>
      </c>
      <c r="H109" s="57">
        <f>SUM(H17,H32,H38,H65,H78,H107)</f>
        <v>12119782.201434989</v>
      </c>
      <c r="I109" s="57">
        <f>SUM(I17,I32,I38,I65,I78,I107)</f>
        <v>-341634828.74138117</v>
      </c>
    </row>
    <row r="110" spans="1:16" ht="18.95" customHeight="1" thickTop="1">
      <c r="B110" s="35"/>
    </row>
    <row r="111" spans="1:16" ht="18.95" customHeight="1">
      <c r="B111" s="35"/>
      <c r="C111" s="130" t="s">
        <v>620</v>
      </c>
      <c r="D111" s="50"/>
    </row>
    <row r="112" spans="1:16" ht="18.95" customHeight="1">
      <c r="B112" s="35"/>
      <c r="C112" s="42"/>
      <c r="E112" s="56"/>
    </row>
    <row r="113" spans="2:5" ht="18.95" customHeight="1">
      <c r="B113" s="35"/>
      <c r="C113" s="32" t="s">
        <v>491</v>
      </c>
      <c r="D113" s="52">
        <f>'SCH B-2.1 B'!D106</f>
        <v>1217201559.7099998</v>
      </c>
      <c r="E113" s="50">
        <f>'PIS B'!V116</f>
        <v>-353754610.94281608</v>
      </c>
    </row>
    <row r="114" spans="2:5" ht="18.95" customHeight="1">
      <c r="B114" s="35"/>
      <c r="E114" s="56">
        <f>E109-E113</f>
        <v>0</v>
      </c>
    </row>
    <row r="115" spans="2:5" ht="18.95" customHeight="1">
      <c r="D115" s="33" t="s">
        <v>47</v>
      </c>
    </row>
    <row r="116" spans="2:5" ht="18.95" customHeight="1"/>
    <row r="117" spans="2:5" ht="18.95" customHeight="1"/>
    <row r="118" spans="2:5" ht="18.95" customHeight="1"/>
    <row r="119" spans="2:5" ht="18.95" customHeight="1"/>
    <row r="120" spans="2:5" ht="18.95" customHeight="1"/>
    <row r="121" spans="2:5" ht="18.95" customHeight="1"/>
    <row r="122" spans="2:5" ht="18.95" customHeight="1"/>
    <row r="123" spans="2:5" ht="18.95" customHeight="1"/>
    <row r="124" spans="2:5" ht="18.95" customHeight="1"/>
    <row r="125" spans="2:5" ht="18.95" customHeight="1"/>
    <row r="126" spans="2:5" ht="18.95" customHeight="1"/>
    <row r="127" spans="2:5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61" fitToHeight="0" orientation="portrait" r:id="rId1"/>
  <rowBreaks count="2" manualBreakCount="2">
    <brk id="45" max="16383" man="1"/>
    <brk id="90" max="9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>
    <pageSetUpPr fitToPage="1"/>
  </sheetPr>
  <dimension ref="A1:P127"/>
  <sheetViews>
    <sheetView zoomScaleNormal="100" workbookViewId="0">
      <selection sqref="A1:I1"/>
    </sheetView>
  </sheetViews>
  <sheetFormatPr defaultColWidth="9" defaultRowHeight="12.75"/>
  <cols>
    <col min="1" max="1" width="6" style="33" customWidth="1"/>
    <col min="2" max="2" width="9.77734375" style="33" customWidth="1"/>
    <col min="3" max="3" width="38.33203125" style="33" customWidth="1"/>
    <col min="4" max="5" width="13.6640625" style="33" customWidth="1"/>
    <col min="6" max="6" width="9.88671875" style="33" customWidth="1"/>
    <col min="7" max="7" width="15.6640625" style="33" customWidth="1"/>
    <col min="8" max="8" width="14.6640625" style="33" customWidth="1"/>
    <col min="9" max="9" width="13.6640625" style="33" customWidth="1"/>
    <col min="10" max="10" width="1.6640625" style="33" customWidth="1"/>
    <col min="11" max="11" width="9" style="33"/>
    <col min="12" max="12" width="13.109375" style="33" customWidth="1"/>
    <col min="13" max="13" width="9" style="33"/>
    <col min="14" max="14" width="12.6640625" style="33" customWidth="1"/>
    <col min="15" max="15" width="12.88671875" style="33" customWidth="1"/>
    <col min="16" max="16384" width="9" style="33"/>
  </cols>
  <sheetData>
    <row r="1" spans="1:10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  <c r="G1" s="494"/>
      <c r="H1" s="494"/>
      <c r="I1" s="494"/>
    </row>
    <row r="2" spans="1:10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  <c r="G2" s="494"/>
      <c r="H2" s="494"/>
      <c r="I2" s="494"/>
    </row>
    <row r="3" spans="1:10" s="32" customFormat="1" ht="20.100000000000001" customHeight="1">
      <c r="A3" s="494" t="s">
        <v>153</v>
      </c>
      <c r="B3" s="494"/>
      <c r="C3" s="494"/>
      <c r="D3" s="494"/>
      <c r="E3" s="494"/>
      <c r="F3" s="494"/>
      <c r="G3" s="494"/>
      <c r="H3" s="494"/>
      <c r="I3" s="494"/>
      <c r="J3" s="494"/>
    </row>
    <row r="4" spans="1:10" s="32" customFormat="1" ht="20.100000000000001" customHeight="1">
      <c r="A4" s="493" t="str">
        <f>'Rate Case Constants'!C18</f>
        <v>AS OF JUNE 30, 2018</v>
      </c>
      <c r="B4" s="494"/>
      <c r="C4" s="494"/>
      <c r="D4" s="494"/>
      <c r="E4" s="494"/>
      <c r="F4" s="494"/>
      <c r="G4" s="494"/>
      <c r="H4" s="494"/>
      <c r="I4" s="494"/>
    </row>
    <row r="5" spans="1:10" s="32" customFormat="1" ht="20.100000000000001" customHeight="1">
      <c r="A5" s="128"/>
      <c r="B5" s="128"/>
      <c r="C5" s="128"/>
      <c r="D5" s="128"/>
      <c r="E5" s="128"/>
      <c r="F5" s="128"/>
      <c r="G5" s="128"/>
      <c r="H5" s="128"/>
      <c r="I5" s="128"/>
    </row>
    <row r="6" spans="1:10" s="32" customFormat="1" ht="20.100000000000001" customHeight="1">
      <c r="A6" s="31" t="s">
        <v>48</v>
      </c>
      <c r="B6" s="31"/>
      <c r="H6" s="38"/>
      <c r="I6" s="38" t="s">
        <v>152</v>
      </c>
    </row>
    <row r="7" spans="1:10" s="32" customFormat="1" ht="20.100000000000001" customHeight="1">
      <c r="A7" s="32" t="str">
        <f>'Rate Case Constants'!C29</f>
        <v>TYPE OF FILING: __X__ ORIGINAL  _____ UPDATED  _____ REVISED</v>
      </c>
      <c r="H7" s="38"/>
      <c r="I7" s="38" t="s">
        <v>55</v>
      </c>
    </row>
    <row r="8" spans="1:10" s="32" customFormat="1" ht="20.100000000000001" customHeight="1">
      <c r="A8" s="31" t="s">
        <v>151</v>
      </c>
      <c r="B8" s="31"/>
      <c r="E8" s="31"/>
      <c r="G8" s="31"/>
      <c r="H8" s="39"/>
      <c r="I8" s="39" t="str">
        <f>'Rate Case Constants'!C36</f>
        <v>WITNESS:   C. M. GARRETT</v>
      </c>
    </row>
    <row r="9" spans="1:10" s="32" customFormat="1" ht="20.100000000000001" customHeight="1"/>
    <row r="10" spans="1:10" s="32" customFormat="1" ht="20.100000000000001" customHeight="1">
      <c r="A10" s="59"/>
      <c r="B10" s="59"/>
      <c r="C10" s="59"/>
      <c r="D10" s="59"/>
      <c r="E10" s="496" t="s">
        <v>165</v>
      </c>
      <c r="F10" s="496"/>
      <c r="G10" s="496"/>
      <c r="H10" s="496"/>
      <c r="I10" s="496"/>
    </row>
    <row r="11" spans="1:10" ht="95.1" customHeight="1">
      <c r="A11" s="35" t="s">
        <v>29</v>
      </c>
      <c r="B11" s="35" t="s">
        <v>32</v>
      </c>
      <c r="C11" s="42" t="s">
        <v>33</v>
      </c>
      <c r="D11" s="35" t="s">
        <v>164</v>
      </c>
      <c r="E11" s="35" t="s">
        <v>155</v>
      </c>
      <c r="F11" s="35" t="s">
        <v>111</v>
      </c>
      <c r="G11" s="35" t="s">
        <v>112</v>
      </c>
      <c r="H11" s="35" t="s">
        <v>113</v>
      </c>
      <c r="I11" s="35" t="s">
        <v>114</v>
      </c>
    </row>
    <row r="12" spans="1:10" ht="23.1" customHeight="1">
      <c r="A12" s="44"/>
      <c r="B12" s="44"/>
      <c r="C12" s="45"/>
      <c r="D12" s="46" t="s">
        <v>40</v>
      </c>
      <c r="E12" s="46" t="s">
        <v>40</v>
      </c>
      <c r="F12" s="131">
        <v>1</v>
      </c>
      <c r="G12" s="46" t="s">
        <v>40</v>
      </c>
      <c r="H12" s="46" t="s">
        <v>40</v>
      </c>
      <c r="I12" s="46" t="s">
        <v>40</v>
      </c>
    </row>
    <row r="13" spans="1:10" ht="23.1" customHeight="1">
      <c r="A13" s="37">
        <v>1</v>
      </c>
      <c r="B13" s="37"/>
      <c r="C13" s="49" t="s">
        <v>571</v>
      </c>
      <c r="D13" s="41"/>
      <c r="E13" s="41"/>
      <c r="F13" s="41"/>
      <c r="G13" s="41"/>
      <c r="H13" s="41"/>
      <c r="I13" s="41"/>
    </row>
    <row r="14" spans="1:10" ht="18.95" customHeight="1">
      <c r="A14" s="34">
        <f>A13+1</f>
        <v>2</v>
      </c>
      <c r="B14" s="35" t="s">
        <v>411</v>
      </c>
      <c r="C14" s="42" t="s">
        <v>412</v>
      </c>
      <c r="D14" s="50">
        <f>'SCH B-2.1 F'!D13</f>
        <v>0</v>
      </c>
      <c r="E14" s="50">
        <f>SUMIFS('PIS F'!$X$11:$X$112,'PIS F'!$A$11:$A$112,$B$67,'PIS F'!$B$11:$B$112,$B14)</f>
        <v>0</v>
      </c>
      <c r="F14" s="62"/>
      <c r="G14" s="50">
        <f>E14</f>
        <v>0</v>
      </c>
      <c r="H14" s="50">
        <v>0</v>
      </c>
      <c r="I14" s="50">
        <f t="shared" ref="I14:I15" si="0">SUM(G14:H14)</f>
        <v>0</v>
      </c>
    </row>
    <row r="15" spans="1:10" ht="18.95" customHeight="1">
      <c r="A15" s="34">
        <f t="shared" ref="A15:A17" si="1">A14+1</f>
        <v>3</v>
      </c>
      <c r="B15" s="35" t="s">
        <v>413</v>
      </c>
      <c r="C15" s="42" t="s">
        <v>414</v>
      </c>
      <c r="D15" s="50">
        <f>'SCH B-2.1 F'!D14</f>
        <v>387.49</v>
      </c>
      <c r="E15" s="50">
        <f>SUMIFS('PIS F'!$X$11:$X$112,'PIS F'!$A$11:$A$112,$B$67,'PIS F'!$B$11:$B$112,$B15)</f>
        <v>-208.64370166999996</v>
      </c>
      <c r="F15" s="66"/>
      <c r="G15" s="52">
        <f t="shared" ref="G15:G16" si="2">E15</f>
        <v>-208.64370166999996</v>
      </c>
      <c r="H15" s="51">
        <v>0</v>
      </c>
      <c r="I15" s="52">
        <f t="shared" si="0"/>
        <v>-208.64370166999996</v>
      </c>
    </row>
    <row r="16" spans="1:10" ht="18.95" customHeight="1">
      <c r="A16" s="34">
        <f t="shared" si="1"/>
        <v>4</v>
      </c>
      <c r="B16" s="35" t="s">
        <v>415</v>
      </c>
      <c r="C16" s="42" t="s">
        <v>416</v>
      </c>
      <c r="D16" s="53">
        <f>'SCH B-2.1 F'!D15</f>
        <v>0</v>
      </c>
      <c r="E16" s="53">
        <f>SUMIFS('PIS F'!$X$11:$X$112,'PIS F'!$A$11:$A$112,$B$67,'PIS F'!$B$11:$B$112,$B16)</f>
        <v>0</v>
      </c>
      <c r="F16" s="62"/>
      <c r="G16" s="53">
        <f t="shared" si="2"/>
        <v>0</v>
      </c>
      <c r="H16" s="53">
        <v>0</v>
      </c>
      <c r="I16" s="53">
        <f>SUM(G16:H16)</f>
        <v>0</v>
      </c>
    </row>
    <row r="17" spans="1:16" ht="18.95" customHeight="1">
      <c r="A17" s="34">
        <f t="shared" si="1"/>
        <v>5</v>
      </c>
      <c r="B17" s="34"/>
      <c r="C17" s="42" t="s">
        <v>41</v>
      </c>
      <c r="D17" s="50">
        <f>SUM(D14:D16)</f>
        <v>387.49</v>
      </c>
      <c r="E17" s="50">
        <f>SUM(E14:E16)</f>
        <v>-208.64370166999996</v>
      </c>
      <c r="F17" s="62"/>
      <c r="G17" s="50">
        <f>SUM(G14:G16)</f>
        <v>-208.64370166999996</v>
      </c>
      <c r="H17" s="50">
        <f>SUM(H14:H16)</f>
        <v>0</v>
      </c>
      <c r="I17" s="50">
        <f>SUM(I14:I16)</f>
        <v>-208.64370166999996</v>
      </c>
      <c r="L17" s="67"/>
      <c r="M17" s="67"/>
      <c r="N17" s="67"/>
      <c r="O17" s="67"/>
      <c r="P17" s="68"/>
    </row>
    <row r="18" spans="1:16" ht="18.95" customHeight="1">
      <c r="A18" s="34"/>
      <c r="B18" s="34"/>
      <c r="D18" s="36"/>
      <c r="E18" s="36"/>
      <c r="F18" s="65"/>
      <c r="G18" s="36"/>
      <c r="H18" s="36"/>
      <c r="I18" s="36"/>
    </row>
    <row r="19" spans="1:16" ht="18.95" customHeight="1">
      <c r="A19" s="34">
        <f>A17+1</f>
        <v>6</v>
      </c>
      <c r="B19" s="34"/>
      <c r="C19" s="54" t="s">
        <v>572</v>
      </c>
      <c r="D19" s="36"/>
      <c r="E19" s="36"/>
      <c r="F19" s="65"/>
      <c r="G19" s="36"/>
      <c r="H19" s="36"/>
      <c r="I19" s="36"/>
    </row>
    <row r="20" spans="1:16" ht="18.95" customHeight="1">
      <c r="A20" s="34">
        <f t="shared" ref="A20:A45" si="3">A19+1</f>
        <v>7</v>
      </c>
      <c r="B20" s="35">
        <v>350</v>
      </c>
      <c r="C20" s="42" t="s">
        <v>43</v>
      </c>
      <c r="D20" s="52">
        <f>'SCH B-2.1 F'!D19</f>
        <v>134076.55999999997</v>
      </c>
      <c r="E20" s="52">
        <f>SUMIFS('PIS F'!$X$11:$X$112,'PIS F'!$B$11:$B$112,'SCH B-3 F'!$B20)</f>
        <v>-70357.820953279894</v>
      </c>
      <c r="F20" s="66"/>
      <c r="G20" s="52">
        <f t="shared" ref="G20:G31" si="4">E20</f>
        <v>-70357.820953279894</v>
      </c>
      <c r="H20" s="52">
        <v>0</v>
      </c>
      <c r="I20" s="52">
        <f t="shared" ref="I20:I31" si="5">SUM(G20:H20)</f>
        <v>-70357.820953279894</v>
      </c>
    </row>
    <row r="21" spans="1:16" ht="18" customHeight="1">
      <c r="A21" s="34">
        <f t="shared" si="3"/>
        <v>8</v>
      </c>
      <c r="B21" s="35">
        <v>351</v>
      </c>
      <c r="C21" s="42" t="s">
        <v>42</v>
      </c>
      <c r="D21" s="52">
        <f>'SCH B-2.1 F'!D20</f>
        <v>15781511.025384616</v>
      </c>
      <c r="E21" s="52">
        <f>SUMIFS('PIS F'!$X$11:$X$112,'PIS F'!$B$11:$B$112,'SCH B-3 F'!$B21)</f>
        <v>-2645386.1699745543</v>
      </c>
      <c r="F21" s="66"/>
      <c r="G21" s="52">
        <f t="shared" si="4"/>
        <v>-2645386.1699745543</v>
      </c>
      <c r="H21" s="52">
        <v>0</v>
      </c>
      <c r="I21" s="52">
        <f t="shared" si="5"/>
        <v>-2645386.1699745543</v>
      </c>
    </row>
    <row r="22" spans="1:16" ht="18.95" customHeight="1">
      <c r="A22" s="34">
        <f t="shared" si="3"/>
        <v>9</v>
      </c>
      <c r="B22" s="35">
        <v>352</v>
      </c>
      <c r="C22" s="42" t="s">
        <v>597</v>
      </c>
      <c r="D22" s="52">
        <f>'SCH B-2.1 F'!D21</f>
        <v>21807057.703076929</v>
      </c>
      <c r="E22" s="52">
        <f>SUMIFS('PIS F'!$X$11:$X$112,'PIS F'!$B$11:$B$112,'SCH B-3 F'!$B22)</f>
        <v>-2767996.4552112981</v>
      </c>
      <c r="F22" s="66"/>
      <c r="G22" s="52">
        <f t="shared" si="4"/>
        <v>-2767996.4552112981</v>
      </c>
      <c r="H22" s="52">
        <v>0</v>
      </c>
      <c r="I22" s="52">
        <f t="shared" si="5"/>
        <v>-2767996.4552112981</v>
      </c>
    </row>
    <row r="23" spans="1:16" ht="18.95" customHeight="1">
      <c r="A23" s="34">
        <f t="shared" si="3"/>
        <v>10</v>
      </c>
      <c r="B23" s="35">
        <v>352.1</v>
      </c>
      <c r="C23" s="42" t="s">
        <v>598</v>
      </c>
      <c r="D23" s="52">
        <f>'SCH B-2.1 F'!D22</f>
        <v>548241.14</v>
      </c>
      <c r="E23" s="52">
        <f>SUMIFS('PIS F'!$X$11:$X$112,'PIS F'!$B$11:$B$112,'SCH B-3 F'!$B23)</f>
        <v>-569589.96000000008</v>
      </c>
      <c r="F23" s="66"/>
      <c r="G23" s="52">
        <f t="shared" si="4"/>
        <v>-569589.96000000008</v>
      </c>
      <c r="H23" s="52">
        <v>0</v>
      </c>
      <c r="I23" s="52">
        <f t="shared" si="5"/>
        <v>-569589.96000000008</v>
      </c>
    </row>
    <row r="24" spans="1:16" ht="18.95" customHeight="1">
      <c r="A24" s="34">
        <f t="shared" si="3"/>
        <v>11</v>
      </c>
      <c r="B24" s="35">
        <v>352.2</v>
      </c>
      <c r="C24" s="42" t="s">
        <v>599</v>
      </c>
      <c r="D24" s="52">
        <f>'SCH B-2.1 F'!D23</f>
        <v>400511.39999999997</v>
      </c>
      <c r="E24" s="52">
        <f>SUMIFS('PIS F'!$X$11:$X$112,'PIS F'!$B$11:$B$112,'SCH B-3 F'!$B24)</f>
        <v>-452027.29</v>
      </c>
      <c r="F24" s="66"/>
      <c r="G24" s="52">
        <f t="shared" si="4"/>
        <v>-452027.29</v>
      </c>
      <c r="H24" s="52">
        <v>0</v>
      </c>
      <c r="I24" s="52">
        <f t="shared" si="5"/>
        <v>-452027.29</v>
      </c>
    </row>
    <row r="25" spans="1:16" ht="18.95" customHeight="1">
      <c r="A25" s="34">
        <f t="shared" si="3"/>
        <v>12</v>
      </c>
      <c r="B25" s="35" t="s">
        <v>1104</v>
      </c>
      <c r="C25" s="42" t="s">
        <v>600</v>
      </c>
      <c r="D25" s="52">
        <f>'SCH B-2.1 F'!D24</f>
        <v>11788844.999999998</v>
      </c>
      <c r="E25" s="52">
        <f>SUMIFS('PIS F'!$X$11:$X$112,'PIS F'!$B$11:$B$112,'SCH B-3 F'!$B25)</f>
        <v>-8261237.313749996</v>
      </c>
      <c r="F25" s="66"/>
      <c r="G25" s="52">
        <f t="shared" si="4"/>
        <v>-8261237.313749996</v>
      </c>
      <c r="H25" s="52">
        <v>0</v>
      </c>
      <c r="I25" s="52">
        <f t="shared" si="5"/>
        <v>-8261237.313749996</v>
      </c>
    </row>
    <row r="26" spans="1:16" ht="18.95" customHeight="1">
      <c r="A26" s="34">
        <f t="shared" si="3"/>
        <v>13</v>
      </c>
      <c r="B26" s="35">
        <v>353</v>
      </c>
      <c r="C26" s="42" t="s">
        <v>601</v>
      </c>
      <c r="D26" s="52">
        <f>'SCH B-2.1 F'!D25</f>
        <v>23080886.59999999</v>
      </c>
      <c r="E26" s="52">
        <f>SUMIFS('PIS F'!$X$11:$X$112,'PIS F'!$B$11:$B$112,'SCH B-3 F'!$B26)</f>
        <v>-9145236.5484904721</v>
      </c>
      <c r="F26" s="66"/>
      <c r="G26" s="52">
        <f t="shared" si="4"/>
        <v>-9145236.5484904721</v>
      </c>
      <c r="H26" s="52">
        <v>0</v>
      </c>
      <c r="I26" s="52">
        <f t="shared" si="5"/>
        <v>-9145236.5484904721</v>
      </c>
    </row>
    <row r="27" spans="1:16" ht="18.95" customHeight="1">
      <c r="A27" s="34">
        <f t="shared" si="3"/>
        <v>14</v>
      </c>
      <c r="B27" s="35">
        <v>354</v>
      </c>
      <c r="C27" s="42" t="s">
        <v>602</v>
      </c>
      <c r="D27" s="52">
        <f>'SCH B-2.1 F'!D26</f>
        <v>58234397.566923089</v>
      </c>
      <c r="E27" s="52">
        <f>SUMIFS('PIS F'!$X$11:$X$112,'PIS F'!$B$11:$B$112,'SCH B-3 F'!$B27)</f>
        <v>-8245526.5817995109</v>
      </c>
      <c r="F27" s="66"/>
      <c r="G27" s="52">
        <f t="shared" si="4"/>
        <v>-8245526.5817995109</v>
      </c>
      <c r="H27" s="52">
        <v>0</v>
      </c>
      <c r="I27" s="52">
        <f t="shared" si="5"/>
        <v>-8245526.5817995109</v>
      </c>
    </row>
    <row r="28" spans="1:16" ht="18.95" customHeight="1">
      <c r="A28" s="34">
        <f t="shared" si="3"/>
        <v>15</v>
      </c>
      <c r="B28" s="35">
        <v>355</v>
      </c>
      <c r="C28" s="42" t="s">
        <v>603</v>
      </c>
      <c r="D28" s="52">
        <f>'SCH B-2.1 F'!D27</f>
        <v>2274976.4199999995</v>
      </c>
      <c r="E28" s="50">
        <f>SUMIFS('PIS F'!$X$11:$X$112,'PIS F'!$B$11:$B$112,'SCH B-3 F'!$B28)</f>
        <v>-305538.36716637999</v>
      </c>
      <c r="F28" s="62"/>
      <c r="G28" s="50">
        <f t="shared" si="4"/>
        <v>-305538.36716637999</v>
      </c>
      <c r="H28" s="50">
        <v>0</v>
      </c>
      <c r="I28" s="50">
        <f t="shared" si="5"/>
        <v>-305538.36716637999</v>
      </c>
      <c r="L28" s="67"/>
      <c r="M28" s="67"/>
      <c r="N28" s="67"/>
      <c r="O28" s="67"/>
      <c r="P28" s="68"/>
    </row>
    <row r="29" spans="1:16" ht="18.95" customHeight="1">
      <c r="A29" s="34">
        <f t="shared" si="3"/>
        <v>16</v>
      </c>
      <c r="B29" s="35">
        <v>356</v>
      </c>
      <c r="C29" s="42" t="s">
        <v>604</v>
      </c>
      <c r="D29" s="52">
        <f>'SCH B-2.1 F'!D28</f>
        <v>23951812.295384623</v>
      </c>
      <c r="E29" s="50">
        <f>SUMIFS('PIS F'!$X$11:$X$112,'PIS F'!$B$11:$B$112,'SCH B-3 F'!$B29)</f>
        <v>-6181153.4966390608</v>
      </c>
      <c r="F29" s="62"/>
      <c r="G29" s="50">
        <f t="shared" si="4"/>
        <v>-6181153.4966390608</v>
      </c>
      <c r="H29" s="50">
        <v>0</v>
      </c>
      <c r="I29" s="50">
        <f t="shared" si="5"/>
        <v>-6181153.4966390608</v>
      </c>
    </row>
    <row r="30" spans="1:16" ht="18.95" customHeight="1">
      <c r="A30" s="34">
        <f t="shared" si="3"/>
        <v>17</v>
      </c>
      <c r="B30" s="35">
        <v>357</v>
      </c>
      <c r="C30" s="42" t="s">
        <v>605</v>
      </c>
      <c r="D30" s="52">
        <f>'SCH B-2.1 F'!D29</f>
        <v>7205881.5461538425</v>
      </c>
      <c r="E30" s="50">
        <f>SUMIFS('PIS F'!$X$11:$X$112,'PIS F'!$B$11:$B$112,'SCH B-3 F'!$B30)</f>
        <v>-397031.86355414812</v>
      </c>
      <c r="F30" s="62"/>
      <c r="G30" s="50">
        <f t="shared" si="4"/>
        <v>-397031.86355414812</v>
      </c>
      <c r="H30" s="50">
        <v>0</v>
      </c>
      <c r="I30" s="50">
        <f t="shared" si="5"/>
        <v>-397031.86355414812</v>
      </c>
    </row>
    <row r="31" spans="1:16" ht="18.95" customHeight="1">
      <c r="A31" s="34">
        <f t="shared" si="3"/>
        <v>18</v>
      </c>
      <c r="B31" s="35">
        <v>358</v>
      </c>
      <c r="C31" s="42" t="s">
        <v>606</v>
      </c>
      <c r="D31" s="53">
        <f>'SCH B-2.1 F'!D30</f>
        <v>4432697.84</v>
      </c>
      <c r="E31" s="53">
        <f>SUMIFS('PIS F'!$X$11:$X$112,'PIS F'!$B$11:$B$112,'SCH B-3 F'!$B31)</f>
        <v>-1088047.5585119938</v>
      </c>
      <c r="F31" s="66"/>
      <c r="G31" s="53">
        <f t="shared" si="4"/>
        <v>-1088047.5585119938</v>
      </c>
      <c r="H31" s="53">
        <f>'SCH B-3.1'!F31</f>
        <v>1088047.5585119938</v>
      </c>
      <c r="I31" s="53">
        <f t="shared" si="5"/>
        <v>0</v>
      </c>
    </row>
    <row r="32" spans="1:16" ht="18.95" customHeight="1">
      <c r="A32" s="34">
        <f t="shared" si="3"/>
        <v>19</v>
      </c>
      <c r="C32" s="42" t="s">
        <v>608</v>
      </c>
      <c r="D32" s="52">
        <f>SUM(D20:D31)</f>
        <v>169640895.09692311</v>
      </c>
      <c r="E32" s="52">
        <f>SUM(E20:E31)</f>
        <v>-40129129.4260507</v>
      </c>
      <c r="F32" s="66"/>
      <c r="G32" s="52">
        <f t="shared" ref="G32:I32" si="6">SUM(G20:G31)</f>
        <v>-40129129.4260507</v>
      </c>
      <c r="H32" s="52">
        <f t="shared" si="6"/>
        <v>1088047.5585119938</v>
      </c>
      <c r="I32" s="52">
        <f t="shared" si="6"/>
        <v>-39041081.867538705</v>
      </c>
    </row>
    <row r="33" spans="1:16" ht="18.95" customHeight="1">
      <c r="A33" s="34"/>
      <c r="C33" s="42"/>
      <c r="D33" s="52"/>
      <c r="E33" s="52"/>
      <c r="F33" s="66"/>
      <c r="G33" s="52"/>
      <c r="H33" s="52"/>
      <c r="I33" s="52"/>
    </row>
    <row r="34" spans="1:16" ht="18.95" customHeight="1">
      <c r="A34" s="34">
        <f>A32+1</f>
        <v>20</v>
      </c>
      <c r="C34" s="54" t="s">
        <v>591</v>
      </c>
      <c r="D34" s="52"/>
      <c r="E34" s="52"/>
      <c r="F34" s="66"/>
      <c r="G34" s="52"/>
      <c r="H34" s="52"/>
      <c r="I34" s="52"/>
    </row>
    <row r="35" spans="1:16" ht="18.95" customHeight="1">
      <c r="A35" s="34">
        <f t="shared" si="3"/>
        <v>21</v>
      </c>
      <c r="B35" s="35">
        <v>365</v>
      </c>
      <c r="C35" s="42" t="s">
        <v>610</v>
      </c>
      <c r="D35" s="52">
        <f>'SCH B-2.1 F'!D34</f>
        <v>220659.049999999</v>
      </c>
      <c r="E35" s="52">
        <f>SUMIFS('PIS F'!$X$11:$X$112,'PIS F'!$B$11:$B$112,'SCH B-3 F'!$B35)</f>
        <v>-211169.46206668005</v>
      </c>
      <c r="F35" s="66"/>
      <c r="G35" s="52">
        <f t="shared" ref="G35:G37" si="7">E35</f>
        <v>-211169.46206668005</v>
      </c>
      <c r="H35" s="52">
        <v>0</v>
      </c>
      <c r="I35" s="52">
        <f t="shared" ref="I35:I37" si="8">SUM(G35:H35)</f>
        <v>-211169.46206668005</v>
      </c>
    </row>
    <row r="36" spans="1:16" ht="18.95" customHeight="1">
      <c r="A36" s="34">
        <f t="shared" si="3"/>
        <v>22</v>
      </c>
      <c r="B36" s="35">
        <v>367</v>
      </c>
      <c r="C36" s="42" t="s">
        <v>609</v>
      </c>
      <c r="D36" s="52">
        <f>'SCH B-2.1 F'!D35</f>
        <v>52930096.874615379</v>
      </c>
      <c r="E36" s="52">
        <f>SUMIFS('PIS F'!$X$11:$X$112,'PIS F'!$B$11:$B$112,'SCH B-3 F'!$B36)</f>
        <v>-11738471.605411351</v>
      </c>
      <c r="F36" s="66"/>
      <c r="G36" s="52">
        <f t="shared" si="7"/>
        <v>-11738471.605411351</v>
      </c>
      <c r="H36" s="52">
        <v>0</v>
      </c>
      <c r="I36" s="52">
        <f t="shared" si="8"/>
        <v>-11738471.605411351</v>
      </c>
    </row>
    <row r="37" spans="1:16" ht="18.95" customHeight="1">
      <c r="A37" s="34">
        <f t="shared" si="3"/>
        <v>23</v>
      </c>
      <c r="B37" s="35">
        <v>372</v>
      </c>
      <c r="C37" s="42" t="s">
        <v>611</v>
      </c>
      <c r="D37" s="53">
        <f>'SCH B-2.1 F'!D36</f>
        <v>2332004.91</v>
      </c>
      <c r="E37" s="53">
        <f>SUMIFS('PIS F'!$X$11:$X$112,'PIS F'!$B$11:$B$112,'SCH B-3 F'!$B37)</f>
        <v>-368740.60279599897</v>
      </c>
      <c r="F37" s="66"/>
      <c r="G37" s="53">
        <f t="shared" si="7"/>
        <v>-368740.60279599897</v>
      </c>
      <c r="H37" s="53">
        <f>'SCH B-3.1'!F32</f>
        <v>368740.60279599897</v>
      </c>
      <c r="I37" s="53">
        <f t="shared" si="8"/>
        <v>0</v>
      </c>
    </row>
    <row r="38" spans="1:16" ht="18.95" customHeight="1">
      <c r="A38" s="34">
        <f>A37+1</f>
        <v>24</v>
      </c>
      <c r="B38" s="35" t="s">
        <v>117</v>
      </c>
      <c r="C38" s="42" t="s">
        <v>612</v>
      </c>
      <c r="D38" s="50">
        <f>SUM(D35:D37)</f>
        <v>55482760.83461538</v>
      </c>
      <c r="E38" s="50">
        <f>SUM(E35:E37)</f>
        <v>-12318381.67027403</v>
      </c>
      <c r="F38" s="62"/>
      <c r="G38" s="50">
        <f t="shared" ref="G38:I38" si="9">SUM(G35:G37)</f>
        <v>-12318381.67027403</v>
      </c>
      <c r="H38" s="50">
        <f t="shared" si="9"/>
        <v>368740.60279599897</v>
      </c>
      <c r="I38" s="50">
        <f t="shared" si="9"/>
        <v>-11949641.067478031</v>
      </c>
    </row>
    <row r="39" spans="1:16" ht="18.95" customHeight="1">
      <c r="A39" s="34"/>
      <c r="B39" s="35"/>
      <c r="C39" s="42"/>
      <c r="D39" s="50"/>
      <c r="E39" s="50"/>
      <c r="F39" s="62"/>
      <c r="G39" s="50"/>
      <c r="H39" s="50"/>
      <c r="I39" s="50"/>
      <c r="L39" s="67"/>
      <c r="M39" s="67"/>
      <c r="N39" s="67"/>
      <c r="O39" s="67"/>
      <c r="P39" s="68"/>
    </row>
    <row r="40" spans="1:16" ht="18.95" customHeight="1">
      <c r="A40" s="34">
        <f>A38+1</f>
        <v>25</v>
      </c>
      <c r="C40" s="54" t="s">
        <v>546</v>
      </c>
      <c r="D40" s="50"/>
      <c r="E40" s="50"/>
      <c r="F40" s="62"/>
      <c r="G40" s="50"/>
      <c r="H40" s="50"/>
      <c r="I40" s="50"/>
    </row>
    <row r="41" spans="1:16" ht="18.95" customHeight="1">
      <c r="A41" s="34">
        <f t="shared" si="3"/>
        <v>26</v>
      </c>
      <c r="B41" s="35">
        <v>374</v>
      </c>
      <c r="C41" s="42" t="s">
        <v>43</v>
      </c>
      <c r="D41" s="52">
        <f>'SCH B-2.1 F'!D40</f>
        <v>134496.91000000003</v>
      </c>
      <c r="E41" s="52">
        <f>SUMIFS('PIS F'!$X$11:$X$112,'PIS F'!$B$11:$B$112,'SCH B-3 F'!$B41)</f>
        <v>-77439.690000000017</v>
      </c>
      <c r="F41" s="66"/>
      <c r="G41" s="52">
        <f t="shared" ref="G41:G45" si="10">E41</f>
        <v>-77439.690000000017</v>
      </c>
      <c r="H41" s="52">
        <v>0</v>
      </c>
      <c r="I41" s="52">
        <f t="shared" ref="I41:I45" si="11">SUM(G41:H41)</f>
        <v>-77439.690000000017</v>
      </c>
    </row>
    <row r="42" spans="1:16" ht="18.95" customHeight="1">
      <c r="A42" s="34">
        <f t="shared" si="3"/>
        <v>27</v>
      </c>
      <c r="B42" s="35">
        <v>375</v>
      </c>
      <c r="C42" s="42" t="s">
        <v>42</v>
      </c>
      <c r="D42" s="52">
        <f>'SCH B-2.1 F'!D41</f>
        <v>1155812.43</v>
      </c>
      <c r="E42" s="52">
        <f>SUMIFS('PIS F'!$X$11:$X$112,'PIS F'!$B$11:$B$112,'SCH B-3 F'!$B42)</f>
        <v>-399755.85730669997</v>
      </c>
      <c r="F42" s="66"/>
      <c r="G42" s="52">
        <f t="shared" si="10"/>
        <v>-399755.85730669997</v>
      </c>
      <c r="H42" s="52">
        <v>0</v>
      </c>
      <c r="I42" s="52">
        <f t="shared" si="11"/>
        <v>-399755.85730669997</v>
      </c>
    </row>
    <row r="43" spans="1:16" ht="18.95" customHeight="1">
      <c r="A43" s="34">
        <f t="shared" si="3"/>
        <v>28</v>
      </c>
      <c r="B43" s="35">
        <v>376</v>
      </c>
      <c r="C43" s="42" t="s">
        <v>609</v>
      </c>
      <c r="D43" s="52">
        <f>'SCH B-2.1 F'!D42</f>
        <v>433952491.66153789</v>
      </c>
      <c r="E43" s="52">
        <f>SUMIFS('PIS F'!$X$11:$X$112,'PIS F'!$B$11:$B$112,'SCH B-3 F'!$B43)</f>
        <v>-132713522.31647968</v>
      </c>
      <c r="F43" s="66"/>
      <c r="G43" s="52">
        <f t="shared" si="10"/>
        <v>-132713522.31647968</v>
      </c>
      <c r="H43" s="52">
        <f>'SCH B-3.1'!F33</f>
        <v>-278159.51986495452</v>
      </c>
      <c r="I43" s="52">
        <f t="shared" si="11"/>
        <v>-132991681.83634464</v>
      </c>
    </row>
    <row r="44" spans="1:16" ht="18.95" customHeight="1">
      <c r="A44" s="34">
        <f t="shared" si="3"/>
        <v>29</v>
      </c>
      <c r="B44" s="35">
        <v>377</v>
      </c>
      <c r="C44" s="42" t="s">
        <v>602</v>
      </c>
      <c r="D44" s="52">
        <f>'SCH B-2.1 F'!D43</f>
        <v>0</v>
      </c>
      <c r="E44" s="52">
        <f>SUMIFS('PIS F'!$X$11:$X$112,'PIS F'!$B$11:$B$112,'SCH B-3 F'!$B44)</f>
        <v>0</v>
      </c>
      <c r="F44" s="66"/>
      <c r="G44" s="52">
        <f t="shared" si="10"/>
        <v>0</v>
      </c>
      <c r="H44" s="52">
        <v>0</v>
      </c>
      <c r="I44" s="52">
        <f t="shared" si="11"/>
        <v>0</v>
      </c>
    </row>
    <row r="45" spans="1:16" ht="18.95" customHeight="1">
      <c r="A45" s="34">
        <f t="shared" si="3"/>
        <v>30</v>
      </c>
      <c r="B45" s="35">
        <v>378</v>
      </c>
      <c r="C45" s="42" t="s">
        <v>613</v>
      </c>
      <c r="D45" s="52">
        <f>'SCH B-2.1 F'!D44</f>
        <v>23937001.877692293</v>
      </c>
      <c r="E45" s="52">
        <f>SUMIFS('PIS F'!$X$11:$X$112,'PIS F'!$B$11:$B$112,'SCH B-3 F'!$B45)</f>
        <v>-2937678.0951987132</v>
      </c>
      <c r="F45" s="66"/>
      <c r="G45" s="52">
        <f t="shared" si="10"/>
        <v>-2937678.0951987132</v>
      </c>
      <c r="H45" s="52">
        <v>0</v>
      </c>
      <c r="I45" s="52">
        <f t="shared" si="11"/>
        <v>-2937678.0951987132</v>
      </c>
    </row>
    <row r="46" spans="1:16" s="32" customFormat="1" ht="20.100000000000001" customHeight="1">
      <c r="A46" s="494" t="str">
        <f>$A$1</f>
        <v>LOUISVILLE GAS AND ELECTRIC COMPANY</v>
      </c>
      <c r="B46" s="494"/>
      <c r="C46" s="494"/>
      <c r="D46" s="494"/>
      <c r="E46" s="494"/>
      <c r="F46" s="494"/>
      <c r="G46" s="494"/>
      <c r="H46" s="494"/>
      <c r="I46" s="494"/>
    </row>
    <row r="47" spans="1:16" s="32" customFormat="1" ht="20.100000000000001" customHeight="1">
      <c r="A47" s="494" t="str">
        <f>$A$2</f>
        <v>CASE NO. 2016-00371 - GAS OPERATIONS</v>
      </c>
      <c r="B47" s="494"/>
      <c r="C47" s="494"/>
      <c r="D47" s="494"/>
      <c r="E47" s="494"/>
      <c r="F47" s="494"/>
      <c r="G47" s="494"/>
      <c r="H47" s="494"/>
      <c r="I47" s="494"/>
    </row>
    <row r="48" spans="1:16" s="32" customFormat="1" ht="20.100000000000001" customHeight="1">
      <c r="A48" s="494" t="str">
        <f>$A$3</f>
        <v>ACCUMULATED DEPRECIATION AND AMORTIZATION</v>
      </c>
      <c r="B48" s="494"/>
      <c r="C48" s="494"/>
      <c r="D48" s="494"/>
      <c r="E48" s="494"/>
      <c r="F48" s="494"/>
      <c r="G48" s="494"/>
      <c r="H48" s="494"/>
      <c r="I48" s="494"/>
    </row>
    <row r="49" spans="1:16" s="32" customFormat="1" ht="20.100000000000001" customHeight="1">
      <c r="A49" s="493" t="str">
        <f>$A$4</f>
        <v>AS OF JUNE 30, 2018</v>
      </c>
      <c r="B49" s="494"/>
      <c r="C49" s="494"/>
      <c r="D49" s="494"/>
      <c r="E49" s="494"/>
      <c r="F49" s="494"/>
      <c r="G49" s="494"/>
      <c r="H49" s="494"/>
      <c r="I49" s="494"/>
    </row>
    <row r="50" spans="1:16" s="32" customFormat="1" ht="20.100000000000001" customHeight="1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16" s="32" customFormat="1" ht="20.100000000000001" customHeight="1">
      <c r="A51" s="31" t="str">
        <f>$A$6</f>
        <v>DATA:____BASE  PERIOD__X__FORECASTED  PERIOD</v>
      </c>
      <c r="B51" s="31"/>
      <c r="H51" s="38"/>
      <c r="I51" s="39" t="str">
        <f>$I$6</f>
        <v>SCHEDULE B-3</v>
      </c>
    </row>
    <row r="52" spans="1:16" s="32" customFormat="1" ht="20.100000000000001" customHeight="1">
      <c r="A52" s="31" t="str">
        <f>$A$7</f>
        <v>TYPE OF FILING: __X__ ORIGINAL  _____ UPDATED  _____ REVISED</v>
      </c>
      <c r="H52" s="38"/>
      <c r="I52" s="38" t="s">
        <v>56</v>
      </c>
    </row>
    <row r="53" spans="1:16" s="32" customFormat="1" ht="20.100000000000001" customHeight="1">
      <c r="A53" s="31" t="str">
        <f>$A$8</f>
        <v>WORKPAPER REFERENCE NO(S).:</v>
      </c>
      <c r="B53" s="31"/>
      <c r="F53" s="31"/>
      <c r="G53" s="31"/>
      <c r="H53" s="39"/>
      <c r="I53" s="39" t="str">
        <f>$I$8</f>
        <v>WITNESS:   C. M. GARRETT</v>
      </c>
    </row>
    <row r="54" spans="1:16" s="32" customFormat="1" ht="20.100000000000001" customHeight="1"/>
    <row r="55" spans="1:16" s="32" customFormat="1" ht="20.100000000000001" customHeight="1">
      <c r="A55" s="59"/>
      <c r="B55" s="59"/>
      <c r="C55" s="59"/>
      <c r="D55" s="59"/>
      <c r="E55" s="496" t="s">
        <v>165</v>
      </c>
      <c r="F55" s="496"/>
      <c r="G55" s="496"/>
      <c r="H55" s="496"/>
      <c r="I55" s="496"/>
    </row>
    <row r="56" spans="1:16" ht="95.1" customHeight="1">
      <c r="A56" s="35" t="s">
        <v>29</v>
      </c>
      <c r="B56" s="35" t="s">
        <v>32</v>
      </c>
      <c r="C56" s="42" t="s">
        <v>33</v>
      </c>
      <c r="D56" s="35" t="s">
        <v>164</v>
      </c>
      <c r="E56" s="35" t="s">
        <v>155</v>
      </c>
      <c r="F56" s="35" t="s">
        <v>111</v>
      </c>
      <c r="G56" s="35" t="s">
        <v>112</v>
      </c>
      <c r="H56" s="35" t="s">
        <v>113</v>
      </c>
      <c r="I56" s="35" t="s">
        <v>114</v>
      </c>
    </row>
    <row r="57" spans="1:16" ht="23.1" customHeight="1">
      <c r="A57" s="44"/>
      <c r="B57" s="44"/>
      <c r="C57" s="45"/>
      <c r="D57" s="46" t="s">
        <v>40</v>
      </c>
      <c r="E57" s="46" t="s">
        <v>40</v>
      </c>
      <c r="F57" s="131">
        <v>1</v>
      </c>
      <c r="G57" s="46" t="s">
        <v>40</v>
      </c>
      <c r="H57" s="46" t="s">
        <v>40</v>
      </c>
      <c r="I57" s="46" t="s">
        <v>40</v>
      </c>
    </row>
    <row r="58" spans="1:16" ht="18.95" customHeight="1">
      <c r="A58" s="34">
        <f>A45+1</f>
        <v>31</v>
      </c>
      <c r="B58" s="35">
        <v>379</v>
      </c>
      <c r="C58" s="42" t="s">
        <v>614</v>
      </c>
      <c r="D58" s="52">
        <f>'SCH B-2.1 F'!D56</f>
        <v>12352332.667692207</v>
      </c>
      <c r="E58" s="52">
        <f>SUMIFS('PIS F'!$X$11:$X$112,'PIS F'!$B$11:$B$112,'SCH B-3 F'!$B58)</f>
        <v>-1605053.5894670284</v>
      </c>
      <c r="F58" s="66"/>
      <c r="G58" s="52">
        <f t="shared" ref="G58:G64" si="12">E58</f>
        <v>-1605053.5894670284</v>
      </c>
      <c r="H58" s="52">
        <v>0</v>
      </c>
      <c r="I58" s="52">
        <f t="shared" ref="I58:I64" si="13">SUM(G58:H58)</f>
        <v>-1605053.5894670284</v>
      </c>
    </row>
    <row r="59" spans="1:16" ht="18.95" customHeight="1">
      <c r="A59" s="34">
        <f>A58+1</f>
        <v>32</v>
      </c>
      <c r="B59" s="35">
        <v>380</v>
      </c>
      <c r="C59" s="42" t="s">
        <v>417</v>
      </c>
      <c r="D59" s="52">
        <f>'SCH B-2.1 F'!D57</f>
        <v>388885418.28153831</v>
      </c>
      <c r="E59" s="52">
        <f>SUMIFS('PIS F'!$X$11:$X$112,'PIS F'!$B$11:$B$112,'SCH B-3 F'!$B59)</f>
        <v>-111933178.75049031</v>
      </c>
      <c r="F59" s="66"/>
      <c r="G59" s="52">
        <f t="shared" si="12"/>
        <v>-111933178.75049031</v>
      </c>
      <c r="H59" s="52">
        <f>'SCH B-3.1'!F34</f>
        <v>-10925.812510458894</v>
      </c>
      <c r="I59" s="52">
        <f t="shared" si="13"/>
        <v>-111944104.56300077</v>
      </c>
    </row>
    <row r="60" spans="1:16" ht="18.95" customHeight="1">
      <c r="A60" s="34">
        <f t="shared" ref="A60:A65" si="14">A59+1</f>
        <v>33</v>
      </c>
      <c r="B60" s="35">
        <v>381</v>
      </c>
      <c r="C60" s="42" t="s">
        <v>418</v>
      </c>
      <c r="D60" s="52">
        <f>'SCH B-2.1 F'!D58</f>
        <v>57176384.306923017</v>
      </c>
      <c r="E60" s="52">
        <f>SUMIFS('PIS F'!$X$11:$X$112,'PIS F'!$B$11:$B$112,'SCH B-3 F'!$B60)</f>
        <v>-15760975.678712064</v>
      </c>
      <c r="F60" s="66"/>
      <c r="G60" s="52">
        <f t="shared" si="12"/>
        <v>-15760975.678712064</v>
      </c>
      <c r="H60" s="52">
        <v>0</v>
      </c>
      <c r="I60" s="52">
        <f t="shared" si="13"/>
        <v>-15760975.678712064</v>
      </c>
    </row>
    <row r="61" spans="1:16" ht="18.95" customHeight="1">
      <c r="A61" s="34">
        <f t="shared" si="14"/>
        <v>34</v>
      </c>
      <c r="B61" s="35">
        <v>383</v>
      </c>
      <c r="C61" s="42" t="s">
        <v>615</v>
      </c>
      <c r="D61" s="52">
        <f>'SCH B-2.1 F'!D59</f>
        <v>25550379.959999993</v>
      </c>
      <c r="E61" s="52">
        <f>SUMIFS('PIS F'!$X$11:$X$112,'PIS F'!$B$11:$B$112,'SCH B-3 F'!$B61)</f>
        <v>-5646485.5953399986</v>
      </c>
      <c r="F61" s="66"/>
      <c r="G61" s="52">
        <f t="shared" si="12"/>
        <v>-5646485.5953399986</v>
      </c>
      <c r="H61" s="52">
        <v>0</v>
      </c>
      <c r="I61" s="52">
        <f t="shared" si="13"/>
        <v>-5646485.5953399986</v>
      </c>
    </row>
    <row r="62" spans="1:16" ht="18.95" customHeight="1">
      <c r="A62" s="34">
        <f t="shared" si="14"/>
        <v>35</v>
      </c>
      <c r="B62" s="35">
        <v>385</v>
      </c>
      <c r="C62" s="42" t="s">
        <v>616</v>
      </c>
      <c r="D62" s="52">
        <f>'SCH B-2.1 F'!D60</f>
        <v>2260538.1176923015</v>
      </c>
      <c r="E62" s="52">
        <f>SUMIFS('PIS F'!$X$11:$X$112,'PIS F'!$B$11:$B$112,'SCH B-3 F'!$B62)</f>
        <v>-154611.06187824244</v>
      </c>
      <c r="F62" s="66"/>
      <c r="G62" s="52">
        <f t="shared" si="12"/>
        <v>-154611.06187824244</v>
      </c>
      <c r="H62" s="52">
        <v>0</v>
      </c>
      <c r="I62" s="52">
        <f t="shared" si="13"/>
        <v>-154611.06187824244</v>
      </c>
      <c r="L62" s="67"/>
      <c r="M62" s="67"/>
      <c r="N62" s="67"/>
      <c r="O62" s="67"/>
      <c r="P62" s="68"/>
    </row>
    <row r="63" spans="1:16" ht="18.95" customHeight="1">
      <c r="A63" s="34">
        <f t="shared" si="14"/>
        <v>36</v>
      </c>
      <c r="B63" s="35">
        <v>387</v>
      </c>
      <c r="C63" s="42" t="s">
        <v>605</v>
      </c>
      <c r="D63" s="52">
        <f>'SCH B-2.1 F'!D61</f>
        <v>1928759.3623076924</v>
      </c>
      <c r="E63" s="52">
        <f>SUMIFS('PIS F'!$X$11:$X$112,'PIS F'!$B$11:$B$112,'SCH B-3 F'!$B63)</f>
        <v>-47021.718477441354</v>
      </c>
      <c r="F63" s="66"/>
      <c r="G63" s="52">
        <f t="shared" si="12"/>
        <v>-47021.718477441354</v>
      </c>
      <c r="H63" s="52">
        <v>0</v>
      </c>
      <c r="I63" s="52">
        <f t="shared" si="13"/>
        <v>-47021.718477441354</v>
      </c>
    </row>
    <row r="64" spans="1:16" ht="18.95" customHeight="1">
      <c r="A64" s="34">
        <f t="shared" si="14"/>
        <v>37</v>
      </c>
      <c r="B64" s="35">
        <v>388</v>
      </c>
      <c r="C64" s="42" t="s">
        <v>617</v>
      </c>
      <c r="D64" s="53">
        <f>'SCH B-2.1 F'!D62</f>
        <v>10475152.659999996</v>
      </c>
      <c r="E64" s="53">
        <f>SUMIFS('PIS F'!$X$11:$X$112,'PIS F'!$B$11:$B$112,'SCH B-3 F'!$B64)</f>
        <v>-1579078.5654399903</v>
      </c>
      <c r="F64" s="66"/>
      <c r="G64" s="53">
        <f t="shared" si="12"/>
        <v>-1579078.5654399903</v>
      </c>
      <c r="H64" s="53">
        <f>'SCH B-3.1'!F35</f>
        <v>1579078.5654399903</v>
      </c>
      <c r="I64" s="53">
        <f t="shared" si="13"/>
        <v>0</v>
      </c>
    </row>
    <row r="65" spans="1:16" ht="18.95" customHeight="1">
      <c r="A65" s="34">
        <f t="shared" si="14"/>
        <v>38</v>
      </c>
      <c r="C65" s="42" t="s">
        <v>618</v>
      </c>
      <c r="D65" s="52">
        <f>SUM(D41:D45,D58:D64)</f>
        <v>957808768.23538375</v>
      </c>
      <c r="E65" s="52">
        <f>SUM(E41:E45,E58:E64)</f>
        <v>-272854800.91879016</v>
      </c>
      <c r="F65" s="66"/>
      <c r="G65" s="52">
        <f t="shared" ref="G65:I65" si="15">SUM(G41:G45,G58:G64)</f>
        <v>-272854800.91879016</v>
      </c>
      <c r="H65" s="52">
        <f t="shared" si="15"/>
        <v>1289993.233064577</v>
      </c>
      <c r="I65" s="52">
        <f t="shared" si="15"/>
        <v>-271564807.68572563</v>
      </c>
    </row>
    <row r="66" spans="1:16" ht="18.95" customHeight="1">
      <c r="A66" s="34"/>
      <c r="D66" s="52"/>
      <c r="E66" s="52"/>
      <c r="F66" s="66"/>
      <c r="G66" s="52"/>
      <c r="H66" s="52"/>
      <c r="I66" s="52"/>
    </row>
    <row r="67" spans="1:16" ht="18.95" customHeight="1">
      <c r="A67" s="34">
        <f>A65+1</f>
        <v>39</v>
      </c>
      <c r="B67" s="129" t="s">
        <v>545</v>
      </c>
      <c r="C67" s="54" t="s">
        <v>563</v>
      </c>
      <c r="D67" s="52"/>
      <c r="E67" s="52"/>
      <c r="F67" s="66"/>
      <c r="G67" s="52"/>
      <c r="H67" s="52"/>
      <c r="I67" s="52"/>
    </row>
    <row r="68" spans="1:16" ht="18.95" customHeight="1">
      <c r="A68" s="34">
        <f t="shared" ref="A68:A78" si="16">A67+1</f>
        <v>40</v>
      </c>
      <c r="B68" s="35" t="s">
        <v>419</v>
      </c>
      <c r="C68" s="42" t="s">
        <v>43</v>
      </c>
      <c r="D68" s="52">
        <f>'SCH B-2.1 F'!D66</f>
        <v>0</v>
      </c>
      <c r="E68" s="50">
        <f>SUMIFS('PIS F'!$X$11:$X$112,'PIS F'!$A$11:$A$112,$B$67,'PIS F'!$B$11:$B$112,$B68)</f>
        <v>0</v>
      </c>
      <c r="F68" s="66"/>
      <c r="G68" s="52">
        <f t="shared" ref="G68:G77" si="17">E68</f>
        <v>0</v>
      </c>
      <c r="H68" s="52">
        <v>0</v>
      </c>
      <c r="I68" s="52">
        <f t="shared" ref="I68:I77" si="18">SUM(G68:H68)</f>
        <v>0</v>
      </c>
    </row>
    <row r="69" spans="1:16" ht="18.95" customHeight="1">
      <c r="A69" s="34">
        <f t="shared" si="16"/>
        <v>41</v>
      </c>
      <c r="B69" s="35" t="s">
        <v>420</v>
      </c>
      <c r="C69" s="42" t="s">
        <v>42</v>
      </c>
      <c r="D69" s="52">
        <f>'SCH B-2.1 F'!D67</f>
        <v>0</v>
      </c>
      <c r="E69" s="52">
        <f>SUMIFS('PIS F'!$X$11:$X$112,'PIS F'!$A$11:$A$112,$B$67,'PIS F'!$B$11:$B$112,$B69)</f>
        <v>0</v>
      </c>
      <c r="F69" s="66"/>
      <c r="G69" s="52">
        <f t="shared" si="17"/>
        <v>0</v>
      </c>
      <c r="H69" s="52">
        <v>0</v>
      </c>
      <c r="I69" s="52">
        <f t="shared" si="18"/>
        <v>0</v>
      </c>
    </row>
    <row r="70" spans="1:16" ht="18.95" customHeight="1">
      <c r="A70" s="34">
        <f t="shared" si="16"/>
        <v>42</v>
      </c>
      <c r="B70" s="35" t="s">
        <v>421</v>
      </c>
      <c r="C70" s="42" t="s">
        <v>45</v>
      </c>
      <c r="D70" s="52">
        <f>'SCH B-2.1 F'!D68</f>
        <v>0</v>
      </c>
      <c r="E70" s="52">
        <f>SUMIFS('PIS F'!$X$11:$X$112,'PIS F'!$A$11:$A$112,$B$67,'PIS F'!$B$11:$B$112,$B70)</f>
        <v>0</v>
      </c>
      <c r="F70" s="66"/>
      <c r="G70" s="52">
        <f t="shared" si="17"/>
        <v>0</v>
      </c>
      <c r="H70" s="52">
        <v>0</v>
      </c>
      <c r="I70" s="52">
        <f t="shared" si="18"/>
        <v>0</v>
      </c>
    </row>
    <row r="71" spans="1:16" ht="18.95" customHeight="1">
      <c r="A71" s="34">
        <f t="shared" si="16"/>
        <v>43</v>
      </c>
      <c r="B71" s="35" t="s">
        <v>422</v>
      </c>
      <c r="C71" s="42" t="s">
        <v>44</v>
      </c>
      <c r="D71" s="52">
        <f>'SCH B-2.1 F'!D69</f>
        <v>2457097.8938461449</v>
      </c>
      <c r="E71" s="52">
        <f>SUMIFS('PIS F'!$X$11:$X$112,'PIS F'!$A$11:$A$112,$B$67,'PIS F'!$B$11:$B$112,$B71)</f>
        <v>-946327.96579907462</v>
      </c>
      <c r="F71" s="66"/>
      <c r="G71" s="52">
        <f t="shared" si="17"/>
        <v>-946327.96579907462</v>
      </c>
      <c r="H71" s="52">
        <v>0</v>
      </c>
      <c r="I71" s="52">
        <f t="shared" si="18"/>
        <v>-946327.96579907462</v>
      </c>
    </row>
    <row r="72" spans="1:16" ht="18.95" customHeight="1">
      <c r="A72" s="34">
        <f t="shared" si="16"/>
        <v>44</v>
      </c>
      <c r="B72" s="35" t="s">
        <v>423</v>
      </c>
      <c r="C72" s="42" t="s">
        <v>424</v>
      </c>
      <c r="D72" s="52">
        <f>'SCH B-2.1 F'!D70</f>
        <v>0</v>
      </c>
      <c r="E72" s="52">
        <f>SUMIFS('PIS F'!$X$11:$X$112,'PIS F'!$A$11:$A$112,$B$67,'PIS F'!$B$11:$B$112,$B72)</f>
        <v>0</v>
      </c>
      <c r="F72" s="66"/>
      <c r="G72" s="52">
        <f t="shared" si="17"/>
        <v>0</v>
      </c>
      <c r="H72" s="52">
        <v>0</v>
      </c>
      <c r="I72" s="52">
        <f t="shared" si="18"/>
        <v>0</v>
      </c>
    </row>
    <row r="73" spans="1:16" ht="18.95" customHeight="1">
      <c r="A73" s="34">
        <f t="shared" si="16"/>
        <v>45</v>
      </c>
      <c r="B73" s="35" t="s">
        <v>425</v>
      </c>
      <c r="C73" s="42" t="s">
        <v>426</v>
      </c>
      <c r="D73" s="52">
        <f>'SCH B-2.1 F'!D71</f>
        <v>6940429.6976923067</v>
      </c>
      <c r="E73" s="52">
        <f>SUMIFS('PIS F'!$X$11:$X$112,'PIS F'!$A$11:$A$112,$B$67,'PIS F'!$B$11:$B$112,$B73)</f>
        <v>-2567643.7189523075</v>
      </c>
      <c r="F73" s="66"/>
      <c r="G73" s="52">
        <f t="shared" si="17"/>
        <v>-2567643.7189523075</v>
      </c>
      <c r="H73" s="52">
        <v>0</v>
      </c>
      <c r="I73" s="52">
        <f t="shared" si="18"/>
        <v>-2567643.7189523075</v>
      </c>
    </row>
    <row r="74" spans="1:16" ht="18.95" customHeight="1">
      <c r="A74" s="34">
        <f t="shared" si="16"/>
        <v>46</v>
      </c>
      <c r="B74" s="35" t="s">
        <v>427</v>
      </c>
      <c r="C74" s="42" t="s">
        <v>428</v>
      </c>
      <c r="D74" s="52">
        <f>'SCH B-2.1 F'!D72</f>
        <v>0</v>
      </c>
      <c r="E74" s="52">
        <f>SUMIFS('PIS F'!$X$11:$X$112,'PIS F'!$A$11:$A$112,$B$67,'PIS F'!$B$11:$B$112,$B74)</f>
        <v>0</v>
      </c>
      <c r="F74" s="66"/>
      <c r="G74" s="52">
        <f t="shared" si="17"/>
        <v>0</v>
      </c>
      <c r="H74" s="52">
        <v>0</v>
      </c>
      <c r="I74" s="52">
        <f t="shared" si="18"/>
        <v>0</v>
      </c>
      <c r="L74" s="67"/>
      <c r="M74" s="67"/>
      <c r="N74" s="67"/>
      <c r="O74" s="67"/>
      <c r="P74" s="68"/>
    </row>
    <row r="75" spans="1:16" ht="18.95" customHeight="1">
      <c r="A75" s="34">
        <f t="shared" si="16"/>
        <v>47</v>
      </c>
      <c r="B75" s="35" t="s">
        <v>429</v>
      </c>
      <c r="C75" s="42" t="s">
        <v>430</v>
      </c>
      <c r="D75" s="52">
        <f>'SCH B-2.1 F'!D73</f>
        <v>3771229.42</v>
      </c>
      <c r="E75" s="52">
        <f>SUMIFS('PIS F'!$X$11:$X$112,'PIS F'!$A$11:$A$112,$B$67,'PIS F'!$B$11:$B$112,$B75)</f>
        <v>-2470849.8064030902</v>
      </c>
      <c r="F75" s="66"/>
      <c r="G75" s="52">
        <f t="shared" si="17"/>
        <v>-2470849.8064030902</v>
      </c>
      <c r="H75" s="52">
        <v>0</v>
      </c>
      <c r="I75" s="52">
        <f t="shared" si="18"/>
        <v>-2470849.8064030902</v>
      </c>
    </row>
    <row r="76" spans="1:16" ht="18.95" customHeight="1">
      <c r="A76" s="34">
        <f t="shared" si="16"/>
        <v>48</v>
      </c>
      <c r="B76" s="35" t="s">
        <v>431</v>
      </c>
      <c r="C76" s="42" t="s">
        <v>46</v>
      </c>
      <c r="D76" s="52">
        <f>'SCH B-2.1 F'!D74</f>
        <v>0</v>
      </c>
      <c r="E76" s="52">
        <f>SUMIFS('PIS F'!$X$11:$X$112,'PIS F'!$A$11:$A$112,$B$67,'PIS F'!$B$11:$B$112,$B76)</f>
        <v>0</v>
      </c>
      <c r="F76" s="66"/>
      <c r="G76" s="52">
        <f t="shared" si="17"/>
        <v>0</v>
      </c>
      <c r="H76" s="52">
        <v>0</v>
      </c>
      <c r="I76" s="52">
        <f t="shared" si="18"/>
        <v>0</v>
      </c>
    </row>
    <row r="77" spans="1:16" ht="18.95" customHeight="1">
      <c r="A77" s="34">
        <f t="shared" si="16"/>
        <v>49</v>
      </c>
      <c r="B77" s="35" t="s">
        <v>432</v>
      </c>
      <c r="C77" s="42" t="s">
        <v>433</v>
      </c>
      <c r="D77" s="53">
        <f>'SCH B-2.1 F'!D75</f>
        <v>0</v>
      </c>
      <c r="E77" s="53">
        <f>SUMIFS('PIS F'!$X$11:$X$112,'PIS F'!$A$11:$A$112,$B$67,'PIS F'!$B$11:$B$112,$B77)</f>
        <v>0</v>
      </c>
      <c r="F77" s="66"/>
      <c r="G77" s="53">
        <f t="shared" si="17"/>
        <v>0</v>
      </c>
      <c r="H77" s="53">
        <v>0</v>
      </c>
      <c r="I77" s="53">
        <f t="shared" si="18"/>
        <v>0</v>
      </c>
    </row>
    <row r="78" spans="1:16" ht="18.95" customHeight="1">
      <c r="A78" s="34">
        <f t="shared" si="16"/>
        <v>50</v>
      </c>
      <c r="B78" s="35"/>
      <c r="C78" s="42" t="s">
        <v>619</v>
      </c>
      <c r="D78" s="52">
        <f>SUM(D68:D77)</f>
        <v>13168757.011538452</v>
      </c>
      <c r="E78" s="52">
        <f>SUM(E68:E77)</f>
        <v>-5984821.4911544723</v>
      </c>
      <c r="F78" s="66"/>
      <c r="G78" s="52">
        <f>SUM(G68:G77)</f>
        <v>-5984821.4911544723</v>
      </c>
      <c r="H78" s="52">
        <f>SUM(H68:H77)</f>
        <v>0</v>
      </c>
      <c r="I78" s="52">
        <f>SUM(I68:I77)</f>
        <v>-5984821.4911544723</v>
      </c>
    </row>
    <row r="79" spans="1:16" ht="18.95" customHeight="1">
      <c r="A79" s="34"/>
      <c r="B79" s="35"/>
      <c r="D79" s="52"/>
      <c r="E79" s="52"/>
      <c r="F79" s="66"/>
      <c r="G79" s="52"/>
      <c r="H79" s="52"/>
      <c r="I79" s="52"/>
    </row>
    <row r="80" spans="1:16" ht="18.95" customHeight="1">
      <c r="A80" s="34">
        <f>A78+1</f>
        <v>51</v>
      </c>
      <c r="B80" s="129" t="s">
        <v>452</v>
      </c>
      <c r="C80" s="54" t="s">
        <v>502</v>
      </c>
      <c r="D80" s="52"/>
      <c r="E80" s="52"/>
      <c r="F80" s="66"/>
      <c r="G80" s="52"/>
      <c r="H80" s="52"/>
      <c r="I80" s="52"/>
    </row>
    <row r="81" spans="1:16" ht="18.95" customHeight="1">
      <c r="A81" s="34">
        <f>A80+1</f>
        <v>52</v>
      </c>
      <c r="B81" s="35" t="s">
        <v>411</v>
      </c>
      <c r="C81" s="42" t="s">
        <v>412</v>
      </c>
      <c r="D81" s="52">
        <f>'SCH B-2.1 F'!D79</f>
        <v>25134.686999999965</v>
      </c>
      <c r="E81" s="50">
        <f>SUMIFS('PIS F'!$X$11:$X$112,'PIS F'!$A$11:$A$112,$B$80,'PIS F'!$B$11:$B$112,$B81)</f>
        <v>0</v>
      </c>
      <c r="F81" s="66"/>
      <c r="G81" s="52">
        <f t="shared" ref="G81:G90" si="19">E81</f>
        <v>0</v>
      </c>
      <c r="H81" s="52">
        <v>0</v>
      </c>
      <c r="I81" s="52">
        <f t="shared" ref="I81:I90" si="20">SUM(G81:H81)</f>
        <v>0</v>
      </c>
    </row>
    <row r="82" spans="1:16" ht="18.95" customHeight="1">
      <c r="A82" s="34">
        <f t="shared" ref="A82:A83" si="21">A81+1</f>
        <v>53</v>
      </c>
      <c r="B82" s="35" t="s">
        <v>413</v>
      </c>
      <c r="C82" s="42" t="s">
        <v>414</v>
      </c>
      <c r="D82" s="52">
        <f>'SCH B-2.1 F'!D80</f>
        <v>0</v>
      </c>
      <c r="E82" s="50">
        <f>SUMIFS('PIS F'!$X$11:$X$112,'PIS F'!$A$11:$A$112,$B$80,'PIS F'!$B$11:$B$112,$B82)</f>
        <v>0</v>
      </c>
      <c r="F82" s="66"/>
      <c r="G82" s="52">
        <f t="shared" si="19"/>
        <v>0</v>
      </c>
      <c r="H82" s="52">
        <v>0</v>
      </c>
      <c r="I82" s="52">
        <f t="shared" si="20"/>
        <v>0</v>
      </c>
    </row>
    <row r="83" spans="1:16" ht="18.95" customHeight="1">
      <c r="A83" s="34">
        <f t="shared" si="21"/>
        <v>54</v>
      </c>
      <c r="B83" s="35" t="s">
        <v>415</v>
      </c>
      <c r="C83" s="42" t="s">
        <v>416</v>
      </c>
      <c r="D83" s="52">
        <f>'SCH B-2.1 F'!D81</f>
        <v>33940806.507692315</v>
      </c>
      <c r="E83" s="50">
        <f>SUMIFS('PIS F'!$X$11:$X$112,'PIS F'!$A$11:$A$112,$B$80,'PIS F'!$B$11:$B$112,$B83)</f>
        <v>-17564138.870916892</v>
      </c>
      <c r="F83" s="66"/>
      <c r="G83" s="52">
        <f t="shared" si="19"/>
        <v>-17564138.870916892</v>
      </c>
      <c r="H83" s="52">
        <v>0</v>
      </c>
      <c r="I83" s="52">
        <f t="shared" si="20"/>
        <v>-17564138.870916892</v>
      </c>
    </row>
    <row r="84" spans="1:16" ht="18.95" customHeight="1">
      <c r="A84" s="34">
        <f>A83+1</f>
        <v>55</v>
      </c>
      <c r="B84" s="35" t="s">
        <v>419</v>
      </c>
      <c r="C84" s="42" t="s">
        <v>43</v>
      </c>
      <c r="D84" s="52">
        <f>'SCH B-2.1 F'!D82</f>
        <v>529946.79300000018</v>
      </c>
      <c r="E84" s="50">
        <f>SUMIFS('PIS F'!$X$11:$X$112,'PIS F'!$A$11:$A$112,$B$80,'PIS F'!$B$11:$B$112,$B84)</f>
        <v>-42597.187771499986</v>
      </c>
      <c r="F84" s="66"/>
      <c r="G84" s="52">
        <f t="shared" si="19"/>
        <v>-42597.187771499986</v>
      </c>
      <c r="H84" s="52">
        <v>0</v>
      </c>
      <c r="I84" s="52">
        <f t="shared" si="20"/>
        <v>-42597.187771499986</v>
      </c>
    </row>
    <row r="85" spans="1:16" ht="18.95" customHeight="1">
      <c r="A85" s="34">
        <f t="shared" ref="A85:A90" si="22">A84+1</f>
        <v>56</v>
      </c>
      <c r="B85" s="35" t="s">
        <v>420</v>
      </c>
      <c r="C85" s="42" t="s">
        <v>42</v>
      </c>
      <c r="D85" s="52">
        <f>'SCH B-2.1 F'!D83</f>
        <v>24357578.8527692</v>
      </c>
      <c r="E85" s="50">
        <f>SUMIFS('PIS F'!$X$11:$X$112,'PIS F'!$A$11:$A$112,$B$80,'PIS F'!$B$11:$B$112,$B85)</f>
        <v>-11117505.894110747</v>
      </c>
      <c r="F85" s="66"/>
      <c r="G85" s="52">
        <f t="shared" si="19"/>
        <v>-11117505.894110747</v>
      </c>
      <c r="H85" s="52">
        <v>0</v>
      </c>
      <c r="I85" s="52">
        <f t="shared" si="20"/>
        <v>-11117505.894110747</v>
      </c>
    </row>
    <row r="86" spans="1:16" ht="18.95" customHeight="1">
      <c r="A86" s="34">
        <f t="shared" si="22"/>
        <v>57</v>
      </c>
      <c r="B86" s="35" t="s">
        <v>421</v>
      </c>
      <c r="C86" s="42" t="s">
        <v>45</v>
      </c>
      <c r="D86" s="52">
        <f>'SCH B-2.1 F'!D84</f>
        <v>13144396.146461533</v>
      </c>
      <c r="E86" s="50">
        <f>SUMIFS('PIS F'!$X$11:$X$112,'PIS F'!$A$11:$A$112,$B$80,'PIS F'!$B$11:$B$112,$B86)</f>
        <v>-5069210.1260493742</v>
      </c>
      <c r="F86" s="66"/>
      <c r="G86" s="52">
        <f t="shared" si="19"/>
        <v>-5069210.1260493742</v>
      </c>
      <c r="H86" s="52">
        <v>0</v>
      </c>
      <c r="I86" s="52">
        <f t="shared" si="20"/>
        <v>-5069210.1260493742</v>
      </c>
    </row>
    <row r="87" spans="1:16" ht="18.95" customHeight="1">
      <c r="A87" s="34">
        <f t="shared" si="22"/>
        <v>58</v>
      </c>
      <c r="B87" s="35" t="s">
        <v>422</v>
      </c>
      <c r="C87" s="42" t="s">
        <v>44</v>
      </c>
      <c r="D87" s="52">
        <f>'SCH B-2.1 F'!D85</f>
        <v>82252.910999999993</v>
      </c>
      <c r="E87" s="50">
        <f>SUMIFS('PIS F'!$X$11:$X$112,'PIS F'!$A$11:$A$112,$B$80,'PIS F'!$B$11:$B$112,$B87)</f>
        <v>-59529.192507569998</v>
      </c>
      <c r="F87" s="66"/>
      <c r="G87" s="52">
        <f t="shared" si="19"/>
        <v>-59529.192507569998</v>
      </c>
      <c r="H87" s="52">
        <v>0</v>
      </c>
      <c r="I87" s="52">
        <f t="shared" si="20"/>
        <v>-59529.192507569998</v>
      </c>
    </row>
    <row r="88" spans="1:16" ht="18.95" customHeight="1">
      <c r="A88" s="34">
        <f t="shared" si="22"/>
        <v>59</v>
      </c>
      <c r="B88" s="35" t="s">
        <v>423</v>
      </c>
      <c r="C88" s="42" t="s">
        <v>424</v>
      </c>
      <c r="D88" s="52">
        <f>'SCH B-2.1 F'!D86</f>
        <v>441322.50599999999</v>
      </c>
      <c r="E88" s="50">
        <f>SUMIFS('PIS F'!$X$11:$X$112,'PIS F'!$A$11:$A$112,$B$80,'PIS F'!$B$11:$B$112,$B88)</f>
        <v>-298447.34107139992</v>
      </c>
      <c r="F88" s="66"/>
      <c r="G88" s="52">
        <f t="shared" si="19"/>
        <v>-298447.34107139992</v>
      </c>
      <c r="H88" s="52">
        <v>0</v>
      </c>
      <c r="I88" s="52">
        <f t="shared" si="20"/>
        <v>-298447.34107139992</v>
      </c>
    </row>
    <row r="89" spans="1:16" ht="18.95" customHeight="1">
      <c r="A89" s="34">
        <f t="shared" si="22"/>
        <v>60</v>
      </c>
      <c r="B89" s="35" t="s">
        <v>425</v>
      </c>
      <c r="C89" s="42" t="s">
        <v>426</v>
      </c>
      <c r="D89" s="52">
        <f>'SCH B-2.1 F'!D87</f>
        <v>1226167.8586153849</v>
      </c>
      <c r="E89" s="50">
        <f>SUMIFS('PIS F'!$X$11:$X$112,'PIS F'!$A$11:$A$112,$B$80,'PIS F'!$B$11:$B$112,$B89)</f>
        <v>-715825.15293738444</v>
      </c>
      <c r="F89" s="66"/>
      <c r="G89" s="52">
        <f t="shared" si="19"/>
        <v>-715825.15293738444</v>
      </c>
      <c r="H89" s="52">
        <v>0</v>
      </c>
      <c r="I89" s="52">
        <f t="shared" si="20"/>
        <v>-715825.15293738444</v>
      </c>
      <c r="L89" s="67"/>
      <c r="M89" s="67"/>
      <c r="N89" s="67"/>
      <c r="O89" s="67"/>
      <c r="P89" s="68"/>
    </row>
    <row r="90" spans="1:16" ht="18.95" customHeight="1">
      <c r="A90" s="34">
        <f t="shared" si="22"/>
        <v>61</v>
      </c>
      <c r="B90" s="35" t="s">
        <v>427</v>
      </c>
      <c r="C90" s="42" t="s">
        <v>428</v>
      </c>
      <c r="D90" s="52">
        <f>'SCH B-2.1 F'!D88</f>
        <v>0</v>
      </c>
      <c r="E90" s="50">
        <f>SUMIFS('PIS F'!$X$11:$X$112,'PIS F'!$A$11:$A$112,$B$80,'PIS F'!$B$11:$B$112,$B90)</f>
        <v>0</v>
      </c>
      <c r="F90" s="66"/>
      <c r="G90" s="52">
        <f t="shared" si="19"/>
        <v>0</v>
      </c>
      <c r="H90" s="52">
        <v>0</v>
      </c>
      <c r="I90" s="52">
        <f t="shared" si="20"/>
        <v>0</v>
      </c>
      <c r="L90" s="67"/>
      <c r="M90" s="67"/>
      <c r="N90" s="67"/>
      <c r="O90" s="67"/>
      <c r="P90" s="68"/>
    </row>
    <row r="91" spans="1:16" s="32" customFormat="1" ht="20.100000000000001" customHeight="1">
      <c r="A91" s="494" t="str">
        <f>$A$1</f>
        <v>LOUISVILLE GAS AND ELECTRIC COMPANY</v>
      </c>
      <c r="B91" s="494"/>
      <c r="C91" s="494"/>
      <c r="D91" s="494"/>
      <c r="E91" s="494"/>
      <c r="F91" s="494"/>
      <c r="G91" s="494"/>
      <c r="H91" s="494"/>
      <c r="I91" s="494"/>
    </row>
    <row r="92" spans="1:16" s="32" customFormat="1" ht="20.100000000000001" customHeight="1">
      <c r="A92" s="494" t="str">
        <f>$A$2</f>
        <v>CASE NO. 2016-00371 - GAS OPERATIONS</v>
      </c>
      <c r="B92" s="494"/>
      <c r="C92" s="494"/>
      <c r="D92" s="494"/>
      <c r="E92" s="494"/>
      <c r="F92" s="494"/>
      <c r="G92" s="494"/>
      <c r="H92" s="494"/>
      <c r="I92" s="494"/>
    </row>
    <row r="93" spans="1:16" s="32" customFormat="1" ht="20.100000000000001" customHeight="1">
      <c r="A93" s="494" t="str">
        <f>$A$3</f>
        <v>ACCUMULATED DEPRECIATION AND AMORTIZATION</v>
      </c>
      <c r="B93" s="494"/>
      <c r="C93" s="494"/>
      <c r="D93" s="494"/>
      <c r="E93" s="494"/>
      <c r="F93" s="494"/>
      <c r="G93" s="494"/>
      <c r="H93" s="494"/>
      <c r="I93" s="494"/>
    </row>
    <row r="94" spans="1:16" s="32" customFormat="1" ht="20.100000000000001" customHeight="1">
      <c r="A94" s="493" t="str">
        <f>$A$4</f>
        <v>AS OF JUNE 30, 2018</v>
      </c>
      <c r="B94" s="494"/>
      <c r="C94" s="494"/>
      <c r="D94" s="494"/>
      <c r="E94" s="494"/>
      <c r="F94" s="494"/>
      <c r="G94" s="494"/>
      <c r="H94" s="494"/>
      <c r="I94" s="494"/>
    </row>
    <row r="95" spans="1:16" s="32" customFormat="1" ht="20.100000000000001" customHeight="1">
      <c r="A95" s="128"/>
      <c r="B95" s="128"/>
      <c r="C95" s="128"/>
      <c r="D95" s="128"/>
      <c r="E95" s="128"/>
      <c r="F95" s="128"/>
      <c r="G95" s="128"/>
      <c r="H95" s="128"/>
      <c r="I95" s="128"/>
    </row>
    <row r="96" spans="1:16" s="32" customFormat="1" ht="20.100000000000001" customHeight="1">
      <c r="A96" s="31" t="str">
        <f>$A$6</f>
        <v>DATA:____BASE  PERIOD__X__FORECASTED  PERIOD</v>
      </c>
      <c r="B96" s="31"/>
      <c r="H96" s="38"/>
      <c r="I96" s="39" t="str">
        <f>$I$6</f>
        <v>SCHEDULE B-3</v>
      </c>
    </row>
    <row r="97" spans="1:16" s="32" customFormat="1" ht="20.100000000000001" customHeight="1">
      <c r="A97" s="31" t="str">
        <f>$A$7</f>
        <v>TYPE OF FILING: __X__ ORIGINAL  _____ UPDATED  _____ REVISED</v>
      </c>
      <c r="H97" s="38"/>
      <c r="I97" s="38" t="s">
        <v>57</v>
      </c>
    </row>
    <row r="98" spans="1:16" s="32" customFormat="1" ht="20.100000000000001" customHeight="1">
      <c r="A98" s="31" t="str">
        <f>$A$8</f>
        <v>WORKPAPER REFERENCE NO(S).:</v>
      </c>
      <c r="B98" s="31"/>
      <c r="F98" s="31"/>
      <c r="G98" s="31"/>
      <c r="H98" s="39"/>
      <c r="I98" s="39" t="str">
        <f>$I$8</f>
        <v>WITNESS:   C. M. GARRETT</v>
      </c>
    </row>
    <row r="99" spans="1:16" s="32" customFormat="1" ht="20.100000000000001" customHeight="1"/>
    <row r="100" spans="1:16" s="32" customFormat="1" ht="20.100000000000001" customHeight="1">
      <c r="A100" s="59"/>
      <c r="B100" s="59"/>
      <c r="C100" s="59"/>
      <c r="D100" s="59"/>
      <c r="E100" s="496" t="s">
        <v>165</v>
      </c>
      <c r="F100" s="496"/>
      <c r="G100" s="496"/>
      <c r="H100" s="496"/>
      <c r="I100" s="496"/>
    </row>
    <row r="101" spans="1:16" ht="95.1" customHeight="1">
      <c r="A101" s="35" t="s">
        <v>29</v>
      </c>
      <c r="B101" s="35" t="s">
        <v>32</v>
      </c>
      <c r="C101" s="42" t="s">
        <v>33</v>
      </c>
      <c r="D101" s="35" t="s">
        <v>164</v>
      </c>
      <c r="E101" s="35" t="s">
        <v>155</v>
      </c>
      <c r="F101" s="35" t="s">
        <v>111</v>
      </c>
      <c r="G101" s="35" t="s">
        <v>112</v>
      </c>
      <c r="H101" s="35" t="s">
        <v>113</v>
      </c>
      <c r="I101" s="35" t="s">
        <v>114</v>
      </c>
    </row>
    <row r="102" spans="1:16" ht="23.1" customHeight="1">
      <c r="A102" s="44"/>
      <c r="B102" s="44"/>
      <c r="C102" s="45"/>
      <c r="D102" s="46" t="s">
        <v>40</v>
      </c>
      <c r="E102" s="46" t="s">
        <v>40</v>
      </c>
      <c r="F102" s="131">
        <v>1</v>
      </c>
      <c r="G102" s="46" t="s">
        <v>40</v>
      </c>
      <c r="H102" s="46" t="s">
        <v>40</v>
      </c>
      <c r="I102" s="46" t="s">
        <v>40</v>
      </c>
    </row>
    <row r="103" spans="1:16" ht="18.95" customHeight="1">
      <c r="A103" s="34">
        <f>A90+1</f>
        <v>62</v>
      </c>
      <c r="B103" s="35" t="s">
        <v>429</v>
      </c>
      <c r="C103" s="42" t="s">
        <v>430</v>
      </c>
      <c r="D103" s="52">
        <f>'SCH B-2.1 F'!D101</f>
        <v>12822626.2333846</v>
      </c>
      <c r="E103" s="52">
        <f>SUMIFS('PIS F'!$X$11:$X$112,'PIS F'!$A$11:$A$112,$B$80,'PIS F'!$B$11:$B$112,$B103)</f>
        <v>-90743.822026346752</v>
      </c>
      <c r="F103" s="66"/>
      <c r="G103" s="52">
        <f t="shared" ref="G103:G106" si="23">E103</f>
        <v>-90743.822026346752</v>
      </c>
      <c r="H103" s="52">
        <v>0</v>
      </c>
      <c r="I103" s="52">
        <f t="shared" ref="I103:I106" si="24">SUM(G103:H103)</f>
        <v>-90743.822026346752</v>
      </c>
    </row>
    <row r="104" spans="1:16" ht="18.95" customHeight="1">
      <c r="A104" s="34">
        <f t="shared" ref="A104:A107" si="25">A103+1</f>
        <v>63</v>
      </c>
      <c r="B104" s="35" t="s">
        <v>431</v>
      </c>
      <c r="C104" s="42" t="s">
        <v>46</v>
      </c>
      <c r="D104" s="52">
        <f>'SCH B-2.1 F'!D102</f>
        <v>0</v>
      </c>
      <c r="E104" s="52">
        <f>SUMIFS('PIS F'!$X$11:$X$112,'PIS F'!$A$11:$A$112,$B$80,'PIS F'!$B$11:$B$112,$B104)</f>
        <v>-9971601.5287041273</v>
      </c>
      <c r="F104" s="66"/>
      <c r="G104" s="52">
        <f t="shared" si="23"/>
        <v>-9971601.5287041273</v>
      </c>
      <c r="H104" s="52">
        <v>0</v>
      </c>
      <c r="I104" s="52">
        <f t="shared" si="24"/>
        <v>-9971601.5287041273</v>
      </c>
    </row>
    <row r="105" spans="1:16" ht="18.95" customHeight="1">
      <c r="A105" s="34">
        <f t="shared" si="25"/>
        <v>64</v>
      </c>
      <c r="B105" s="35" t="s">
        <v>432</v>
      </c>
      <c r="C105" s="42" t="s">
        <v>433</v>
      </c>
      <c r="D105" s="52">
        <f>'SCH B-2.1 F'!D103</f>
        <v>0</v>
      </c>
      <c r="E105" s="52">
        <f>SUMIFS('PIS F'!$X$11:$X$112,'PIS F'!$A$11:$A$112,$B$80,'PIS F'!$B$11:$B$112,$B105)</f>
        <v>0</v>
      </c>
      <c r="F105" s="66"/>
      <c r="G105" s="52">
        <f t="shared" si="23"/>
        <v>0</v>
      </c>
      <c r="H105" s="52">
        <v>0</v>
      </c>
      <c r="I105" s="52">
        <f t="shared" si="24"/>
        <v>0</v>
      </c>
    </row>
    <row r="106" spans="1:16" ht="18.95" customHeight="1">
      <c r="A106" s="34">
        <f t="shared" si="25"/>
        <v>65</v>
      </c>
      <c r="B106" s="35">
        <v>399</v>
      </c>
      <c r="C106" s="42" t="s">
        <v>490</v>
      </c>
      <c r="D106" s="53">
        <f>'SCH B-2.1 F'!D104</f>
        <v>86673008.358923018</v>
      </c>
      <c r="E106" s="53">
        <f>SUMIFS('PIS F'!$X$11:$X$112,'PIS F'!$A$11:$A$112,$B$80,'PIS F'!$B$11:$B$112,$B106)</f>
        <v>0</v>
      </c>
      <c r="F106" s="66"/>
      <c r="G106" s="53">
        <f t="shared" si="23"/>
        <v>0</v>
      </c>
      <c r="H106" s="53">
        <v>0</v>
      </c>
      <c r="I106" s="53">
        <f t="shared" si="24"/>
        <v>0</v>
      </c>
    </row>
    <row r="107" spans="1:16" ht="18.95" customHeight="1">
      <c r="A107" s="34">
        <f t="shared" si="25"/>
        <v>66</v>
      </c>
      <c r="B107" s="35"/>
      <c r="C107" s="42" t="s">
        <v>622</v>
      </c>
      <c r="D107" s="50">
        <f>SUM(D81:D90,D103:D106)</f>
        <v>173243240.85484603</v>
      </c>
      <c r="E107" s="50">
        <f>SUM(E81:E90,E103:E106)</f>
        <v>-44929599.116095342</v>
      </c>
      <c r="F107" s="50"/>
      <c r="G107" s="50">
        <f t="shared" ref="G107:I107" si="26">SUM(G81:G90,G103:G106)</f>
        <v>-44929599.116095342</v>
      </c>
      <c r="H107" s="50">
        <f t="shared" si="26"/>
        <v>0</v>
      </c>
      <c r="I107" s="50">
        <f t="shared" si="26"/>
        <v>-44929599.116095342</v>
      </c>
      <c r="L107" s="67"/>
      <c r="M107" s="67"/>
      <c r="N107" s="67"/>
      <c r="O107" s="67"/>
      <c r="P107" s="68"/>
    </row>
    <row r="108" spans="1:16" ht="18.95" customHeight="1">
      <c r="A108" s="34"/>
      <c r="B108" s="35"/>
    </row>
    <row r="109" spans="1:16" ht="18.95" customHeight="1" thickBot="1">
      <c r="A109" s="34">
        <f>A107+1</f>
        <v>67</v>
      </c>
      <c r="B109" s="35"/>
      <c r="C109" s="32" t="s">
        <v>627</v>
      </c>
      <c r="D109" s="57">
        <f>SUM(D17,D32,D38,D65,D78,D107)</f>
        <v>1369344809.5233068</v>
      </c>
      <c r="E109" s="57">
        <f>SUM(E17,E32,E38,E65,E78,E107)</f>
        <v>-376216941.26606643</v>
      </c>
      <c r="F109" s="50"/>
      <c r="G109" s="57">
        <f>SUM(G17,G32,G38,G65,G78,G107)</f>
        <v>-376216941.26606643</v>
      </c>
      <c r="H109" s="57">
        <f>SUM(H17,H32,H38,H65,H78,H107)</f>
        <v>2746781.3943725699</v>
      </c>
      <c r="I109" s="57">
        <f>SUM(I17,I32,I38,I65,I78,I107)</f>
        <v>-373470159.87169391</v>
      </c>
    </row>
    <row r="110" spans="1:16" ht="18.95" customHeight="1" thickTop="1">
      <c r="B110" s="35"/>
    </row>
    <row r="111" spans="1:16" ht="18.95" customHeight="1">
      <c r="B111" s="35"/>
      <c r="C111" s="130" t="s">
        <v>620</v>
      </c>
      <c r="D111" s="50"/>
    </row>
    <row r="112" spans="1:16" ht="18.95" customHeight="1">
      <c r="B112" s="35"/>
      <c r="C112" s="42"/>
      <c r="E112" s="56"/>
    </row>
    <row r="113" spans="2:5" ht="18.95" customHeight="1">
      <c r="B113" s="35"/>
      <c r="C113" s="32" t="s">
        <v>491</v>
      </c>
      <c r="E113" s="50">
        <f>'PIS F'!X116</f>
        <v>-376216941.26606631</v>
      </c>
    </row>
    <row r="114" spans="2:5" ht="18.95" customHeight="1">
      <c r="B114" s="35"/>
      <c r="E114" s="56">
        <f>E109-E113</f>
        <v>0</v>
      </c>
    </row>
    <row r="115" spans="2:5" ht="18.95" customHeight="1">
      <c r="D115" s="33" t="s">
        <v>47</v>
      </c>
    </row>
    <row r="116" spans="2:5" ht="18.95" customHeight="1"/>
    <row r="117" spans="2:5" ht="18.95" customHeight="1"/>
    <row r="118" spans="2:5" ht="18.95" customHeight="1"/>
    <row r="119" spans="2:5" ht="18.95" customHeight="1"/>
    <row r="120" spans="2:5" ht="18.95" customHeight="1"/>
    <row r="121" spans="2:5" ht="18.95" customHeight="1"/>
    <row r="122" spans="2:5" ht="18.95" customHeight="1"/>
    <row r="123" spans="2:5" ht="18.95" customHeight="1"/>
    <row r="124" spans="2:5" ht="18.95" customHeight="1"/>
    <row r="125" spans="2:5" ht="18.95" customHeight="1"/>
    <row r="126" spans="2:5" ht="18.95" customHeight="1"/>
    <row r="127" spans="2:5" ht="18.95" customHeight="1"/>
  </sheetData>
  <mergeCells count="15">
    <mergeCell ref="A1:I1"/>
    <mergeCell ref="A2:I2"/>
    <mergeCell ref="A4:I4"/>
    <mergeCell ref="E10:I10"/>
    <mergeCell ref="A46:I46"/>
    <mergeCell ref="A93:I93"/>
    <mergeCell ref="A94:I94"/>
    <mergeCell ref="E100:I100"/>
    <mergeCell ref="A3:J3"/>
    <mergeCell ref="A47:I47"/>
    <mergeCell ref="A48:I48"/>
    <mergeCell ref="A49:I49"/>
    <mergeCell ref="E55:I55"/>
    <mergeCell ref="A91:I91"/>
    <mergeCell ref="A92:I92"/>
  </mergeCells>
  <pageMargins left="0.95" right="0.5" top="0.75" bottom="0.75" header="0.3" footer="0.3"/>
  <pageSetup scale="61" fitToHeight="0" orientation="portrait" r:id="rId1"/>
  <rowBreaks count="2" manualBreakCount="2">
    <brk id="45" max="16383" man="1"/>
    <brk id="90" max="9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M47"/>
  <sheetViews>
    <sheetView zoomScaleNormal="100" workbookViewId="0">
      <selection activeCell="L24" sqref="L24"/>
    </sheetView>
  </sheetViews>
  <sheetFormatPr defaultColWidth="9" defaultRowHeight="12.75"/>
  <cols>
    <col min="1" max="1" width="6" style="33" customWidth="1"/>
    <col min="2" max="2" width="7.6640625" style="33" customWidth="1"/>
    <col min="3" max="3" width="29.77734375" style="33" customWidth="1"/>
    <col min="4" max="4" width="12.6640625" style="33" customWidth="1"/>
    <col min="5" max="5" width="14.88671875" style="33" customWidth="1"/>
    <col min="6" max="6" width="14.77734375" style="33" customWidth="1"/>
    <col min="7" max="7" width="15.33203125" style="33" customWidth="1"/>
    <col min="8" max="8" width="31.21875" style="33" customWidth="1"/>
    <col min="9" max="9" width="1.6640625" style="33" customWidth="1"/>
    <col min="10" max="10" width="9" style="33"/>
    <col min="11" max="11" width="12.6640625" style="33" customWidth="1"/>
    <col min="12" max="12" width="9.44140625" style="33" bestFit="1" customWidth="1"/>
    <col min="13" max="13" width="11.44140625" style="33" customWidth="1"/>
    <col min="14" max="16384" width="9" style="33"/>
  </cols>
  <sheetData>
    <row r="1" spans="1:13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  <c r="G1" s="494"/>
      <c r="H1" s="494"/>
    </row>
    <row r="2" spans="1:13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  <c r="G2" s="494"/>
      <c r="H2" s="494"/>
    </row>
    <row r="3" spans="1:13" s="32" customFormat="1" ht="20.100000000000001" customHeight="1">
      <c r="A3" s="494" t="s">
        <v>161</v>
      </c>
      <c r="B3" s="494"/>
      <c r="C3" s="494"/>
      <c r="D3" s="494"/>
      <c r="E3" s="494"/>
      <c r="F3" s="494"/>
      <c r="G3" s="494"/>
      <c r="H3" s="494"/>
      <c r="I3" s="494"/>
    </row>
    <row r="4" spans="1:13" s="32" customFormat="1" ht="20.100000000000001" customHeight="1">
      <c r="A4" s="494" t="str">
        <f>'Rate Case Constants'!C12</f>
        <v>AS OF FEBRUARY 28, 2017</v>
      </c>
      <c r="B4" s="494"/>
      <c r="C4" s="494"/>
      <c r="D4" s="494"/>
      <c r="E4" s="494"/>
      <c r="F4" s="494"/>
      <c r="G4" s="494"/>
      <c r="H4" s="494"/>
    </row>
    <row r="5" spans="1:13" s="32" customFormat="1" ht="20.100000000000001" customHeight="1">
      <c r="A5" s="48"/>
      <c r="B5" s="48"/>
      <c r="C5" s="48"/>
      <c r="D5" s="48"/>
      <c r="E5" s="48"/>
      <c r="F5" s="48"/>
      <c r="G5" s="48"/>
      <c r="H5" s="48"/>
    </row>
    <row r="6" spans="1:13" s="32" customFormat="1" ht="20.100000000000001" customHeight="1">
      <c r="A6" s="31" t="s">
        <v>31</v>
      </c>
      <c r="B6" s="31"/>
      <c r="G6" s="38"/>
      <c r="H6" s="38" t="s">
        <v>160</v>
      </c>
    </row>
    <row r="7" spans="1:13" s="32" customFormat="1" ht="20.100000000000001" customHeight="1">
      <c r="A7" s="32" t="str">
        <f>'Rate Case Constants'!C29</f>
        <v>TYPE OF FILING: __X__ ORIGINAL  _____ UPDATED  _____ REVISED</v>
      </c>
      <c r="G7" s="38"/>
      <c r="H7" s="38" t="s">
        <v>64</v>
      </c>
    </row>
    <row r="8" spans="1:13" s="32" customFormat="1" ht="20.100000000000001" customHeight="1">
      <c r="A8" s="31" t="s">
        <v>151</v>
      </c>
      <c r="B8" s="31"/>
      <c r="F8" s="31"/>
      <c r="G8" s="39"/>
      <c r="H8" s="39" t="str">
        <f>'Rate Case Constants'!C36</f>
        <v>WITNESS:   C. M. GARRETT</v>
      </c>
    </row>
    <row r="9" spans="1:13" s="32" customFormat="1" ht="20.100000000000001" customHeight="1"/>
    <row r="10" spans="1:13" ht="58.5" customHeight="1">
      <c r="A10" s="40" t="s">
        <v>29</v>
      </c>
      <c r="B10" s="40" t="s">
        <v>32</v>
      </c>
      <c r="C10" s="43" t="s">
        <v>33</v>
      </c>
      <c r="D10" s="40" t="s">
        <v>103</v>
      </c>
      <c r="E10" s="40" t="s">
        <v>104</v>
      </c>
      <c r="F10" s="40" t="s">
        <v>105</v>
      </c>
      <c r="G10" s="40" t="s">
        <v>106</v>
      </c>
      <c r="H10" s="40" t="s">
        <v>107</v>
      </c>
      <c r="K10" s="380"/>
    </row>
    <row r="11" spans="1:13" ht="23.1" customHeight="1">
      <c r="A11" s="44"/>
      <c r="B11" s="44"/>
      <c r="C11" s="45"/>
      <c r="D11" s="46" t="s">
        <v>40</v>
      </c>
      <c r="E11" s="46"/>
      <c r="F11" s="46" t="s">
        <v>40</v>
      </c>
      <c r="G11" s="46"/>
      <c r="H11" s="46"/>
      <c r="K11" s="390"/>
    </row>
    <row r="12" spans="1:13" ht="18.95" customHeight="1">
      <c r="A12" s="72">
        <v>1</v>
      </c>
      <c r="B12" s="342">
        <f>'SCH B-3 B'!B$31</f>
        <v>358</v>
      </c>
      <c r="C12" s="32" t="str">
        <f>'SCH B-3 B'!C$31</f>
        <v>ARO Cost Gas UG Store</v>
      </c>
      <c r="D12" s="343">
        <f>SUMIFS('FCPIS B'!$S$234:$S$280,'FCPIS B'!$E$234:$E$280,$J12,'FCPIS B'!$C$234:$C$280,$B12)*1000</f>
        <v>994496.55975199898</v>
      </c>
      <c r="E12" s="347">
        <v>1</v>
      </c>
      <c r="F12" s="343">
        <f t="shared" ref="F12:F16" si="0">D12*E12</f>
        <v>994496.55975199898</v>
      </c>
      <c r="H12" s="32" t="s">
        <v>260</v>
      </c>
      <c r="J12" s="32" t="s">
        <v>1059</v>
      </c>
      <c r="K12" s="52"/>
      <c r="L12" s="52"/>
      <c r="M12" s="414"/>
    </row>
    <row r="13" spans="1:13" ht="18.95" customHeight="1">
      <c r="A13" s="72">
        <f>A12+1</f>
        <v>2</v>
      </c>
      <c r="B13" s="342">
        <f>'SCH B-3 B'!B$37</f>
        <v>372</v>
      </c>
      <c r="C13" s="32" t="str">
        <f>'SCH B-3 B'!C$37</f>
        <v>ARO Cost Gas Transmission</v>
      </c>
      <c r="D13" s="343">
        <f>SUMIFS('FCPIS B'!$S$234:$S$280,'FCPIS B'!$E$234:$E$280,$J13,'FCPIS B'!$C$234:$C$280,$B13)*1000</f>
        <v>346544.82546599902</v>
      </c>
      <c r="E13" s="347">
        <v>1</v>
      </c>
      <c r="F13" s="343">
        <f t="shared" si="0"/>
        <v>346544.82546599902</v>
      </c>
      <c r="H13" s="32" t="s">
        <v>260</v>
      </c>
      <c r="J13" s="32" t="s">
        <v>1059</v>
      </c>
      <c r="K13" s="52"/>
      <c r="M13" s="414"/>
    </row>
    <row r="14" spans="1:13" ht="18.95" customHeight="1">
      <c r="A14" s="184">
        <f>A13+1</f>
        <v>3</v>
      </c>
      <c r="B14" s="342">
        <v>376</v>
      </c>
      <c r="C14" s="31" t="s">
        <v>609</v>
      </c>
      <c r="D14" s="343">
        <f>SUMIFS('FCPIS B'!$S$234:$S$280,'FCPIS B'!$E$234:$E$280,$J14,'FCPIS B'!$C$234:$C$280,$B14)*1000</f>
        <v>1810154.648977</v>
      </c>
      <c r="E14" s="68">
        <v>1</v>
      </c>
      <c r="F14" s="343">
        <f t="shared" si="0"/>
        <v>1810154.648977</v>
      </c>
      <c r="H14" s="32" t="s">
        <v>784</v>
      </c>
      <c r="J14" s="32" t="s">
        <v>1062</v>
      </c>
      <c r="K14" s="52"/>
    </row>
    <row r="15" spans="1:13" ht="18.95" customHeight="1">
      <c r="A15" s="184">
        <f t="shared" ref="A15:A16" si="1">A14+1</f>
        <v>4</v>
      </c>
      <c r="B15" s="342">
        <v>380</v>
      </c>
      <c r="C15" s="31" t="s">
        <v>417</v>
      </c>
      <c r="D15" s="343">
        <f>SUMIFS('FCPIS B'!$S$234:$S$280,'FCPIS B'!$E$234:$E$280,$J15,'FCPIS B'!$C$234:$C$280,$B15)*1000-('FCPIS B'!P$201*1)*1000</f>
        <v>7505654.4230000013</v>
      </c>
      <c r="E15" s="68">
        <v>1</v>
      </c>
      <c r="F15" s="343">
        <f t="shared" si="0"/>
        <v>7505654.4230000013</v>
      </c>
      <c r="H15" s="32" t="s">
        <v>784</v>
      </c>
      <c r="J15" s="32" t="s">
        <v>1062</v>
      </c>
      <c r="K15" s="390"/>
    </row>
    <row r="16" spans="1:13" ht="18.95" customHeight="1">
      <c r="A16" s="184">
        <f t="shared" si="1"/>
        <v>5</v>
      </c>
      <c r="B16" s="342">
        <f>'SCH B-3 B'!B$64</f>
        <v>388</v>
      </c>
      <c r="C16" s="32" t="str">
        <f>'SCH B-3 B'!C$64</f>
        <v>ARO Cost Gas Distribution</v>
      </c>
      <c r="D16" s="343">
        <f>SUMIFS('FCPIS B'!$S$234:$S$280,'FCPIS B'!$E$234:$E$280,$J16,'FCPIS B'!$C$234:$C$280,$B16)*1000</f>
        <v>1462931.7442399899</v>
      </c>
      <c r="E16" s="347">
        <v>1</v>
      </c>
      <c r="F16" s="343">
        <f t="shared" si="0"/>
        <v>1462931.7442399899</v>
      </c>
      <c r="H16" s="32" t="s">
        <v>260</v>
      </c>
      <c r="J16" s="32" t="s">
        <v>1059</v>
      </c>
      <c r="K16" s="52"/>
    </row>
    <row r="17" spans="1:13" ht="18.95" customHeight="1">
      <c r="A17" s="184"/>
      <c r="B17" s="342"/>
      <c r="C17" s="32"/>
      <c r="D17" s="343"/>
      <c r="E17" s="347"/>
      <c r="F17" s="343"/>
      <c r="H17" s="32"/>
      <c r="K17" s="52"/>
    </row>
    <row r="18" spans="1:13" ht="18.95" customHeight="1" thickBot="1">
      <c r="A18" s="72">
        <f>A16+1</f>
        <v>6</v>
      </c>
      <c r="B18" s="342"/>
      <c r="C18" s="32" t="s">
        <v>785</v>
      </c>
      <c r="D18" s="344">
        <f>SUM(D12:D17)</f>
        <v>12119782.201434989</v>
      </c>
      <c r="E18" s="347"/>
      <c r="F18" s="344">
        <f>SUM(F12:F17)</f>
        <v>12119782.201434989</v>
      </c>
      <c r="H18" s="32"/>
      <c r="K18" s="52"/>
    </row>
    <row r="19" spans="1:13" ht="18.95" customHeight="1" thickTop="1">
      <c r="A19" s="72"/>
      <c r="B19" s="35"/>
      <c r="C19" s="32"/>
      <c r="D19" s="52"/>
      <c r="E19" s="66"/>
      <c r="F19" s="52"/>
      <c r="H19" s="77"/>
    </row>
    <row r="20" spans="1:13" s="32" customFormat="1" ht="20.100000000000001" customHeight="1">
      <c r="A20" s="494" t="str">
        <f>$A$1</f>
        <v>LOUISVILLE GAS AND ELECTRIC COMPANY</v>
      </c>
      <c r="B20" s="494"/>
      <c r="C20" s="494"/>
      <c r="D20" s="494"/>
      <c r="E20" s="494"/>
      <c r="F20" s="494"/>
      <c r="G20" s="494"/>
      <c r="H20" s="494"/>
    </row>
    <row r="21" spans="1:13" s="32" customFormat="1" ht="20.100000000000001" customHeight="1">
      <c r="A21" s="494" t="str">
        <f>$A$2</f>
        <v>CASE NO. 2016-00371 - GAS OPERATIONS</v>
      </c>
      <c r="B21" s="494"/>
      <c r="C21" s="494"/>
      <c r="D21" s="494"/>
      <c r="E21" s="494"/>
      <c r="F21" s="494"/>
      <c r="G21" s="494"/>
      <c r="H21" s="494"/>
    </row>
    <row r="22" spans="1:13" s="32" customFormat="1" ht="20.100000000000001" customHeight="1">
      <c r="A22" s="494" t="str">
        <f>$A$3</f>
        <v>ADJUSTMENTS TO ACCUMULATED DEPRECIATION AND AMORTIZATION</v>
      </c>
      <c r="B22" s="494"/>
      <c r="C22" s="494"/>
      <c r="D22" s="494"/>
      <c r="E22" s="494"/>
      <c r="F22" s="494"/>
      <c r="G22" s="494"/>
      <c r="H22" s="494"/>
    </row>
    <row r="23" spans="1:13" s="32" customFormat="1" ht="20.100000000000001" customHeight="1">
      <c r="A23" s="494" t="str">
        <f>'Rate Case Constants'!C18</f>
        <v>AS OF JUNE 30, 2018</v>
      </c>
      <c r="B23" s="494"/>
      <c r="C23" s="494"/>
      <c r="D23" s="494"/>
      <c r="E23" s="494"/>
      <c r="F23" s="494"/>
      <c r="G23" s="494"/>
      <c r="H23" s="494"/>
    </row>
    <row r="24" spans="1:13" s="32" customFormat="1" ht="20.100000000000001" customHeight="1">
      <c r="A24" s="48"/>
      <c r="B24" s="48"/>
      <c r="C24" s="48"/>
      <c r="D24" s="48"/>
      <c r="E24" s="48"/>
      <c r="F24" s="48"/>
      <c r="G24" s="48"/>
      <c r="H24" s="48"/>
    </row>
    <row r="25" spans="1:13" s="32" customFormat="1" ht="20.100000000000001" customHeight="1">
      <c r="A25" s="31" t="s">
        <v>48</v>
      </c>
      <c r="B25" s="31"/>
      <c r="G25" s="38"/>
      <c r="H25" s="38" t="s">
        <v>160</v>
      </c>
    </row>
    <row r="26" spans="1:13" s="32" customFormat="1" ht="20.100000000000001" customHeight="1">
      <c r="A26" s="31" t="str">
        <f>$A$7</f>
        <v>TYPE OF FILING: __X__ ORIGINAL  _____ UPDATED  _____ REVISED</v>
      </c>
      <c r="G26" s="38"/>
      <c r="H26" s="38" t="s">
        <v>72</v>
      </c>
    </row>
    <row r="27" spans="1:13" s="32" customFormat="1" ht="20.100000000000001" customHeight="1">
      <c r="A27" s="31" t="str">
        <f>$A$8</f>
        <v>WORKPAPER REFERENCE NO(S).:</v>
      </c>
      <c r="B27" s="31"/>
      <c r="F27" s="31"/>
      <c r="G27" s="39"/>
      <c r="H27" s="39" t="str">
        <f>$H$8</f>
        <v>WITNESS:   C. M. GARRETT</v>
      </c>
    </row>
    <row r="28" spans="1:13" s="32" customFormat="1" ht="20.100000000000001" customHeight="1"/>
    <row r="29" spans="1:13" ht="58.5" customHeight="1">
      <c r="A29" s="40" t="s">
        <v>29</v>
      </c>
      <c r="B29" s="40" t="s">
        <v>32</v>
      </c>
      <c r="C29" s="43" t="s">
        <v>33</v>
      </c>
      <c r="D29" s="40" t="s">
        <v>103</v>
      </c>
      <c r="E29" s="40" t="s">
        <v>104</v>
      </c>
      <c r="F29" s="40" t="s">
        <v>105</v>
      </c>
      <c r="G29" s="40" t="s">
        <v>106</v>
      </c>
      <c r="H29" s="40" t="s">
        <v>107</v>
      </c>
      <c r="K29" s="380"/>
    </row>
    <row r="30" spans="1:13" ht="23.1" customHeight="1">
      <c r="A30" s="44"/>
      <c r="B30" s="44"/>
      <c r="C30" s="45"/>
      <c r="D30" s="46" t="s">
        <v>40</v>
      </c>
      <c r="E30" s="46"/>
      <c r="F30" s="46" t="s">
        <v>40</v>
      </c>
      <c r="G30" s="46"/>
      <c r="H30" s="46"/>
      <c r="K30" s="390"/>
    </row>
    <row r="31" spans="1:13" ht="18.95" customHeight="1">
      <c r="A31" s="184">
        <v>1</v>
      </c>
      <c r="B31" s="342">
        <f>'SCH B-3 F'!B$31</f>
        <v>358</v>
      </c>
      <c r="C31" s="32" t="str">
        <f>'SCH B-3 F'!C$31</f>
        <v>ARO Cost Gas UG Store</v>
      </c>
      <c r="D31" s="343">
        <f>SUMIFS('FCPIS F'!$T$234:$T$280,'FCPIS F'!$E$234:$E$280,$J31,'FCPIS F'!$C$234:$C$280,$B31)*1000</f>
        <v>1088047.5585119938</v>
      </c>
      <c r="E31" s="347">
        <v>1</v>
      </c>
      <c r="F31" s="343">
        <f t="shared" ref="F31:F35" si="2">D31*E31</f>
        <v>1088047.5585119938</v>
      </c>
      <c r="H31" s="32" t="s">
        <v>260</v>
      </c>
      <c r="J31" s="32" t="s">
        <v>1059</v>
      </c>
      <c r="K31" s="52"/>
      <c r="L31" s="52"/>
      <c r="M31" s="414"/>
    </row>
    <row r="32" spans="1:13" ht="18.95" customHeight="1">
      <c r="A32" s="184">
        <f>A31+1</f>
        <v>2</v>
      </c>
      <c r="B32" s="342">
        <f>'SCH B-3 F'!B$37</f>
        <v>372</v>
      </c>
      <c r="C32" s="32" t="str">
        <f>'SCH B-3 F'!C$37</f>
        <v>ARO Cost Gas Transmission</v>
      </c>
      <c r="D32" s="343">
        <f>SUMIFS('FCPIS F'!$T$234:$T$280,'FCPIS F'!$E$234:$E$280,$J32,'FCPIS F'!$C$234:$C$280,$B32)*1000</f>
        <v>368740.60279599897</v>
      </c>
      <c r="E32" s="347">
        <v>1</v>
      </c>
      <c r="F32" s="343">
        <f t="shared" si="2"/>
        <v>368740.60279599897</v>
      </c>
      <c r="H32" s="32" t="s">
        <v>260</v>
      </c>
      <c r="J32" s="32" t="s">
        <v>1059</v>
      </c>
      <c r="K32" s="52"/>
      <c r="M32" s="414"/>
    </row>
    <row r="33" spans="1:11" ht="18.95" customHeight="1">
      <c r="A33" s="184">
        <f>A32+1</f>
        <v>3</v>
      </c>
      <c r="B33" s="342">
        <v>376</v>
      </c>
      <c r="C33" s="31" t="s">
        <v>609</v>
      </c>
      <c r="D33" s="343">
        <f>SUMIFS('FCPIS F'!$T$234:$T$280,'FCPIS F'!$E$234:$E$280,$J33,'FCPIS F'!$C$234:$C$280,$B33)*1000</f>
        <v>-278159.51986495452</v>
      </c>
      <c r="E33" s="68">
        <v>1</v>
      </c>
      <c r="F33" s="343">
        <f t="shared" si="2"/>
        <v>-278159.51986495452</v>
      </c>
      <c r="H33" s="32" t="s">
        <v>784</v>
      </c>
      <c r="J33" s="32" t="s">
        <v>1062</v>
      </c>
      <c r="K33" s="52"/>
    </row>
    <row r="34" spans="1:11" ht="18.95" customHeight="1">
      <c r="A34" s="184">
        <f t="shared" ref="A34:A35" si="3">A33+1</f>
        <v>4</v>
      </c>
      <c r="B34" s="342">
        <v>380</v>
      </c>
      <c r="C34" s="31" t="s">
        <v>417</v>
      </c>
      <c r="D34" s="343">
        <f>SUMIFS('FCPIS F'!$T$234:$T$280,'FCPIS F'!$E$234:$E$280,$J34,'FCPIS F'!$C$234:$C$280,$B34)*1000</f>
        <v>-10925.812510458894</v>
      </c>
      <c r="E34" s="68">
        <v>1</v>
      </c>
      <c r="F34" s="343">
        <f t="shared" si="2"/>
        <v>-10925.812510458894</v>
      </c>
      <c r="H34" s="32" t="s">
        <v>784</v>
      </c>
      <c r="J34" s="32" t="s">
        <v>1062</v>
      </c>
      <c r="K34" s="390"/>
    </row>
    <row r="35" spans="1:11" ht="18.95" customHeight="1">
      <c r="A35" s="184">
        <f t="shared" si="3"/>
        <v>5</v>
      </c>
      <c r="B35" s="342">
        <f>'SCH B-3 F'!B$64</f>
        <v>388</v>
      </c>
      <c r="C35" s="32" t="str">
        <f>'SCH B-3 F'!C$64</f>
        <v>ARO Cost Gas Distribution</v>
      </c>
      <c r="D35" s="343">
        <f>SUMIFS('FCPIS F'!$T$234:$T$280,'FCPIS F'!$E$234:$E$280,$J35,'FCPIS F'!$C$234:$C$280,$B35)*1000</f>
        <v>1579078.5654399903</v>
      </c>
      <c r="E35" s="347">
        <v>1</v>
      </c>
      <c r="F35" s="343">
        <f t="shared" si="2"/>
        <v>1579078.5654399903</v>
      </c>
      <c r="H35" s="32" t="s">
        <v>260</v>
      </c>
      <c r="J35" s="32" t="s">
        <v>1059</v>
      </c>
      <c r="K35" s="52"/>
    </row>
    <row r="36" spans="1:11" ht="18.95" customHeight="1">
      <c r="A36" s="184"/>
      <c r="B36" s="342"/>
      <c r="C36" s="32"/>
      <c r="D36" s="343"/>
      <c r="E36" s="347"/>
      <c r="F36" s="343"/>
      <c r="H36" s="32"/>
      <c r="K36" s="52"/>
    </row>
    <row r="37" spans="1:11" ht="18.95" customHeight="1" thickBot="1">
      <c r="A37" s="380">
        <f>A35+1</f>
        <v>6</v>
      </c>
      <c r="B37" s="342"/>
      <c r="C37" s="32" t="s">
        <v>785</v>
      </c>
      <c r="D37" s="344">
        <f>SUM(D31:D36)</f>
        <v>2746781.3943725694</v>
      </c>
      <c r="E37" s="347"/>
      <c r="F37" s="344">
        <f>SUM(F31:F36)</f>
        <v>2746781.3943725694</v>
      </c>
      <c r="H37" s="32"/>
      <c r="K37" s="52"/>
    </row>
    <row r="38" spans="1:11" ht="18.95" customHeight="1" thickTop="1"/>
    <row r="39" spans="1:11" ht="18.95" customHeight="1"/>
    <row r="40" spans="1:11" ht="18.95" customHeight="1"/>
    <row r="41" spans="1:11" ht="18.95" customHeight="1"/>
    <row r="42" spans="1:11" ht="18.95" customHeight="1"/>
    <row r="43" spans="1:11" ht="18.95" customHeight="1"/>
    <row r="44" spans="1:11" ht="18.95" customHeight="1"/>
    <row r="45" spans="1:11" ht="18.95" customHeight="1"/>
    <row r="46" spans="1:11" ht="18.95" customHeight="1"/>
    <row r="47" spans="1:11" ht="18.95" customHeight="1"/>
  </sheetData>
  <mergeCells count="8">
    <mergeCell ref="A22:H22"/>
    <mergeCell ref="A23:H23"/>
    <mergeCell ref="A3:I3"/>
    <mergeCell ref="A1:H1"/>
    <mergeCell ref="A2:H2"/>
    <mergeCell ref="A4:H4"/>
    <mergeCell ref="A20:H20"/>
    <mergeCell ref="A21:H21"/>
  </mergeCells>
  <pageMargins left="0.95" right="0.5" top="0.75" bottom="0.75" header="0.3" footer="0.3"/>
  <pageSetup scale="63" fitToHeight="0" orientation="portrait" r:id="rId1"/>
  <rowBreaks count="1" manualBreakCount="1">
    <brk id="1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5"/>
  <dimension ref="A1:AK80"/>
  <sheetViews>
    <sheetView showGridLines="0" zoomScale="55" zoomScaleNormal="55" workbookViewId="0">
      <selection activeCell="B2" sqref="B2"/>
    </sheetView>
  </sheetViews>
  <sheetFormatPr defaultColWidth="10.88671875" defaultRowHeight="15.75"/>
  <cols>
    <col min="1" max="1" width="3.6640625" style="267" customWidth="1"/>
    <col min="2" max="2" width="53.21875" style="266" customWidth="1"/>
    <col min="3" max="4" width="2.33203125" style="266" customWidth="1"/>
    <col min="5" max="5" width="16.6640625" style="266" customWidth="1"/>
    <col min="6" max="6" width="1.6640625" style="266" customWidth="1"/>
    <col min="7" max="7" width="16.6640625" style="266" customWidth="1"/>
    <col min="8" max="8" width="1.6640625" style="266" customWidth="1"/>
    <col min="9" max="9" width="16.6640625" style="266" customWidth="1"/>
    <col min="10" max="10" width="1.6640625" style="266" customWidth="1"/>
    <col min="11" max="11" width="16.6640625" style="266" customWidth="1"/>
    <col min="12" max="12" width="1.6640625" style="266" customWidth="1"/>
    <col min="13" max="13" width="16.6640625" style="266" customWidth="1"/>
    <col min="14" max="14" width="1.6640625" style="266" customWidth="1"/>
    <col min="15" max="15" width="16.6640625" style="266" customWidth="1"/>
    <col min="16" max="16" width="1.77734375" style="266" customWidth="1"/>
    <col min="17" max="17" width="16.6640625" style="266" customWidth="1"/>
    <col min="18" max="18" width="1.77734375" style="266" customWidth="1"/>
    <col min="19" max="19" width="16.6640625" style="266" customWidth="1"/>
    <col min="20" max="20" width="1.77734375" style="266" customWidth="1"/>
    <col min="21" max="21" width="16.6640625" style="266" customWidth="1"/>
    <col min="22" max="22" width="1.6640625" style="266" customWidth="1"/>
    <col min="23" max="23" width="16.6640625" style="266" customWidth="1"/>
    <col min="24" max="24" width="1.6640625" style="266" customWidth="1"/>
    <col min="25" max="25" width="16.6640625" style="266" customWidth="1"/>
    <col min="26" max="26" width="1.6640625" style="266" customWidth="1"/>
    <col min="27" max="27" width="16.6640625" style="266" customWidth="1"/>
    <col min="28" max="28" width="1.77734375" style="266" customWidth="1"/>
    <col min="29" max="29" width="16.6640625" style="266" customWidth="1"/>
    <col min="30" max="30" width="1.6640625" style="266" customWidth="1"/>
    <col min="31" max="31" width="16.6640625" style="266" customWidth="1"/>
    <col min="32" max="32" width="10.88671875" style="266"/>
    <col min="33" max="33" width="13.44140625" style="266" bestFit="1" customWidth="1"/>
    <col min="34" max="34" width="12" style="266" bestFit="1" customWidth="1"/>
    <col min="35" max="35" width="10.88671875" style="266"/>
    <col min="36" max="37" width="12" style="266" bestFit="1" customWidth="1"/>
    <col min="38" max="16384" width="10.88671875" style="266"/>
  </cols>
  <sheetData>
    <row r="1" spans="1:36" ht="21" customHeight="1">
      <c r="A1" s="263"/>
      <c r="B1" s="337" t="s">
        <v>48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5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339" t="s">
        <v>1105</v>
      </c>
    </row>
    <row r="2" spans="1:36" ht="21" customHeight="1">
      <c r="A2" s="263"/>
      <c r="B2" s="338" t="s">
        <v>1817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339" t="str">
        <f>'Rate Case Constants'!C38</f>
        <v>WITNESS:   D. K. ARBOUGH</v>
      </c>
    </row>
    <row r="3" spans="1:36" ht="21" customHeight="1">
      <c r="A3" s="264"/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339" t="s">
        <v>1283</v>
      </c>
    </row>
    <row r="4" spans="1:36" ht="21" customHeight="1">
      <c r="P4" s="268"/>
      <c r="R4" s="268"/>
      <c r="T4" s="268"/>
      <c r="AB4" s="268"/>
    </row>
    <row r="5" spans="1:36" ht="21" customHeight="1">
      <c r="A5" s="269" t="s">
        <v>434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</row>
    <row r="6" spans="1:36" ht="21" customHeight="1">
      <c r="A6" s="271"/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270"/>
      <c r="AE6" s="270"/>
    </row>
    <row r="7" spans="1:36" ht="21" customHeight="1">
      <c r="A7" s="487" t="s">
        <v>1354</v>
      </c>
      <c r="B7" s="487"/>
      <c r="C7" s="487"/>
      <c r="D7" s="487"/>
      <c r="E7" s="487"/>
      <c r="F7" s="487"/>
      <c r="G7" s="487"/>
      <c r="H7" s="487"/>
      <c r="I7" s="487"/>
      <c r="J7" s="487"/>
      <c r="K7" s="487"/>
      <c r="L7" s="487"/>
      <c r="M7" s="487"/>
      <c r="N7" s="487"/>
      <c r="O7" s="487"/>
      <c r="P7" s="487"/>
      <c r="Q7" s="487"/>
      <c r="R7" s="487"/>
      <c r="S7" s="487"/>
      <c r="T7" s="487"/>
      <c r="U7" s="487"/>
      <c r="V7" s="487"/>
      <c r="W7" s="487"/>
      <c r="X7" s="487"/>
      <c r="Y7" s="487"/>
      <c r="Z7" s="487"/>
      <c r="AA7" s="487"/>
      <c r="AB7" s="487"/>
      <c r="AC7" s="487"/>
      <c r="AD7" s="487"/>
      <c r="AE7" s="487"/>
    </row>
    <row r="8" spans="1:36" ht="21" customHeight="1">
      <c r="A8" s="487" t="s">
        <v>1106</v>
      </c>
      <c r="B8" s="487"/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487"/>
      <c r="P8" s="487"/>
      <c r="Q8" s="487"/>
      <c r="R8" s="487"/>
      <c r="S8" s="487"/>
      <c r="T8" s="487"/>
      <c r="U8" s="487"/>
      <c r="V8" s="487"/>
      <c r="W8" s="487"/>
      <c r="X8" s="487"/>
      <c r="Y8" s="487"/>
      <c r="Z8" s="487"/>
      <c r="AA8" s="487"/>
      <c r="AB8" s="487"/>
      <c r="AC8" s="487"/>
      <c r="AD8" s="487"/>
      <c r="AE8" s="487"/>
    </row>
    <row r="9" spans="1:36" ht="21" customHeight="1">
      <c r="A9" s="269"/>
      <c r="B9" s="270"/>
      <c r="C9" s="270"/>
      <c r="D9" s="270"/>
      <c r="E9" s="270"/>
      <c r="F9" s="270"/>
      <c r="G9" s="273"/>
      <c r="H9" s="270"/>
      <c r="I9" s="273"/>
      <c r="J9" s="270"/>
      <c r="K9" s="273"/>
      <c r="L9" s="270"/>
      <c r="M9" s="273"/>
      <c r="N9" s="270"/>
      <c r="O9" s="273"/>
      <c r="P9" s="270"/>
      <c r="Q9" s="270"/>
      <c r="R9" s="270"/>
      <c r="S9" s="270"/>
      <c r="T9" s="270"/>
      <c r="U9" s="273"/>
      <c r="V9" s="270"/>
      <c r="W9" s="273"/>
      <c r="X9" s="270"/>
      <c r="Y9" s="273"/>
      <c r="Z9" s="270"/>
      <c r="AA9" s="273"/>
      <c r="AB9" s="270"/>
      <c r="AC9" s="270"/>
      <c r="AD9" s="270"/>
      <c r="AE9" s="270"/>
    </row>
    <row r="10" spans="1:36" ht="21" customHeight="1">
      <c r="A10" s="274"/>
      <c r="B10" s="265"/>
      <c r="D10" s="268"/>
      <c r="M10" s="275" t="s">
        <v>1102</v>
      </c>
      <c r="O10" s="275" t="s">
        <v>1054</v>
      </c>
      <c r="AA10" s="275" t="s">
        <v>1054</v>
      </c>
    </row>
    <row r="11" spans="1:36" ht="21" customHeight="1">
      <c r="B11" s="276" t="s">
        <v>1055</v>
      </c>
      <c r="E11" s="277" t="s">
        <v>1056</v>
      </c>
      <c r="F11" s="277"/>
      <c r="G11" s="275" t="s">
        <v>1057</v>
      </c>
      <c r="H11" s="277"/>
      <c r="I11" s="275" t="s">
        <v>1058</v>
      </c>
      <c r="J11" s="277"/>
      <c r="K11" s="275" t="s">
        <v>1059</v>
      </c>
      <c r="L11" s="277"/>
      <c r="M11" s="275" t="s">
        <v>1103</v>
      </c>
      <c r="N11" s="277"/>
      <c r="O11" s="275" t="s">
        <v>10</v>
      </c>
      <c r="P11" s="277"/>
      <c r="Q11" s="275" t="s">
        <v>1060</v>
      </c>
      <c r="R11" s="277"/>
      <c r="S11" s="277" t="s">
        <v>1061</v>
      </c>
      <c r="T11" s="277"/>
      <c r="U11" s="275" t="s">
        <v>1062</v>
      </c>
      <c r="V11" s="277"/>
      <c r="W11" s="275" t="s">
        <v>1058</v>
      </c>
      <c r="X11" s="277"/>
      <c r="Y11" s="275" t="s">
        <v>1059</v>
      </c>
      <c r="Z11" s="277"/>
      <c r="AA11" s="275" t="s">
        <v>10</v>
      </c>
      <c r="AB11" s="277"/>
      <c r="AC11" s="275" t="s">
        <v>1063</v>
      </c>
      <c r="AD11" s="277"/>
      <c r="AE11" s="277" t="s">
        <v>1064</v>
      </c>
    </row>
    <row r="12" spans="1:36" ht="21" customHeight="1">
      <c r="B12" s="278">
        <v>-1</v>
      </c>
      <c r="E12" s="279" t="s">
        <v>1065</v>
      </c>
      <c r="F12" s="277"/>
      <c r="G12" s="279" t="s">
        <v>1066</v>
      </c>
      <c r="H12" s="277"/>
      <c r="I12" s="279">
        <v>-4</v>
      </c>
      <c r="J12" s="277"/>
      <c r="K12" s="279">
        <v>-5</v>
      </c>
      <c r="L12" s="277"/>
      <c r="M12" s="279">
        <v>-6</v>
      </c>
      <c r="N12" s="277"/>
      <c r="O12" s="279">
        <v>-7</v>
      </c>
      <c r="P12" s="277"/>
      <c r="Q12" s="279">
        <v>-8</v>
      </c>
      <c r="R12" s="277"/>
      <c r="S12" s="279">
        <v>-9</v>
      </c>
      <c r="T12" s="277"/>
      <c r="U12" s="279">
        <v>-10</v>
      </c>
      <c r="V12" s="277"/>
      <c r="W12" s="279">
        <v>-11</v>
      </c>
      <c r="X12" s="277"/>
      <c r="Y12" s="279">
        <v>-12</v>
      </c>
      <c r="Z12" s="277"/>
      <c r="AA12" s="279">
        <v>-13</v>
      </c>
      <c r="AB12" s="277"/>
      <c r="AC12" s="280">
        <v>-14</v>
      </c>
      <c r="AD12" s="277"/>
      <c r="AE12" s="280">
        <v>-15</v>
      </c>
      <c r="AG12" s="281"/>
      <c r="AJ12" s="281"/>
    </row>
    <row r="13" spans="1:36" ht="21" customHeight="1"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75" t="s">
        <v>1726</v>
      </c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75" t="s">
        <v>1727</v>
      </c>
      <c r="AD13" s="282"/>
      <c r="AE13" s="275" t="s">
        <v>1728</v>
      </c>
    </row>
    <row r="14" spans="1:36" ht="21" customHeight="1">
      <c r="A14" s="283">
        <f>1</f>
        <v>1</v>
      </c>
      <c r="B14" s="266" t="s">
        <v>1067</v>
      </c>
      <c r="E14" s="284">
        <v>5977962264.6787672</v>
      </c>
      <c r="F14" s="284"/>
      <c r="G14" s="284">
        <v>1373721582.3638458</v>
      </c>
      <c r="H14" s="284"/>
      <c r="I14" s="284">
        <v>10465637.230769228</v>
      </c>
      <c r="J14" s="284"/>
      <c r="K14" s="284">
        <v>138606783.70000002</v>
      </c>
      <c r="L14" s="284"/>
      <c r="M14" s="284">
        <v>0</v>
      </c>
      <c r="N14" s="284"/>
      <c r="O14" s="284">
        <v>0</v>
      </c>
      <c r="P14" s="284"/>
      <c r="Q14" s="284">
        <v>4455168261.3841524</v>
      </c>
      <c r="R14" s="284"/>
      <c r="S14" s="284">
        <f>SUM('SCH B-2'!E55,'SCH B-4'!H54)</f>
        <v>1312697722.968153</v>
      </c>
      <c r="T14" s="284"/>
      <c r="U14" s="284">
        <f>-SUM('SCH B-2.2'!F33:F34,'SCH B-4'!I54)</f>
        <v>25938373.856923036</v>
      </c>
      <c r="V14" s="284"/>
      <c r="W14" s="284">
        <v>0</v>
      </c>
      <c r="X14" s="284"/>
      <c r="Y14" s="284">
        <f>-SUM('SCH B-2.2'!F31:F32,'SCH B-2.2'!F35)</f>
        <v>17239855.409999996</v>
      </c>
      <c r="Z14" s="284"/>
      <c r="AA14" s="284">
        <v>0</v>
      </c>
      <c r="AB14" s="284"/>
      <c r="AC14" s="284">
        <f>S14-SUM(U14:AA14)</f>
        <v>1269519493.70123</v>
      </c>
      <c r="AD14" s="284"/>
      <c r="AE14" s="285">
        <f>+E14+S14</f>
        <v>7290659987.6469202</v>
      </c>
    </row>
    <row r="15" spans="1:36" ht="12.75" customHeight="1">
      <c r="A15" s="286"/>
      <c r="E15" s="287"/>
      <c r="F15" s="287"/>
      <c r="G15" s="287"/>
      <c r="H15" s="287"/>
      <c r="I15" s="287"/>
      <c r="J15" s="287"/>
      <c r="K15" s="287"/>
      <c r="L15" s="287"/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287"/>
      <c r="AA15" s="287"/>
      <c r="AB15" s="287"/>
      <c r="AC15" s="287"/>
      <c r="AD15" s="287"/>
    </row>
    <row r="16" spans="1:36" ht="15" customHeight="1">
      <c r="A16" s="283">
        <f>1+A14</f>
        <v>2</v>
      </c>
      <c r="B16" s="266" t="s">
        <v>1068</v>
      </c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288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9"/>
    </row>
    <row r="17" spans="1:37" ht="21" customHeight="1">
      <c r="A17" s="283">
        <f>1+A16</f>
        <v>3</v>
      </c>
      <c r="B17" s="290" t="s">
        <v>1069</v>
      </c>
      <c r="E17" s="266">
        <v>1814933681.7013793</v>
      </c>
      <c r="G17" s="266">
        <v>73617926.638926253</v>
      </c>
      <c r="I17" s="291">
        <v>2892260.7749621486</v>
      </c>
      <c r="K17" s="291">
        <v>54370748.979363993</v>
      </c>
      <c r="M17" s="291">
        <v>0</v>
      </c>
      <c r="O17" s="292">
        <v>0</v>
      </c>
      <c r="Q17" s="266">
        <v>1684052745.3081269</v>
      </c>
      <c r="S17" s="266">
        <f>-SUM('SCH B-3 F'!G109)</f>
        <v>376216941.26606643</v>
      </c>
      <c r="U17" s="266">
        <f>SUM('SCH B-3.1'!F33:F34)</f>
        <v>-289085.33237541339</v>
      </c>
      <c r="W17" s="292">
        <v>0</v>
      </c>
      <c r="Y17" s="266">
        <f>SUM('SCH B-3.1'!F31:F32,'SCH B-3.1'!F35)</f>
        <v>3035866.7267479831</v>
      </c>
      <c r="AA17" s="292">
        <v>0</v>
      </c>
      <c r="AC17" s="266">
        <f>S17-SUM(U17:AA17)</f>
        <v>373470159.87169385</v>
      </c>
      <c r="AE17" s="293">
        <f>+E17+S17</f>
        <v>2191150622.9674459</v>
      </c>
    </row>
    <row r="18" spans="1:37" ht="11.25" customHeight="1">
      <c r="A18" s="294"/>
      <c r="E18" s="295"/>
      <c r="G18" s="295"/>
      <c r="I18" s="295"/>
      <c r="K18" s="295"/>
      <c r="M18" s="295"/>
      <c r="O18" s="295"/>
      <c r="Q18" s="295"/>
      <c r="S18" s="295"/>
      <c r="U18" s="295"/>
      <c r="W18" s="295"/>
      <c r="Y18" s="295"/>
      <c r="AA18" s="295"/>
      <c r="AC18" s="295"/>
      <c r="AE18" s="295"/>
    </row>
    <row r="19" spans="1:37" ht="21" customHeight="1">
      <c r="A19" s="283">
        <f>1+A17</f>
        <v>4</v>
      </c>
      <c r="B19" s="266" t="s">
        <v>338</v>
      </c>
      <c r="E19" s="296">
        <v>4163028582.9773879</v>
      </c>
      <c r="F19" s="296"/>
      <c r="G19" s="296">
        <v>1300103655.7249196</v>
      </c>
      <c r="H19" s="296"/>
      <c r="I19" s="291">
        <v>7573376.4558070796</v>
      </c>
      <c r="J19" s="296"/>
      <c r="K19" s="291">
        <v>84236034.720636025</v>
      </c>
      <c r="L19" s="296"/>
      <c r="M19" s="291">
        <v>0</v>
      </c>
      <c r="N19" s="296"/>
      <c r="O19" s="292">
        <v>0</v>
      </c>
      <c r="P19" s="296"/>
      <c r="Q19" s="296">
        <v>2771115516.0760255</v>
      </c>
      <c r="R19" s="296"/>
      <c r="S19" s="296">
        <f>+S14-S17</f>
        <v>936480781.70208657</v>
      </c>
      <c r="T19" s="296"/>
      <c r="U19" s="296">
        <f>+U14-U17</f>
        <v>26227459.189298451</v>
      </c>
      <c r="V19" s="296"/>
      <c r="W19" s="292">
        <f>+W14-W17</f>
        <v>0</v>
      </c>
      <c r="X19" s="296"/>
      <c r="Y19" s="296">
        <f>+Y14-Y17</f>
        <v>14203988.683252014</v>
      </c>
      <c r="Z19" s="296"/>
      <c r="AA19" s="292">
        <f>+AA14-AA17</f>
        <v>0</v>
      </c>
      <c r="AB19" s="296"/>
      <c r="AC19" s="296">
        <f>+AC14-AC17</f>
        <v>896049333.8295362</v>
      </c>
      <c r="AD19" s="296"/>
      <c r="AE19" s="296">
        <f>+AE14-AE17</f>
        <v>5099509364.6794739</v>
      </c>
      <c r="AG19" s="296"/>
      <c r="AH19" s="296"/>
      <c r="AJ19" s="296"/>
      <c r="AK19" s="296"/>
    </row>
    <row r="20" spans="1:37" ht="9.75" customHeight="1">
      <c r="A20" s="283"/>
      <c r="K20" s="297"/>
      <c r="M20" s="297"/>
    </row>
    <row r="21" spans="1:37" ht="15" customHeight="1">
      <c r="A21" s="283">
        <f>1+A19</f>
        <v>5</v>
      </c>
      <c r="B21" s="266" t="s">
        <v>1068</v>
      </c>
      <c r="K21" s="297"/>
      <c r="M21" s="297"/>
    </row>
    <row r="22" spans="1:37" ht="21" customHeight="1">
      <c r="A22" s="283">
        <f>A21+1</f>
        <v>6</v>
      </c>
      <c r="B22" s="290" t="s">
        <v>1070</v>
      </c>
      <c r="E22" s="266">
        <v>1444019.0809589629</v>
      </c>
      <c r="G22" s="292">
        <v>0</v>
      </c>
      <c r="H22" s="292"/>
      <c r="I22" s="292">
        <v>0</v>
      </c>
      <c r="J22" s="292"/>
      <c r="K22" s="291">
        <v>0</v>
      </c>
      <c r="L22" s="292"/>
      <c r="M22" s="291">
        <v>0</v>
      </c>
      <c r="O22" s="292">
        <v>0</v>
      </c>
      <c r="Q22" s="266">
        <v>1444019.0809589629</v>
      </c>
      <c r="S22" s="266">
        <f>'SCH B-6'!F31</f>
        <v>5333825.2990410374</v>
      </c>
      <c r="U22" s="291">
        <v>0</v>
      </c>
      <c r="W22" s="292">
        <v>0</v>
      </c>
      <c r="Y22" s="292">
        <v>0</v>
      </c>
      <c r="AA22" s="292">
        <v>0</v>
      </c>
      <c r="AC22" s="266">
        <f t="shared" ref="AC22:AC23" si="0">S22-SUM(U22:AA22)</f>
        <v>5333825.2990410374</v>
      </c>
      <c r="AE22" s="266">
        <f>+E22+S22</f>
        <v>6777844.3800000008</v>
      </c>
    </row>
    <row r="23" spans="1:37" ht="21" customHeight="1">
      <c r="A23" s="283">
        <f>A22+1</f>
        <v>7</v>
      </c>
      <c r="B23" s="290" t="s">
        <v>1071</v>
      </c>
      <c r="E23" s="266">
        <v>823481074.30587721</v>
      </c>
      <c r="G23" s="266">
        <v>262523526.52905828</v>
      </c>
      <c r="I23" s="291">
        <v>1424358.9709785841</v>
      </c>
      <c r="K23" s="291">
        <v>0</v>
      </c>
      <c r="M23" s="291">
        <v>0</v>
      </c>
      <c r="O23" s="292">
        <v>0</v>
      </c>
      <c r="Q23" s="266">
        <v>559533188.80584037</v>
      </c>
      <c r="S23" s="266">
        <f>'SCH B-6'!F35</f>
        <v>228599464.09910825</v>
      </c>
      <c r="U23" s="266">
        <f>-'GLT DEFTAX'!AH3</f>
        <v>6248190.948206611</v>
      </c>
      <c r="W23" s="292">
        <v>0</v>
      </c>
      <c r="Y23" s="292">
        <v>0</v>
      </c>
      <c r="AA23" s="292">
        <v>0</v>
      </c>
      <c r="AC23" s="266">
        <f t="shared" si="0"/>
        <v>222351273.15090165</v>
      </c>
      <c r="AE23" s="266">
        <f>+E23+S23</f>
        <v>1052080538.4049854</v>
      </c>
    </row>
    <row r="24" spans="1:37" ht="12" customHeight="1">
      <c r="A24" s="294"/>
      <c r="E24" s="295"/>
      <c r="G24" s="295"/>
      <c r="I24" s="295"/>
      <c r="K24" s="298"/>
      <c r="M24" s="298"/>
      <c r="O24" s="295"/>
      <c r="Q24" s="295"/>
      <c r="S24" s="295"/>
      <c r="U24" s="295"/>
      <c r="W24" s="295"/>
      <c r="Y24" s="295"/>
      <c r="AA24" s="295"/>
      <c r="AC24" s="295"/>
      <c r="AE24" s="295"/>
    </row>
    <row r="25" spans="1:37" ht="21" customHeight="1">
      <c r="A25" s="283">
        <f>1+A23</f>
        <v>8</v>
      </c>
      <c r="B25" s="290" t="s">
        <v>1072</v>
      </c>
      <c r="E25" s="296">
        <v>824925093.38683617</v>
      </c>
      <c r="F25" s="296"/>
      <c r="G25" s="296">
        <v>262523526.52905828</v>
      </c>
      <c r="H25" s="296"/>
      <c r="I25" s="291">
        <v>1424358.9709785841</v>
      </c>
      <c r="J25" s="296"/>
      <c r="K25" s="291">
        <v>0</v>
      </c>
      <c r="L25" s="296"/>
      <c r="M25" s="291">
        <v>0</v>
      </c>
      <c r="N25" s="296"/>
      <c r="O25" s="292">
        <v>0</v>
      </c>
      <c r="P25" s="296"/>
      <c r="Q25" s="296">
        <v>560977207.88679934</v>
      </c>
      <c r="R25" s="296"/>
      <c r="S25" s="296">
        <f>SUM(S22:S24)</f>
        <v>233933289.39814928</v>
      </c>
      <c r="T25" s="296"/>
      <c r="U25" s="296">
        <f>SUM(U22:U24)</f>
        <v>6248190.948206611</v>
      </c>
      <c r="V25" s="296"/>
      <c r="W25" s="292">
        <f>SUM(W22:W24)</f>
        <v>0</v>
      </c>
      <c r="X25" s="296"/>
      <c r="Y25" s="292">
        <f>SUM(Y22:Y24)</f>
        <v>0</v>
      </c>
      <c r="Z25" s="296"/>
      <c r="AA25" s="292">
        <f>SUM(AA22:AA24)</f>
        <v>0</v>
      </c>
      <c r="AB25" s="296"/>
      <c r="AC25" s="296">
        <f>SUM(AC22:AC24)</f>
        <v>227685098.44994268</v>
      </c>
      <c r="AD25" s="296"/>
      <c r="AE25" s="296">
        <f>SUM(AE22:AE24)</f>
        <v>1058858382.7849854</v>
      </c>
    </row>
    <row r="26" spans="1:37" ht="12" customHeight="1">
      <c r="A26" s="294"/>
      <c r="K26" s="297"/>
      <c r="M26" s="297"/>
    </row>
    <row r="27" spans="1:37" ht="21" customHeight="1">
      <c r="A27" s="283">
        <f>1+A25</f>
        <v>9</v>
      </c>
      <c r="B27" s="266" t="s">
        <v>1073</v>
      </c>
      <c r="E27" s="296">
        <v>3338103489.5905519</v>
      </c>
      <c r="F27" s="296"/>
      <c r="G27" s="296">
        <v>1037580129.1958613</v>
      </c>
      <c r="H27" s="296"/>
      <c r="I27" s="291">
        <v>6149017.4848284954</v>
      </c>
      <c r="J27" s="296"/>
      <c r="K27" s="291">
        <v>84236034.720636025</v>
      </c>
      <c r="L27" s="296"/>
      <c r="M27" s="291">
        <v>0</v>
      </c>
      <c r="N27" s="296"/>
      <c r="O27" s="292">
        <v>0</v>
      </c>
      <c r="P27" s="296"/>
      <c r="Q27" s="266">
        <v>2210138308.1892262</v>
      </c>
      <c r="R27" s="296"/>
      <c r="S27" s="296">
        <f>+S19-S25</f>
        <v>702547492.30393732</v>
      </c>
      <c r="T27" s="296"/>
      <c r="U27" s="296">
        <f>+U19-U25</f>
        <v>19979268.24109184</v>
      </c>
      <c r="V27" s="296"/>
      <c r="W27" s="292">
        <f>+W19-W25</f>
        <v>0</v>
      </c>
      <c r="X27" s="296"/>
      <c r="Y27" s="291">
        <f>+Y19-Y25</f>
        <v>14203988.683252014</v>
      </c>
      <c r="Z27" s="296"/>
      <c r="AA27" s="292">
        <f>+AA19-AA25</f>
        <v>0</v>
      </c>
      <c r="AB27" s="296"/>
      <c r="AC27" s="296">
        <f>+AC19-AC25</f>
        <v>668364235.37959349</v>
      </c>
      <c r="AD27" s="296"/>
      <c r="AE27" s="296">
        <f>+AE19-AE25</f>
        <v>4040650981.8944883</v>
      </c>
    </row>
    <row r="28" spans="1:37" ht="12" customHeight="1">
      <c r="A28" s="294"/>
      <c r="I28" s="292"/>
      <c r="K28" s="291"/>
      <c r="M28" s="291"/>
      <c r="O28" s="292"/>
      <c r="Y28" s="292"/>
      <c r="AA28" s="292"/>
    </row>
    <row r="29" spans="1:37" ht="14.25" customHeight="1">
      <c r="A29" s="283">
        <f>1+A27</f>
        <v>10</v>
      </c>
      <c r="B29" s="266" t="s">
        <v>1074</v>
      </c>
      <c r="I29" s="292"/>
      <c r="K29" s="291"/>
      <c r="M29" s="291"/>
      <c r="O29" s="292"/>
      <c r="Y29" s="292"/>
      <c r="AA29" s="292"/>
    </row>
    <row r="30" spans="1:37" ht="21" customHeight="1">
      <c r="A30" s="283">
        <f>A29+1</f>
        <v>11</v>
      </c>
      <c r="B30" s="290" t="s">
        <v>1291</v>
      </c>
      <c r="E30" s="266">
        <v>78322119.478493184</v>
      </c>
      <c r="G30" s="291">
        <v>147.99999999999997</v>
      </c>
      <c r="I30" s="292">
        <v>0</v>
      </c>
      <c r="K30" s="291">
        <v>0</v>
      </c>
      <c r="M30" s="291">
        <v>5136393.5035798186</v>
      </c>
      <c r="O30" s="292">
        <v>0</v>
      </c>
      <c r="Q30" s="266">
        <v>73185577.974913359</v>
      </c>
      <c r="S30" s="266">
        <f>'SCH B-5'!G41</f>
        <v>323951.18574307708</v>
      </c>
      <c r="U30" s="292">
        <v>0</v>
      </c>
      <c r="W30" s="292">
        <v>0</v>
      </c>
      <c r="Y30" s="292">
        <v>0</v>
      </c>
      <c r="AA30" s="292">
        <v>0</v>
      </c>
      <c r="AC30" s="266">
        <f t="shared" ref="AC30:AC32" si="1">S30-SUM(U30:AA30)</f>
        <v>323951.18574307708</v>
      </c>
      <c r="AE30" s="266">
        <f>+E30+S30</f>
        <v>78646070.664236262</v>
      </c>
    </row>
    <row r="31" spans="1:37" ht="21" customHeight="1">
      <c r="A31" s="283">
        <f>A30+1</f>
        <v>12</v>
      </c>
      <c r="B31" s="290" t="s">
        <v>1075</v>
      </c>
      <c r="E31" s="292">
        <v>0</v>
      </c>
      <c r="G31" s="292">
        <v>0</v>
      </c>
      <c r="I31" s="292">
        <v>0</v>
      </c>
      <c r="K31" s="291">
        <v>0</v>
      </c>
      <c r="M31" s="291">
        <v>0</v>
      </c>
      <c r="O31" s="292">
        <v>0</v>
      </c>
      <c r="Q31" s="292">
        <v>0</v>
      </c>
      <c r="S31" s="266">
        <f>'SCH B-5'!G39</f>
        <v>24895211.389706697</v>
      </c>
      <c r="U31" s="292">
        <v>0</v>
      </c>
      <c r="W31" s="292">
        <v>0</v>
      </c>
      <c r="Y31" s="292">
        <v>0</v>
      </c>
      <c r="AA31" s="292">
        <v>0</v>
      </c>
      <c r="AC31" s="266">
        <f t="shared" si="1"/>
        <v>24895211.389706697</v>
      </c>
      <c r="AE31" s="266">
        <f>+E31+S31</f>
        <v>24895211.389706697</v>
      </c>
    </row>
    <row r="32" spans="1:37" ht="21" customHeight="1">
      <c r="A32" s="283">
        <f t="shared" ref="A32:A34" si="2">A31+1</f>
        <v>13</v>
      </c>
      <c r="B32" s="290" t="s">
        <v>1292</v>
      </c>
      <c r="E32" s="266">
        <v>13972166.127136644</v>
      </c>
      <c r="G32" s="292">
        <v>0</v>
      </c>
      <c r="I32" s="292">
        <v>0</v>
      </c>
      <c r="K32" s="291">
        <v>0</v>
      </c>
      <c r="M32" s="291">
        <v>0</v>
      </c>
      <c r="O32" s="292">
        <v>0</v>
      </c>
      <c r="Q32" s="266">
        <v>13972166.127136644</v>
      </c>
      <c r="S32" s="266">
        <f>'SCH B-5'!G43</f>
        <v>2521950.4200675171</v>
      </c>
      <c r="U32" s="292">
        <v>0</v>
      </c>
      <c r="W32" s="292">
        <v>0</v>
      </c>
      <c r="Y32" s="292">
        <v>0</v>
      </c>
      <c r="AA32" s="292">
        <v>0</v>
      </c>
      <c r="AC32" s="266">
        <f t="shared" si="1"/>
        <v>2521950.4200675171</v>
      </c>
      <c r="AE32" s="266">
        <f>+E32+S32</f>
        <v>16494116.547204161</v>
      </c>
    </row>
    <row r="33" spans="1:31" ht="21" customHeight="1">
      <c r="A33" s="283">
        <f t="shared" si="2"/>
        <v>14</v>
      </c>
      <c r="B33" s="290" t="s">
        <v>1076</v>
      </c>
      <c r="E33" s="266">
        <v>77044337</v>
      </c>
      <c r="G33" s="291">
        <v>1201613</v>
      </c>
      <c r="I33" s="292">
        <v>0</v>
      </c>
      <c r="K33" s="291">
        <v>0</v>
      </c>
      <c r="M33" s="291">
        <v>0</v>
      </c>
      <c r="O33" s="292">
        <v>0</v>
      </c>
      <c r="Q33" s="266">
        <v>75842724</v>
      </c>
      <c r="S33" s="266">
        <f>+S77</f>
        <v>9932409</v>
      </c>
      <c r="U33" s="292">
        <f>+U77</f>
        <v>0</v>
      </c>
      <c r="W33" s="292">
        <f>+W77</f>
        <v>0</v>
      </c>
      <c r="Y33" s="292">
        <f>+Y77</f>
        <v>0</v>
      </c>
      <c r="AA33" s="292">
        <v>0</v>
      </c>
      <c r="AC33" s="266">
        <f>S33-SUM(U33:AA33)</f>
        <v>9932409</v>
      </c>
      <c r="AE33" s="266">
        <f>+E33+S33</f>
        <v>86976746</v>
      </c>
    </row>
    <row r="34" spans="1:31" ht="21" customHeight="1">
      <c r="A34" s="283">
        <f t="shared" si="2"/>
        <v>15</v>
      </c>
      <c r="B34" s="290" t="s">
        <v>1352</v>
      </c>
      <c r="E34" s="266">
        <v>25077794.255281162</v>
      </c>
      <c r="G34" s="266">
        <v>25077794.255281162</v>
      </c>
      <c r="I34" s="292">
        <v>0</v>
      </c>
      <c r="K34" s="291">
        <v>0</v>
      </c>
      <c r="M34" s="291">
        <v>0</v>
      </c>
      <c r="O34" s="292">
        <v>0</v>
      </c>
      <c r="Q34" s="292">
        <v>0</v>
      </c>
      <c r="S34" s="292">
        <v>0</v>
      </c>
      <c r="U34" s="292">
        <v>0</v>
      </c>
      <c r="W34" s="292">
        <v>0</v>
      </c>
      <c r="Y34" s="292">
        <v>0</v>
      </c>
      <c r="AA34" s="292">
        <v>0</v>
      </c>
      <c r="AC34" s="292">
        <v>0</v>
      </c>
      <c r="AE34" s="266">
        <f>+E34+S34</f>
        <v>25077794.255281162</v>
      </c>
    </row>
    <row r="35" spans="1:31" ht="12" customHeight="1">
      <c r="A35" s="294"/>
      <c r="E35" s="295"/>
      <c r="G35" s="295"/>
      <c r="I35" s="295"/>
      <c r="K35" s="298"/>
      <c r="M35" s="298"/>
      <c r="O35" s="295"/>
      <c r="Q35" s="295"/>
      <c r="S35" s="295"/>
      <c r="U35" s="295"/>
      <c r="W35" s="295"/>
      <c r="Y35" s="295"/>
      <c r="AA35" s="295"/>
      <c r="AC35" s="295"/>
      <c r="AE35" s="295"/>
    </row>
    <row r="36" spans="1:31" ht="21" customHeight="1">
      <c r="A36" s="283">
        <f>A34+1</f>
        <v>16</v>
      </c>
      <c r="B36" s="290" t="s">
        <v>1077</v>
      </c>
      <c r="E36" s="296">
        <v>194416416.86091098</v>
      </c>
      <c r="G36" s="296">
        <v>26279555.255281162</v>
      </c>
      <c r="I36" s="292">
        <v>0</v>
      </c>
      <c r="K36" s="291">
        <v>0</v>
      </c>
      <c r="M36" s="291">
        <v>5136393.5035798186</v>
      </c>
      <c r="O36" s="292">
        <v>0</v>
      </c>
      <c r="Q36" s="296">
        <v>163000468.10205001</v>
      </c>
      <c r="S36" s="296">
        <f>SUM(S30:S35)</f>
        <v>37673521.995517291</v>
      </c>
      <c r="U36" s="292">
        <f>SUM(U30:U35)</f>
        <v>0</v>
      </c>
      <c r="W36" s="292">
        <f>SUM(W30:W35)</f>
        <v>0</v>
      </c>
      <c r="Y36" s="292">
        <f>SUM(Y30:Y35)</f>
        <v>0</v>
      </c>
      <c r="AA36" s="292">
        <f>SUM(AA30:AA35)</f>
        <v>0</v>
      </c>
      <c r="AC36" s="296">
        <f>SUM(AC30:AC35)</f>
        <v>37673521.995517291</v>
      </c>
      <c r="AE36" s="296">
        <f>SUM(AE30:AE35)</f>
        <v>232089938.85642827</v>
      </c>
    </row>
    <row r="37" spans="1:31" ht="14.25" customHeight="1">
      <c r="A37" s="294"/>
    </row>
    <row r="38" spans="1:31" ht="21" customHeight="1" thickBot="1">
      <c r="A38" s="283">
        <f>1+A36</f>
        <v>17</v>
      </c>
      <c r="B38" s="266" t="s">
        <v>1078</v>
      </c>
      <c r="E38" s="299">
        <v>3532519906.4514627</v>
      </c>
      <c r="G38" s="299">
        <v>1063859684.4511425</v>
      </c>
      <c r="I38" s="299">
        <v>6149017.4848284954</v>
      </c>
      <c r="K38" s="299">
        <v>84236034.720636025</v>
      </c>
      <c r="M38" s="299">
        <v>5136393.5035798186</v>
      </c>
      <c r="O38" s="299">
        <v>0</v>
      </c>
      <c r="Q38" s="299">
        <v>2373138776.291276</v>
      </c>
      <c r="S38" s="299">
        <f>+S27+S36</f>
        <v>740221014.29945457</v>
      </c>
      <c r="U38" s="299">
        <f>+U27+U36</f>
        <v>19979268.24109184</v>
      </c>
      <c r="W38" s="299">
        <f>+W27+W36</f>
        <v>0</v>
      </c>
      <c r="Y38" s="299">
        <f>+Y27+Y36</f>
        <v>14203988.683252014</v>
      </c>
      <c r="AA38" s="299">
        <f>+AA27+AA36</f>
        <v>0</v>
      </c>
      <c r="AC38" s="299">
        <f>+AC27+AC36</f>
        <v>706037757.37511075</v>
      </c>
      <c r="AE38" s="299">
        <f>+AE27+AE36</f>
        <v>4272740920.7509165</v>
      </c>
    </row>
    <row r="39" spans="1:31" ht="12.75" customHeight="1" thickTop="1">
      <c r="A39" s="294"/>
      <c r="E39" s="300"/>
      <c r="G39" s="300"/>
      <c r="I39" s="300"/>
      <c r="K39" s="300"/>
      <c r="M39" s="300"/>
      <c r="O39" s="300"/>
      <c r="Q39" s="300"/>
      <c r="S39" s="300"/>
      <c r="U39" s="300"/>
      <c r="W39" s="300"/>
      <c r="Y39" s="300"/>
      <c r="AA39" s="300"/>
      <c r="AC39" s="300"/>
      <c r="AE39" s="300"/>
    </row>
    <row r="40" spans="1:31" ht="21" customHeight="1">
      <c r="A40" s="283">
        <f>1+A38</f>
        <v>18</v>
      </c>
      <c r="B40" s="290" t="s">
        <v>1107</v>
      </c>
      <c r="K40" s="266">
        <v>-84236034.720636025</v>
      </c>
      <c r="Q40" s="266">
        <v>84236034.720636025</v>
      </c>
      <c r="Y40" s="266">
        <f>-Y38</f>
        <v>-14203988.683252014</v>
      </c>
      <c r="AC40" s="266">
        <f>S40-SUM(U40:AA40)</f>
        <v>14203988.683252014</v>
      </c>
      <c r="AE40" s="292">
        <f>+E40+S40</f>
        <v>0</v>
      </c>
    </row>
    <row r="41" spans="1:31" ht="14.25" customHeight="1">
      <c r="A41" s="294"/>
    </row>
    <row r="42" spans="1:31" ht="21" customHeight="1" thickBot="1">
      <c r="A42" s="283">
        <f>1+A40</f>
        <v>19</v>
      </c>
      <c r="B42" s="266" t="s">
        <v>1108</v>
      </c>
      <c r="E42" s="299">
        <v>3532519906.4514627</v>
      </c>
      <c r="G42" s="299">
        <v>1063859684.4511425</v>
      </c>
      <c r="I42" s="299">
        <v>6149017.4848284954</v>
      </c>
      <c r="K42" s="299">
        <v>0</v>
      </c>
      <c r="M42" s="299">
        <v>5136393.5035798186</v>
      </c>
      <c r="O42" s="299">
        <v>0</v>
      </c>
      <c r="Q42" s="299">
        <v>2457374811.0119119</v>
      </c>
      <c r="S42" s="299">
        <f>S38+S40</f>
        <v>740221014.29945457</v>
      </c>
      <c r="U42" s="299">
        <f>U38+U40</f>
        <v>19979268.24109184</v>
      </c>
      <c r="W42" s="299">
        <f>W38+W40</f>
        <v>0</v>
      </c>
      <c r="Y42" s="299">
        <f>Y38+Y40</f>
        <v>0</v>
      </c>
      <c r="AA42" s="299">
        <f>AA38+AA40</f>
        <v>0</v>
      </c>
      <c r="AC42" s="299">
        <f>AC38+AC40</f>
        <v>720241746.05836272</v>
      </c>
      <c r="AE42" s="299">
        <f>AE38+AE40</f>
        <v>4272740920.7509165</v>
      </c>
    </row>
    <row r="43" spans="1:31" ht="12.75" customHeight="1" thickTop="1">
      <c r="A43" s="294"/>
      <c r="E43" s="300"/>
      <c r="G43" s="300"/>
      <c r="I43" s="300"/>
      <c r="K43" s="300"/>
      <c r="M43" s="300"/>
      <c r="O43" s="300"/>
      <c r="Q43" s="300"/>
      <c r="S43" s="300"/>
      <c r="U43" s="300"/>
      <c r="W43" s="300"/>
      <c r="Y43" s="300"/>
      <c r="AA43" s="300"/>
      <c r="AC43" s="300"/>
      <c r="AE43" s="300"/>
    </row>
    <row r="44" spans="1:31" ht="21" customHeight="1" thickBot="1">
      <c r="A44" s="283">
        <f>1+A42</f>
        <v>20</v>
      </c>
      <c r="B44" s="281" t="s">
        <v>1079</v>
      </c>
      <c r="E44" s="301">
        <f>ROUND(+E42/$AE42,4)</f>
        <v>0.82679999999999998</v>
      </c>
      <c r="F44" s="296"/>
      <c r="G44" s="301">
        <f>ROUND(+G42/$AE42,4)</f>
        <v>0.249</v>
      </c>
      <c r="H44" s="296"/>
      <c r="I44" s="301">
        <f>ROUND(+I42/$AE42,4)</f>
        <v>1.4E-3</v>
      </c>
      <c r="J44" s="296"/>
      <c r="K44" s="301">
        <f>ROUND(+K42/$AE42,4)</f>
        <v>0</v>
      </c>
      <c r="L44" s="296"/>
      <c r="M44" s="301">
        <f>ROUND(+M42/$AE42,4)</f>
        <v>1.1999999999999999E-3</v>
      </c>
      <c r="N44" s="296"/>
      <c r="O44" s="301">
        <f>ROUND(+O42/$AE42,4)</f>
        <v>0</v>
      </c>
      <c r="Q44" s="301">
        <f>ROUND(+Q42/$AE42,4)</f>
        <v>0.57509999999999994</v>
      </c>
      <c r="S44" s="301">
        <f>ROUND(+S42/$AE42,4)</f>
        <v>0.17319999999999999</v>
      </c>
      <c r="U44" s="301">
        <f>ROUND(+U42/$AE42,4)</f>
        <v>4.7000000000000002E-3</v>
      </c>
      <c r="V44" s="296"/>
      <c r="W44" s="301">
        <f>ROUND(+W42/$AE42,4)</f>
        <v>0</v>
      </c>
      <c r="X44" s="296"/>
      <c r="Y44" s="301">
        <f>ROUND(+Y42/$AE42,4)</f>
        <v>0</v>
      </c>
      <c r="Z44" s="296"/>
      <c r="AA44" s="301">
        <f>ROUND(+AA42/$AE42,4)</f>
        <v>0</v>
      </c>
      <c r="AC44" s="301">
        <f>ROUND(+AC42/$AE42,6)</f>
        <v>0.16856699999999999</v>
      </c>
      <c r="AD44" s="296"/>
      <c r="AE44" s="301">
        <f>ROUND(+AE42/$AE42,4)</f>
        <v>1</v>
      </c>
    </row>
    <row r="45" spans="1:31" ht="16.5" thickTop="1">
      <c r="A45" s="294"/>
      <c r="Q45" s="302"/>
      <c r="AC45" s="302"/>
    </row>
    <row r="46" spans="1:31">
      <c r="A46" s="303"/>
      <c r="Q46" s="302"/>
      <c r="R46" s="296"/>
      <c r="S46" s="302"/>
      <c r="AC46" s="302"/>
    </row>
    <row r="47" spans="1:31" ht="18.95" customHeight="1">
      <c r="A47" s="304" t="s">
        <v>1080</v>
      </c>
      <c r="B47" s="281" t="s">
        <v>1081</v>
      </c>
      <c r="Q47" s="305"/>
      <c r="S47" s="305"/>
      <c r="AC47" s="305"/>
    </row>
    <row r="48" spans="1:31" ht="18.95" customHeight="1">
      <c r="A48" s="304" t="s">
        <v>1082</v>
      </c>
      <c r="B48" s="266" t="s">
        <v>1083</v>
      </c>
    </row>
    <row r="49" spans="1:31" ht="18.95" customHeight="1">
      <c r="A49" s="304" t="s">
        <v>1084</v>
      </c>
      <c r="B49" s="266" t="s">
        <v>1087</v>
      </c>
    </row>
    <row r="50" spans="1:31" ht="18.95" customHeight="1">
      <c r="A50" s="304" t="s">
        <v>1086</v>
      </c>
      <c r="B50" s="266" t="s">
        <v>1085</v>
      </c>
    </row>
    <row r="51" spans="1:31" ht="18.95" customHeight="1">
      <c r="A51" s="304"/>
    </row>
    <row r="52" spans="1:31" ht="18.95" customHeight="1">
      <c r="A52" s="304"/>
    </row>
    <row r="53" spans="1:31" ht="21" customHeight="1">
      <c r="B53" s="337" t="str">
        <f>B1</f>
        <v>DATA:____BASE  PERIOD__X__FORECASTED  PERIOD</v>
      </c>
      <c r="P53" s="268"/>
      <c r="R53" s="268"/>
      <c r="T53" s="268"/>
      <c r="AB53" s="268"/>
      <c r="AE53" s="339" t="str">
        <f>AE1</f>
        <v>SUPPORTING SCHEDULE B-1.1</v>
      </c>
    </row>
    <row r="54" spans="1:31" ht="21" customHeight="1">
      <c r="B54" s="337" t="str">
        <f>B2</f>
        <v>TYPE OF FILING: _____ ORIGINAL  _____ UPDATED  __X__ REVISED</v>
      </c>
      <c r="P54" s="268"/>
      <c r="R54" s="268"/>
      <c r="T54" s="268"/>
      <c r="AB54" s="268"/>
      <c r="AE54" s="340" t="str">
        <f>AE2</f>
        <v>WITNESS:   D. K. ARBOUGH</v>
      </c>
    </row>
    <row r="55" spans="1:31" ht="21" customHeight="1">
      <c r="P55" s="268"/>
      <c r="R55" s="268"/>
      <c r="T55" s="268"/>
      <c r="AB55" s="268"/>
      <c r="AE55" s="339" t="s">
        <v>1284</v>
      </c>
    </row>
    <row r="56" spans="1:31" ht="21" customHeight="1"/>
    <row r="57" spans="1:31" ht="21" customHeight="1">
      <c r="A57" s="488" t="s">
        <v>434</v>
      </c>
      <c r="B57" s="488"/>
      <c r="C57" s="488"/>
      <c r="D57" s="488"/>
      <c r="E57" s="488"/>
      <c r="F57" s="488"/>
      <c r="G57" s="488"/>
      <c r="H57" s="488"/>
      <c r="I57" s="488"/>
      <c r="J57" s="488"/>
      <c r="K57" s="488"/>
      <c r="L57" s="488"/>
      <c r="M57" s="488"/>
      <c r="N57" s="488"/>
      <c r="O57" s="488"/>
      <c r="P57" s="488"/>
      <c r="Q57" s="488"/>
      <c r="R57" s="488"/>
      <c r="S57" s="488"/>
      <c r="T57" s="488"/>
      <c r="U57" s="488"/>
      <c r="V57" s="488"/>
      <c r="W57" s="488"/>
      <c r="X57" s="488"/>
      <c r="Y57" s="488"/>
      <c r="Z57" s="488"/>
      <c r="AA57" s="488"/>
      <c r="AB57" s="488"/>
      <c r="AC57" s="488"/>
      <c r="AD57" s="488"/>
      <c r="AE57" s="488"/>
    </row>
    <row r="58" spans="1:31" ht="21" customHeight="1">
      <c r="A58" s="271"/>
      <c r="B58" s="270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</row>
    <row r="59" spans="1:31" ht="21" customHeight="1">
      <c r="A59" s="489" t="s">
        <v>1088</v>
      </c>
      <c r="B59" s="489"/>
      <c r="C59" s="489"/>
      <c r="D59" s="489"/>
      <c r="E59" s="489"/>
      <c r="F59" s="489"/>
      <c r="G59" s="489"/>
      <c r="H59" s="489"/>
      <c r="I59" s="489"/>
      <c r="J59" s="489"/>
      <c r="K59" s="489"/>
      <c r="L59" s="489"/>
      <c r="M59" s="489"/>
      <c r="N59" s="489"/>
      <c r="O59" s="489"/>
      <c r="P59" s="489"/>
      <c r="Q59" s="489"/>
      <c r="R59" s="489"/>
      <c r="S59" s="489"/>
      <c r="T59" s="489"/>
      <c r="U59" s="489"/>
      <c r="V59" s="489"/>
      <c r="W59" s="489"/>
      <c r="X59" s="489"/>
      <c r="Y59" s="489"/>
      <c r="Z59" s="489"/>
      <c r="AA59" s="489"/>
      <c r="AB59" s="489"/>
      <c r="AC59" s="489"/>
      <c r="AD59" s="489"/>
      <c r="AE59" s="489"/>
    </row>
    <row r="60" spans="1:31" ht="21" customHeight="1">
      <c r="A60" s="487" t="s">
        <v>1722</v>
      </c>
      <c r="B60" s="487"/>
      <c r="C60" s="487"/>
      <c r="D60" s="487"/>
      <c r="E60" s="487"/>
      <c r="F60" s="487"/>
      <c r="G60" s="487"/>
      <c r="H60" s="487"/>
      <c r="I60" s="487"/>
      <c r="J60" s="487"/>
      <c r="K60" s="487"/>
      <c r="L60" s="487"/>
      <c r="M60" s="487"/>
      <c r="N60" s="487"/>
      <c r="O60" s="487"/>
      <c r="P60" s="487"/>
      <c r="Q60" s="487"/>
      <c r="R60" s="487"/>
      <c r="S60" s="487"/>
      <c r="T60" s="487"/>
      <c r="U60" s="487"/>
      <c r="V60" s="487"/>
      <c r="W60" s="487"/>
      <c r="X60" s="487"/>
      <c r="Y60" s="487"/>
      <c r="Z60" s="487"/>
      <c r="AA60" s="487"/>
      <c r="AB60" s="487"/>
      <c r="AC60" s="487"/>
      <c r="AD60" s="487"/>
      <c r="AE60" s="487"/>
    </row>
    <row r="61" spans="1:31" ht="21" customHeight="1">
      <c r="A61" s="272"/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</row>
    <row r="62" spans="1:31" ht="21" customHeight="1">
      <c r="A62" s="269"/>
      <c r="B62" s="270"/>
      <c r="C62" s="270"/>
      <c r="D62" s="270"/>
      <c r="E62" s="270"/>
      <c r="F62" s="270"/>
      <c r="H62" s="270"/>
      <c r="J62" s="270"/>
      <c r="L62" s="270"/>
      <c r="N62" s="270"/>
      <c r="P62" s="270"/>
      <c r="Q62" s="270"/>
      <c r="R62" s="270"/>
      <c r="S62" s="270"/>
      <c r="T62" s="270"/>
      <c r="V62" s="270"/>
      <c r="X62" s="270"/>
      <c r="Z62" s="270"/>
      <c r="AB62" s="270"/>
      <c r="AC62" s="270"/>
      <c r="AD62" s="270"/>
      <c r="AE62" s="270"/>
    </row>
    <row r="63" spans="1:31" ht="21" customHeight="1">
      <c r="A63" s="274"/>
      <c r="D63" s="268"/>
      <c r="M63" s="275" t="s">
        <v>1102</v>
      </c>
      <c r="O63" s="275" t="s">
        <v>1054</v>
      </c>
      <c r="AA63" s="275" t="s">
        <v>1054</v>
      </c>
    </row>
    <row r="64" spans="1:31" ht="21" customHeight="1">
      <c r="B64" s="276" t="s">
        <v>1055</v>
      </c>
      <c r="E64" s="277" t="s">
        <v>1056</v>
      </c>
      <c r="F64" s="277"/>
      <c r="G64" s="275" t="s">
        <v>1057</v>
      </c>
      <c r="H64" s="277"/>
      <c r="I64" s="275" t="s">
        <v>1058</v>
      </c>
      <c r="J64" s="277"/>
      <c r="K64" s="275" t="s">
        <v>1059</v>
      </c>
      <c r="L64" s="277"/>
      <c r="M64" s="275" t="s">
        <v>1103</v>
      </c>
      <c r="N64" s="277"/>
      <c r="O64" s="275" t="s">
        <v>10</v>
      </c>
      <c r="P64" s="277"/>
      <c r="Q64" s="275" t="s">
        <v>1060</v>
      </c>
      <c r="R64" s="277"/>
      <c r="S64" s="277" t="s">
        <v>1061</v>
      </c>
      <c r="T64" s="277"/>
      <c r="U64" s="275" t="s">
        <v>1062</v>
      </c>
      <c r="V64" s="277"/>
      <c r="W64" s="275" t="s">
        <v>1058</v>
      </c>
      <c r="X64" s="277"/>
      <c r="Y64" s="275" t="s">
        <v>1059</v>
      </c>
      <c r="Z64" s="277"/>
      <c r="AA64" s="275" t="s">
        <v>10</v>
      </c>
      <c r="AB64" s="277"/>
      <c r="AC64" s="275" t="s">
        <v>1063</v>
      </c>
      <c r="AD64" s="277"/>
      <c r="AE64" s="277" t="s">
        <v>1064</v>
      </c>
    </row>
    <row r="65" spans="1:36" ht="21" customHeight="1">
      <c r="B65" s="278">
        <v>-1</v>
      </c>
      <c r="E65" s="279" t="s">
        <v>1065</v>
      </c>
      <c r="F65" s="277"/>
      <c r="G65" s="279" t="s">
        <v>1066</v>
      </c>
      <c r="H65" s="277"/>
      <c r="I65" s="279">
        <v>-4</v>
      </c>
      <c r="J65" s="277"/>
      <c r="K65" s="279">
        <v>-5</v>
      </c>
      <c r="L65" s="277"/>
      <c r="M65" s="279">
        <v>-6</v>
      </c>
      <c r="N65" s="277"/>
      <c r="O65" s="279">
        <v>-7</v>
      </c>
      <c r="P65" s="277"/>
      <c r="Q65" s="279">
        <v>-8</v>
      </c>
      <c r="R65" s="277"/>
      <c r="S65" s="279">
        <v>-9</v>
      </c>
      <c r="T65" s="277"/>
      <c r="U65" s="279">
        <v>-10</v>
      </c>
      <c r="V65" s="277"/>
      <c r="W65" s="279">
        <v>-11</v>
      </c>
      <c r="X65" s="277"/>
      <c r="Y65" s="279">
        <v>-12</v>
      </c>
      <c r="Z65" s="277"/>
      <c r="AA65" s="279">
        <v>-13</v>
      </c>
      <c r="AB65" s="277"/>
      <c r="AC65" s="280">
        <v>-14</v>
      </c>
      <c r="AD65" s="277"/>
      <c r="AE65" s="280">
        <v>-15</v>
      </c>
      <c r="AG65" s="281"/>
      <c r="AJ65" s="281"/>
    </row>
    <row r="66" spans="1:36" ht="21" customHeight="1">
      <c r="E66" s="282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75" t="s">
        <v>1726</v>
      </c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75" t="s">
        <v>1727</v>
      </c>
      <c r="AD66" s="282"/>
      <c r="AE66" s="275" t="s">
        <v>1728</v>
      </c>
    </row>
    <row r="67" spans="1:36">
      <c r="A67" s="294" t="s">
        <v>1089</v>
      </c>
      <c r="B67" s="266" t="s">
        <v>1090</v>
      </c>
      <c r="E67" s="282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77"/>
      <c r="R67" s="306"/>
      <c r="S67" s="282"/>
      <c r="T67" s="282"/>
      <c r="U67" s="282"/>
      <c r="V67" s="282"/>
      <c r="W67" s="282"/>
      <c r="X67" s="282"/>
      <c r="Y67" s="282"/>
      <c r="Z67" s="282"/>
      <c r="AA67" s="282"/>
      <c r="AB67" s="282"/>
      <c r="AC67" s="277"/>
      <c r="AD67" s="282"/>
      <c r="AE67" s="277"/>
    </row>
    <row r="68" spans="1:36" ht="21" customHeight="1">
      <c r="A68" s="294"/>
      <c r="B68" s="266" t="s">
        <v>1721</v>
      </c>
      <c r="E68" s="284">
        <v>673346546.2030884</v>
      </c>
      <c r="F68" s="284"/>
      <c r="G68" s="284">
        <v>9612903.9999999963</v>
      </c>
      <c r="H68" s="284"/>
      <c r="I68" s="284">
        <v>0</v>
      </c>
      <c r="J68" s="284"/>
      <c r="K68" s="284">
        <v>0</v>
      </c>
      <c r="L68" s="284"/>
      <c r="M68" s="284">
        <v>0</v>
      </c>
      <c r="N68" s="284"/>
      <c r="O68" s="284">
        <v>0</v>
      </c>
      <c r="P68" s="284"/>
      <c r="Q68" s="284">
        <v>663733642.2030884</v>
      </c>
      <c r="R68" s="307"/>
      <c r="S68" s="284">
        <f>'SCH B-5.2'!E34</f>
        <v>214351285.52134946</v>
      </c>
      <c r="T68" s="284"/>
      <c r="U68" s="284">
        <v>0</v>
      </c>
      <c r="V68" s="284"/>
      <c r="W68" s="284">
        <v>0</v>
      </c>
      <c r="X68" s="284"/>
      <c r="Y68" s="284">
        <v>0</v>
      </c>
      <c r="Z68" s="284"/>
      <c r="AA68" s="284">
        <v>0</v>
      </c>
      <c r="AB68" s="284"/>
      <c r="AC68" s="284">
        <f>S68-SUM(U68:AA68)</f>
        <v>214351285.52134946</v>
      </c>
      <c r="AD68" s="284"/>
      <c r="AE68" s="285">
        <f>+E68+S68</f>
        <v>887697831.72443783</v>
      </c>
    </row>
    <row r="69" spans="1:36" ht="13.5" customHeight="1">
      <c r="A69" s="294"/>
      <c r="E69" s="296"/>
      <c r="F69" s="287"/>
      <c r="G69" s="296"/>
      <c r="H69" s="287"/>
      <c r="I69" s="296"/>
      <c r="J69" s="287"/>
      <c r="K69" s="296"/>
      <c r="L69" s="287"/>
      <c r="M69" s="296"/>
      <c r="N69" s="287"/>
      <c r="P69" s="287"/>
      <c r="Q69" s="296"/>
      <c r="R69" s="308"/>
      <c r="S69" s="296"/>
      <c r="T69" s="287"/>
      <c r="U69" s="296"/>
      <c r="V69" s="287"/>
      <c r="W69" s="296"/>
      <c r="X69" s="287"/>
      <c r="Y69" s="296"/>
      <c r="Z69" s="287"/>
      <c r="AA69" s="296"/>
      <c r="AB69" s="287"/>
      <c r="AC69" s="296"/>
      <c r="AD69" s="287"/>
      <c r="AE69" s="296"/>
    </row>
    <row r="70" spans="1:36" ht="21" customHeight="1">
      <c r="A70" s="309" t="s">
        <v>1091</v>
      </c>
      <c r="B70" s="266" t="s">
        <v>1068</v>
      </c>
      <c r="E70" s="310"/>
      <c r="F70" s="288"/>
      <c r="G70" s="310"/>
      <c r="H70" s="288"/>
      <c r="I70" s="310"/>
      <c r="J70" s="288"/>
      <c r="K70" s="310"/>
      <c r="L70" s="288"/>
      <c r="M70" s="310"/>
      <c r="N70" s="288"/>
      <c r="P70" s="288"/>
      <c r="Q70" s="310"/>
      <c r="R70" s="310"/>
      <c r="S70" s="310"/>
      <c r="T70" s="288"/>
      <c r="U70" s="310"/>
      <c r="V70" s="288"/>
      <c r="W70" s="310"/>
      <c r="X70" s="288"/>
      <c r="Y70" s="310"/>
      <c r="Z70" s="288"/>
      <c r="AA70" s="310"/>
      <c r="AB70" s="288"/>
      <c r="AC70" s="310"/>
      <c r="AD70" s="288"/>
      <c r="AE70" s="289"/>
    </row>
    <row r="71" spans="1:36" ht="21" customHeight="1">
      <c r="A71" s="309" t="s">
        <v>1092</v>
      </c>
      <c r="B71" s="311" t="s">
        <v>1093</v>
      </c>
      <c r="C71" s="296"/>
      <c r="D71" s="296"/>
      <c r="E71" s="266">
        <v>56991850.089490741</v>
      </c>
      <c r="F71" s="296"/>
      <c r="G71" s="292">
        <v>0</v>
      </c>
      <c r="H71" s="296"/>
      <c r="I71" s="292">
        <v>0</v>
      </c>
      <c r="J71" s="296"/>
      <c r="K71" s="292">
        <v>0</v>
      </c>
      <c r="L71" s="296"/>
      <c r="M71" s="292">
        <v>0</v>
      </c>
      <c r="N71" s="296"/>
      <c r="O71" s="292">
        <v>0</v>
      </c>
      <c r="P71" s="296"/>
      <c r="Q71" s="266">
        <v>56991850.089490741</v>
      </c>
      <c r="R71" s="296"/>
      <c r="S71" s="312"/>
      <c r="T71" s="296"/>
      <c r="U71" s="312"/>
      <c r="V71" s="296"/>
      <c r="W71" s="312"/>
      <c r="X71" s="296"/>
      <c r="Y71" s="312"/>
      <c r="Z71" s="296"/>
      <c r="AA71" s="312"/>
      <c r="AB71" s="296"/>
      <c r="AC71" s="312"/>
      <c r="AD71" s="296"/>
      <c r="AE71" s="313">
        <f>+E71+S71</f>
        <v>56991850.089490741</v>
      </c>
    </row>
    <row r="72" spans="1:36" ht="21" customHeight="1">
      <c r="A72" s="309" t="s">
        <v>1094</v>
      </c>
      <c r="B72" s="311" t="s">
        <v>1095</v>
      </c>
      <c r="C72" s="296"/>
      <c r="D72" s="296"/>
      <c r="E72" s="295"/>
      <c r="F72" s="296"/>
      <c r="G72" s="295"/>
      <c r="H72" s="296"/>
      <c r="I72" s="295"/>
      <c r="J72" s="296"/>
      <c r="K72" s="295"/>
      <c r="L72" s="296"/>
      <c r="M72" s="295"/>
      <c r="N72" s="296"/>
      <c r="O72" s="295"/>
      <c r="P72" s="296"/>
      <c r="Q72" s="295"/>
      <c r="R72" s="296"/>
      <c r="S72" s="295">
        <f>'SCH B-5.2'!E36</f>
        <v>134892014.8907572</v>
      </c>
      <c r="T72" s="296"/>
      <c r="U72" s="314">
        <v>0</v>
      </c>
      <c r="V72" s="296"/>
      <c r="W72" s="314">
        <v>0</v>
      </c>
      <c r="X72" s="296"/>
      <c r="Y72" s="314">
        <v>0</v>
      </c>
      <c r="Z72" s="296"/>
      <c r="AA72" s="314">
        <v>0</v>
      </c>
      <c r="AB72" s="296"/>
      <c r="AC72" s="317">
        <f>S72-SUM(U72:AA72)</f>
        <v>134892014.8907572</v>
      </c>
      <c r="AD72" s="296"/>
      <c r="AE72" s="295">
        <f>E72+S72</f>
        <v>134892014.8907572</v>
      </c>
    </row>
    <row r="73" spans="1:36" ht="21" customHeight="1">
      <c r="A73" s="309" t="s">
        <v>1096</v>
      </c>
      <c r="B73" s="315" t="s">
        <v>1072</v>
      </c>
      <c r="C73" s="296"/>
      <c r="D73" s="296"/>
      <c r="E73" s="300">
        <v>56991850.089490741</v>
      </c>
      <c r="F73" s="296"/>
      <c r="G73" s="300">
        <v>0</v>
      </c>
      <c r="H73" s="296"/>
      <c r="I73" s="300">
        <v>0</v>
      </c>
      <c r="J73" s="296"/>
      <c r="K73" s="300">
        <v>0</v>
      </c>
      <c r="L73" s="296"/>
      <c r="M73" s="300">
        <v>0</v>
      </c>
      <c r="N73" s="296"/>
      <c r="O73" s="300">
        <v>0</v>
      </c>
      <c r="P73" s="296"/>
      <c r="Q73" s="300">
        <v>56991850.089490741</v>
      </c>
      <c r="R73" s="296"/>
      <c r="S73" s="300">
        <f>SUM(S71:S72)</f>
        <v>134892014.8907572</v>
      </c>
      <c r="T73" s="296"/>
      <c r="U73" s="300">
        <f>SUM(U71:U72)</f>
        <v>0</v>
      </c>
      <c r="V73" s="296"/>
      <c r="W73" s="300">
        <f>SUM(W71:W72)</f>
        <v>0</v>
      </c>
      <c r="X73" s="296"/>
      <c r="Y73" s="300">
        <f>SUM(Y71:Y72)</f>
        <v>0</v>
      </c>
      <c r="Z73" s="296"/>
      <c r="AA73" s="300">
        <f>SUM(AA71:AA72)</f>
        <v>0</v>
      </c>
      <c r="AB73" s="296"/>
      <c r="AC73" s="300">
        <f>SUM(AC71:AC72)</f>
        <v>134892014.8907572</v>
      </c>
      <c r="AD73" s="296"/>
      <c r="AE73" s="300">
        <f>SUM(AE71:AE72)</f>
        <v>191883864.98024794</v>
      </c>
    </row>
    <row r="74" spans="1:36" ht="12" customHeight="1">
      <c r="A74" s="309"/>
      <c r="B74" s="296"/>
      <c r="C74" s="296"/>
      <c r="D74" s="296"/>
      <c r="E74" s="296"/>
      <c r="F74" s="296"/>
      <c r="G74" s="296"/>
      <c r="H74" s="296"/>
      <c r="I74" s="296"/>
      <c r="J74" s="296"/>
      <c r="K74" s="296"/>
      <c r="L74" s="296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6"/>
      <c r="AD74" s="296"/>
      <c r="AE74" s="296"/>
    </row>
    <row r="75" spans="1:36" ht="24.75" customHeight="1" thickBot="1">
      <c r="A75" s="309" t="s">
        <v>1097</v>
      </c>
      <c r="B75" s="296" t="s">
        <v>1098</v>
      </c>
      <c r="C75" s="296"/>
      <c r="D75" s="296"/>
      <c r="E75" s="299">
        <v>616354696.11359763</v>
      </c>
      <c r="F75" s="296"/>
      <c r="G75" s="299">
        <v>9612903.9999999963</v>
      </c>
      <c r="H75" s="296"/>
      <c r="I75" s="299">
        <v>0</v>
      </c>
      <c r="J75" s="296">
        <v>0</v>
      </c>
      <c r="K75" s="299">
        <v>0</v>
      </c>
      <c r="L75" s="296">
        <v>0</v>
      </c>
      <c r="M75" s="299">
        <v>0</v>
      </c>
      <c r="N75" s="296">
        <v>0</v>
      </c>
      <c r="O75" s="299">
        <v>0</v>
      </c>
      <c r="P75" s="296"/>
      <c r="Q75" s="299">
        <v>606741792.11359763</v>
      </c>
      <c r="R75" s="296"/>
      <c r="S75" s="299">
        <f>+S68-S73</f>
        <v>79459270.630592257</v>
      </c>
      <c r="T75" s="296"/>
      <c r="U75" s="299">
        <f>+U68-U73</f>
        <v>0</v>
      </c>
      <c r="V75" s="296"/>
      <c r="W75" s="299">
        <f>+W68-W73</f>
        <v>0</v>
      </c>
      <c r="X75" s="296"/>
      <c r="Y75" s="299">
        <f>+Y68-Y73</f>
        <v>0</v>
      </c>
      <c r="Z75" s="296"/>
      <c r="AA75" s="299">
        <f>+AA68-AA73</f>
        <v>0</v>
      </c>
      <c r="AB75" s="296"/>
      <c r="AC75" s="299">
        <f>+AC68-AC73</f>
        <v>79459270.630592257</v>
      </c>
      <c r="AD75" s="296"/>
      <c r="AE75" s="299">
        <f>+AE68-AE73</f>
        <v>695813966.74418986</v>
      </c>
    </row>
    <row r="76" spans="1:36" ht="21" customHeight="1" thickTop="1">
      <c r="A76" s="309"/>
      <c r="B76" s="296"/>
      <c r="C76" s="296"/>
      <c r="D76" s="296"/>
      <c r="E76" s="296"/>
      <c r="F76" s="296"/>
      <c r="G76" s="296"/>
      <c r="H76" s="296"/>
      <c r="I76" s="296"/>
      <c r="J76" s="296"/>
      <c r="K76" s="296"/>
      <c r="L76" s="296"/>
      <c r="M76" s="296"/>
      <c r="N76" s="296"/>
      <c r="O76" s="296"/>
      <c r="P76" s="296"/>
      <c r="Q76" s="296"/>
      <c r="R76" s="296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</row>
    <row r="77" spans="1:36" ht="21" customHeight="1" thickBot="1">
      <c r="A77" s="309" t="s">
        <v>1099</v>
      </c>
      <c r="B77" s="296" t="s">
        <v>1100</v>
      </c>
      <c r="C77" s="296"/>
      <c r="D77" s="296"/>
      <c r="E77" s="316">
        <v>77177095</v>
      </c>
      <c r="F77" s="296"/>
      <c r="G77" s="316">
        <v>1201613</v>
      </c>
      <c r="H77" s="296"/>
      <c r="I77" s="316">
        <v>0</v>
      </c>
      <c r="J77" s="296"/>
      <c r="K77" s="316">
        <v>0</v>
      </c>
      <c r="L77" s="296"/>
      <c r="M77" s="316">
        <v>0</v>
      </c>
      <c r="N77" s="296"/>
      <c r="O77" s="316">
        <v>0</v>
      </c>
      <c r="P77" s="296"/>
      <c r="Q77" s="316">
        <v>75975482</v>
      </c>
      <c r="R77" s="296"/>
      <c r="S77" s="316">
        <f>ROUND(+S75*0.125,0)</f>
        <v>9932409</v>
      </c>
      <c r="T77" s="296"/>
      <c r="U77" s="316">
        <f>ROUND(+U75*0.125,0)</f>
        <v>0</v>
      </c>
      <c r="V77" s="296"/>
      <c r="W77" s="316">
        <f>ROUND(+W75*0.125,0)</f>
        <v>0</v>
      </c>
      <c r="X77" s="296"/>
      <c r="Y77" s="316">
        <f>ROUND(+Y75*0.125,0)</f>
        <v>0</v>
      </c>
      <c r="Z77" s="296"/>
      <c r="AA77" s="316">
        <f>ROUND(+AA75*0.125,0)</f>
        <v>0</v>
      </c>
      <c r="AB77" s="296"/>
      <c r="AC77" s="316">
        <f>ROUND(+AC75*0.125,0)</f>
        <v>9932409</v>
      </c>
      <c r="AD77" s="296"/>
      <c r="AE77" s="316">
        <f>+E77+S77</f>
        <v>87109504</v>
      </c>
    </row>
    <row r="78" spans="1:36" ht="16.5" thickTop="1">
      <c r="C78" s="296"/>
      <c r="D78" s="296"/>
    </row>
    <row r="79" spans="1:36">
      <c r="A79" s="309"/>
      <c r="B79" s="315"/>
      <c r="C79" s="296"/>
      <c r="D79" s="296"/>
      <c r="E79" s="296"/>
      <c r="F79" s="296"/>
      <c r="G79" s="300"/>
      <c r="H79" s="296"/>
      <c r="I79" s="300"/>
      <c r="J79" s="296"/>
      <c r="K79" s="300"/>
      <c r="L79" s="296"/>
      <c r="M79" s="300"/>
      <c r="N79" s="296"/>
      <c r="O79" s="300"/>
      <c r="P79" s="296"/>
      <c r="Q79" s="296"/>
      <c r="R79" s="296"/>
      <c r="S79" s="296"/>
      <c r="T79" s="296"/>
      <c r="U79" s="300"/>
      <c r="V79" s="296"/>
      <c r="W79" s="300"/>
      <c r="X79" s="296"/>
      <c r="Y79" s="300"/>
      <c r="Z79" s="296"/>
      <c r="AA79" s="300"/>
      <c r="AB79" s="296"/>
      <c r="AC79" s="296"/>
      <c r="AD79" s="296"/>
      <c r="AE79" s="296"/>
    </row>
    <row r="80" spans="1:36">
      <c r="A80" s="309"/>
      <c r="B80" s="315"/>
      <c r="C80" s="296"/>
      <c r="D80" s="296"/>
      <c r="E80" s="296"/>
      <c r="F80" s="296"/>
      <c r="G80" s="296"/>
      <c r="H80" s="296"/>
      <c r="I80" s="296"/>
      <c r="J80" s="296"/>
      <c r="K80" s="296"/>
      <c r="L80" s="296"/>
      <c r="M80" s="296"/>
      <c r="N80" s="296"/>
      <c r="O80" s="296"/>
      <c r="P80" s="296"/>
      <c r="Q80" s="296"/>
      <c r="R80" s="296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</row>
  </sheetData>
  <mergeCells count="5">
    <mergeCell ref="A7:AE7"/>
    <mergeCell ref="A57:AE57"/>
    <mergeCell ref="A59:AE59"/>
    <mergeCell ref="A60:AE60"/>
    <mergeCell ref="A8:AE8"/>
  </mergeCells>
  <printOptions horizontalCentered="1" gridLinesSet="0"/>
  <pageMargins left="0.5" right="0.5" top="1" bottom="0.5" header="0.75" footer="0.5"/>
  <pageSetup scale="37" orientation="landscape" r:id="rId1"/>
  <headerFooter alignWithMargins="0"/>
  <rowBreaks count="1" manualBreakCount="1">
    <brk id="52" max="10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>
    <pageSetUpPr fitToPage="1"/>
  </sheetPr>
  <dimension ref="A1:Q117"/>
  <sheetViews>
    <sheetView zoomScaleNormal="100" workbookViewId="0">
      <selection activeCell="C73" sqref="C73"/>
    </sheetView>
  </sheetViews>
  <sheetFormatPr defaultColWidth="9" defaultRowHeight="12.75"/>
  <cols>
    <col min="1" max="1" width="6" style="33" customWidth="1"/>
    <col min="2" max="2" width="6.77734375" style="33" customWidth="1"/>
    <col min="3" max="3" width="38.33203125" style="33" customWidth="1"/>
    <col min="4" max="5" width="13.6640625" style="33" customWidth="1"/>
    <col min="6" max="6" width="9.88671875" style="33" customWidth="1"/>
    <col min="7" max="7" width="15" style="33" customWidth="1"/>
    <col min="8" max="9" width="13.6640625" style="33" customWidth="1"/>
    <col min="10" max="10" width="30.44140625" style="33" customWidth="1"/>
    <col min="11" max="11" width="1.6640625" style="33" customWidth="1"/>
    <col min="12" max="12" width="9" style="33"/>
    <col min="13" max="13" width="13.109375" style="33" customWidth="1"/>
    <col min="14" max="14" width="9" style="33"/>
    <col min="15" max="15" width="12.6640625" style="33" customWidth="1"/>
    <col min="16" max="16" width="12.88671875" style="33" customWidth="1"/>
    <col min="17" max="16384" width="9" style="33"/>
  </cols>
  <sheetData>
    <row r="1" spans="1:10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  <c r="G1" s="494"/>
      <c r="H1" s="494"/>
      <c r="I1" s="494"/>
      <c r="J1" s="494"/>
    </row>
    <row r="2" spans="1:10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  <c r="G2" s="494"/>
      <c r="H2" s="494"/>
      <c r="I2" s="494"/>
      <c r="J2" s="494"/>
    </row>
    <row r="3" spans="1:10" s="32" customFormat="1" ht="20.100000000000001" customHeight="1">
      <c r="A3" s="494" t="s">
        <v>199</v>
      </c>
      <c r="B3" s="494"/>
      <c r="C3" s="494"/>
      <c r="D3" s="494"/>
      <c r="E3" s="494"/>
      <c r="F3" s="494"/>
      <c r="G3" s="494"/>
      <c r="H3" s="494"/>
      <c r="I3" s="494"/>
      <c r="J3" s="494"/>
    </row>
    <row r="4" spans="1:10" s="32" customFormat="1" ht="20.100000000000001" customHeight="1">
      <c r="A4" s="493" t="str">
        <f>'Rate Case Constants'!C12</f>
        <v>AS OF FEBRUARY 28, 2017</v>
      </c>
      <c r="B4" s="494"/>
      <c r="C4" s="494"/>
      <c r="D4" s="494"/>
      <c r="E4" s="494"/>
      <c r="F4" s="494"/>
      <c r="G4" s="494"/>
      <c r="H4" s="494"/>
      <c r="I4" s="494"/>
      <c r="J4" s="494"/>
    </row>
    <row r="5" spans="1:10" s="32" customFormat="1" ht="20.100000000000001" customHeight="1">
      <c r="A5" s="183"/>
      <c r="B5" s="183"/>
      <c r="C5" s="183"/>
      <c r="D5" s="183"/>
      <c r="E5" s="183"/>
      <c r="F5" s="183"/>
      <c r="G5" s="183"/>
      <c r="H5" s="183"/>
      <c r="I5" s="183"/>
      <c r="J5" s="183"/>
    </row>
    <row r="6" spans="1:10" s="32" customFormat="1" ht="20.100000000000001" customHeight="1">
      <c r="A6" s="31" t="s">
        <v>31</v>
      </c>
      <c r="B6" s="31"/>
      <c r="H6" s="38"/>
      <c r="I6" s="38"/>
      <c r="J6" s="38" t="s">
        <v>198</v>
      </c>
    </row>
    <row r="7" spans="1:10" s="32" customFormat="1" ht="20.100000000000001" customHeight="1">
      <c r="A7" s="32" t="str">
        <f>'Rate Case Constants'!C29</f>
        <v>TYPE OF FILING: __X__ ORIGINAL  _____ UPDATED  _____ REVISED</v>
      </c>
      <c r="H7" s="38"/>
      <c r="I7" s="38"/>
      <c r="J7" s="38" t="s">
        <v>1286</v>
      </c>
    </row>
    <row r="8" spans="1:10" s="32" customFormat="1" ht="20.100000000000001" customHeight="1">
      <c r="A8" s="31" t="s">
        <v>151</v>
      </c>
      <c r="B8" s="31"/>
      <c r="F8" s="31"/>
      <c r="G8" s="31"/>
      <c r="H8" s="39"/>
      <c r="I8" s="39"/>
      <c r="J8" s="39" t="str">
        <f>'Rate Case Constants'!C36</f>
        <v>WITNESS:   C. M. GARRETT</v>
      </c>
    </row>
    <row r="9" spans="1:10" s="32" customFormat="1" ht="20.100000000000001" customHeight="1"/>
    <row r="10" spans="1:10" s="32" customFormat="1" ht="20.100000000000001" customHeight="1">
      <c r="A10" s="59"/>
      <c r="B10" s="59"/>
      <c r="C10" s="59"/>
      <c r="D10" s="496" t="s">
        <v>114</v>
      </c>
      <c r="E10" s="496"/>
      <c r="F10" s="59"/>
      <c r="G10" s="59"/>
      <c r="H10" s="59"/>
      <c r="I10" s="59"/>
      <c r="J10" s="59"/>
    </row>
    <row r="11" spans="1:10" ht="48" customHeight="1">
      <c r="A11" s="35" t="s">
        <v>29</v>
      </c>
      <c r="B11" s="35" t="s">
        <v>32</v>
      </c>
      <c r="C11" s="42" t="s">
        <v>200</v>
      </c>
      <c r="D11" s="35" t="s">
        <v>201</v>
      </c>
      <c r="E11" s="35" t="s">
        <v>202</v>
      </c>
      <c r="F11" s="35" t="s">
        <v>203</v>
      </c>
      <c r="G11" s="35" t="s">
        <v>204</v>
      </c>
      <c r="H11" s="35" t="s">
        <v>206</v>
      </c>
      <c r="I11" s="35" t="s">
        <v>733</v>
      </c>
      <c r="J11" s="35" t="s">
        <v>207</v>
      </c>
    </row>
    <row r="12" spans="1:10" ht="18.95" customHeight="1">
      <c r="A12" s="61" t="s">
        <v>176</v>
      </c>
      <c r="B12" s="61" t="s">
        <v>177</v>
      </c>
      <c r="C12" s="61" t="s">
        <v>180</v>
      </c>
      <c r="D12" s="61" t="s">
        <v>188</v>
      </c>
      <c r="E12" s="61" t="s">
        <v>189</v>
      </c>
      <c r="F12" s="61" t="s">
        <v>190</v>
      </c>
      <c r="G12" s="61" t="s">
        <v>205</v>
      </c>
      <c r="H12" s="61" t="s">
        <v>192</v>
      </c>
      <c r="I12" s="61" t="s">
        <v>193</v>
      </c>
      <c r="J12" s="61" t="s">
        <v>208</v>
      </c>
    </row>
    <row r="13" spans="1:10" ht="23.1" customHeight="1">
      <c r="A13" s="37"/>
      <c r="B13" s="37"/>
      <c r="C13" s="64"/>
      <c r="D13" s="58" t="s">
        <v>40</v>
      </c>
      <c r="E13" s="58" t="s">
        <v>40</v>
      </c>
      <c r="F13" s="58"/>
      <c r="G13" s="58" t="s">
        <v>40</v>
      </c>
      <c r="H13" s="58"/>
      <c r="I13" s="58"/>
      <c r="J13" s="58"/>
    </row>
    <row r="14" spans="1:10" ht="23.1" customHeight="1">
      <c r="A14" s="37">
        <v>1</v>
      </c>
      <c r="B14" s="37"/>
      <c r="C14" s="49" t="s">
        <v>571</v>
      </c>
      <c r="D14" s="41"/>
      <c r="E14" s="41"/>
      <c r="F14" s="41"/>
      <c r="G14" s="41"/>
      <c r="H14" s="41"/>
      <c r="I14" s="41"/>
    </row>
    <row r="15" spans="1:10" ht="18.95" customHeight="1">
      <c r="A15" s="34">
        <f>A14+1</f>
        <v>2</v>
      </c>
      <c r="B15" s="35">
        <v>301</v>
      </c>
      <c r="C15" s="42" t="s">
        <v>412</v>
      </c>
      <c r="D15" s="52">
        <f>'SCH B-2.1 B'!H13</f>
        <v>0</v>
      </c>
      <c r="E15" s="52">
        <f>-'SCH B-3 B'!I14</f>
        <v>0</v>
      </c>
      <c r="F15" s="240"/>
      <c r="G15" s="52">
        <f t="shared" ref="G15:G17" si="0">D15*F15</f>
        <v>0</v>
      </c>
      <c r="H15" s="246"/>
      <c r="I15" s="241"/>
      <c r="J15" s="242"/>
    </row>
    <row r="16" spans="1:10" ht="18.95" customHeight="1">
      <c r="A16" s="34">
        <f t="shared" ref="A16:A18" si="1">A15+1</f>
        <v>3</v>
      </c>
      <c r="B16" s="35">
        <v>302</v>
      </c>
      <c r="C16" s="42" t="s">
        <v>414</v>
      </c>
      <c r="D16" s="52">
        <f>'SCH B-2.1 B'!H14</f>
        <v>387.49</v>
      </c>
      <c r="E16" s="52">
        <f>-'SCH B-3 B'!I15</f>
        <v>170.978221002</v>
      </c>
      <c r="F16" s="240">
        <f>VLOOKUP($B16,'LGE Gas Depr Rates'!$A$16:$R$127,8,)/100</f>
        <v>0.10580918217244316</v>
      </c>
      <c r="G16" s="52">
        <f t="shared" si="0"/>
        <v>41</v>
      </c>
      <c r="H16" s="246">
        <f>VLOOKUP($B16,'LGE Gas Depr Rates'!$A$16:$R$127,6,)</f>
        <v>0</v>
      </c>
      <c r="I16" s="241">
        <f>VLOOKUP($B16,'LGE Gas Depr Rates'!$A$16:$R$127,18,)</f>
        <v>0</v>
      </c>
      <c r="J16" s="242" t="str">
        <f>VLOOKUP($B16,'LGE Gas Depr Rates'!$A$16:$R$127,16,)</f>
        <v>20-SQ</v>
      </c>
    </row>
    <row r="17" spans="1:17" ht="18.95" customHeight="1">
      <c r="A17" s="34">
        <f t="shared" si="1"/>
        <v>4</v>
      </c>
      <c r="B17" s="35">
        <v>303</v>
      </c>
      <c r="C17" s="42" t="s">
        <v>416</v>
      </c>
      <c r="D17" s="53">
        <f>'SCH B-2.1 B'!H15</f>
        <v>0</v>
      </c>
      <c r="E17" s="53">
        <f>-'SCH B-3 B'!I16</f>
        <v>0</v>
      </c>
      <c r="F17" s="240"/>
      <c r="G17" s="53">
        <f t="shared" si="0"/>
        <v>0</v>
      </c>
      <c r="H17" s="247"/>
      <c r="I17" s="241"/>
      <c r="J17" s="242"/>
    </row>
    <row r="18" spans="1:17" ht="18.95" customHeight="1">
      <c r="A18" s="34">
        <f t="shared" si="1"/>
        <v>5</v>
      </c>
      <c r="B18" s="34"/>
      <c r="C18" s="42" t="s">
        <v>41</v>
      </c>
      <c r="D18" s="50">
        <f>SUM(D15:D17)</f>
        <v>387.49</v>
      </c>
      <c r="E18" s="50">
        <f>SUM(E15:E17)</f>
        <v>170.978221002</v>
      </c>
      <c r="F18" s="62"/>
      <c r="G18" s="50">
        <f>SUM(G15:G17)</f>
        <v>41</v>
      </c>
      <c r="H18" s="50"/>
      <c r="I18" s="50"/>
      <c r="J18" s="50"/>
      <c r="M18" s="67"/>
      <c r="N18" s="67"/>
      <c r="O18" s="67"/>
      <c r="P18" s="67"/>
      <c r="Q18" s="68"/>
    </row>
    <row r="19" spans="1:17" ht="18.95" customHeight="1">
      <c r="A19" s="34"/>
      <c r="B19" s="34"/>
      <c r="D19" s="36"/>
      <c r="E19" s="36"/>
      <c r="F19" s="65"/>
      <c r="G19" s="36"/>
      <c r="H19" s="36"/>
      <c r="I19" s="36"/>
      <c r="J19" s="36"/>
    </row>
    <row r="20" spans="1:17" ht="18.95" customHeight="1">
      <c r="A20" s="34">
        <f>A18+1</f>
        <v>6</v>
      </c>
      <c r="B20" s="34"/>
      <c r="C20" s="54" t="s">
        <v>572</v>
      </c>
      <c r="D20" s="36"/>
      <c r="E20" s="36"/>
      <c r="F20" s="65"/>
      <c r="G20" s="36"/>
      <c r="H20" s="36"/>
      <c r="I20" s="36"/>
      <c r="J20" s="36"/>
    </row>
    <row r="21" spans="1:17" ht="18.95" customHeight="1">
      <c r="A21" s="34">
        <f t="shared" ref="A21:A54" si="2">A20+1</f>
        <v>7</v>
      </c>
      <c r="B21" s="35">
        <v>350</v>
      </c>
      <c r="C21" s="42" t="s">
        <v>43</v>
      </c>
      <c r="D21" s="52">
        <f>'SCH B-2.1 B'!H19</f>
        <v>134076.56</v>
      </c>
      <c r="E21" s="52">
        <f>-'SCH B-3 B'!I20</f>
        <v>69852.564571979892</v>
      </c>
      <c r="F21" s="240">
        <f>VLOOKUP($B21,'LGE Gas Depr Rates'!$A$16:$R$127,8,)/100</f>
        <v>5.5640625982143347E-3</v>
      </c>
      <c r="G21" s="52">
        <f t="shared" ref="G21" si="3">D21*F21</f>
        <v>746.01037279324009</v>
      </c>
      <c r="H21" s="246">
        <f>VLOOKUP($B21,'LGE Gas Depr Rates'!$A$16:$R$127,6,)</f>
        <v>0</v>
      </c>
      <c r="I21" s="241">
        <f>VLOOKUP($B21,'LGE Gas Depr Rates'!$A$16:$R$127,18,)</f>
        <v>47.3</v>
      </c>
      <c r="J21" s="242" t="str">
        <f>VLOOKUP($B21,'LGE Gas Depr Rates'!$A$16:$R$127,16,)</f>
        <v>50-R4</v>
      </c>
    </row>
    <row r="22" spans="1:17" ht="18" customHeight="1">
      <c r="A22" s="34">
        <f t="shared" si="2"/>
        <v>8</v>
      </c>
      <c r="B22" s="35">
        <v>351</v>
      </c>
      <c r="C22" s="42" t="s">
        <v>42</v>
      </c>
      <c r="D22" s="52">
        <f>'SCH B-2.1 B'!H20</f>
        <v>15767126.41</v>
      </c>
      <c r="E22" s="52">
        <f>-'SCH B-3 B'!I21</f>
        <v>2386389.8680235087</v>
      </c>
      <c r="F22" s="240">
        <f>VLOOKUP($B22,'LGE Gas Depr Rates'!$A$16:$R$127,8,)/100</f>
        <v>1.9448749493379762E-2</v>
      </c>
      <c r="G22" s="52">
        <f t="shared" ref="G22:G32" si="4">D22*F22</f>
        <v>306650.89177854219</v>
      </c>
      <c r="H22" s="246" t="str">
        <f>VLOOKUP($B22,'LGE Gas Depr Rates'!$A$16:$R$127,6,)</f>
        <v>-5%,-10%</v>
      </c>
      <c r="I22" s="241" t="str">
        <f>VLOOKUP($B22,'LGE Gas Depr Rates'!$A$16:$R$127,18,)</f>
        <v>43.7-53.5</v>
      </c>
      <c r="J22" s="242" t="str">
        <f>VLOOKUP($B22,'LGE Gas Depr Rates'!$A$16:$R$127,16,)</f>
        <v>50-R3, 50-R2.5</v>
      </c>
    </row>
    <row r="23" spans="1:17" ht="18.95" customHeight="1">
      <c r="A23" s="34">
        <f t="shared" si="2"/>
        <v>9</v>
      </c>
      <c r="B23" s="35">
        <v>352</v>
      </c>
      <c r="C23" s="42" t="s">
        <v>597</v>
      </c>
      <c r="D23" s="52">
        <f>'SCH B-2.1 B'!H21</f>
        <v>20145663.3699999</v>
      </c>
      <c r="E23" s="52">
        <f>-'SCH B-3 B'!I22</f>
        <v>3073069.009354589</v>
      </c>
      <c r="F23" s="240">
        <f>VLOOKUP($B23,'LGE Gas Depr Rates'!$A$16:$R$127,8,)/100</f>
        <v>2.2818224084287672E-2</v>
      </c>
      <c r="G23" s="52">
        <f t="shared" si="4"/>
        <v>459688.26110328367</v>
      </c>
      <c r="H23" s="431">
        <f>VLOOKUP($B23,'LGE Gas Depr Rates'!$A$16:$R$127,6,)</f>
        <v>-0.2</v>
      </c>
      <c r="I23" s="241" t="str">
        <f>VLOOKUP($B23,'LGE Gas Depr Rates'!$A$16:$R$127,18,)</f>
        <v>34.4-35.4</v>
      </c>
      <c r="J23" s="242" t="str">
        <f>VLOOKUP($B23,'LGE Gas Depr Rates'!$A$16:$R$127,16,)</f>
        <v>45-R1.5, 55-R2.5</v>
      </c>
    </row>
    <row r="24" spans="1:17" ht="18.95" customHeight="1">
      <c r="A24" s="34">
        <f t="shared" si="2"/>
        <v>10</v>
      </c>
      <c r="B24" s="35">
        <v>352.1</v>
      </c>
      <c r="C24" s="42" t="s">
        <v>598</v>
      </c>
      <c r="D24" s="52">
        <f>'SCH B-2.1 B'!H22</f>
        <v>548241.14</v>
      </c>
      <c r="E24" s="52">
        <f>-'SCH B-3 B'!I23</f>
        <v>569589.96</v>
      </c>
      <c r="F24" s="240">
        <v>0</v>
      </c>
      <c r="G24" s="52">
        <f t="shared" si="4"/>
        <v>0</v>
      </c>
      <c r="H24" s="431">
        <f>VLOOKUP($B24,'LGE Gas Depr Rates'!$A$16:$R$127,6,)</f>
        <v>0</v>
      </c>
      <c r="I24" s="241">
        <f>VLOOKUP($B24,'LGE Gas Depr Rates'!$A$16:$R$127,18,)</f>
        <v>0</v>
      </c>
      <c r="J24" s="242" t="str">
        <f>VLOOKUP($B24,'LGE Gas Depr Rates'!$A$16:$R$127,16,)</f>
        <v>65-R4</v>
      </c>
    </row>
    <row r="25" spans="1:17" ht="18.95" customHeight="1">
      <c r="A25" s="34">
        <f t="shared" si="2"/>
        <v>11</v>
      </c>
      <c r="B25" s="35">
        <v>352.2</v>
      </c>
      <c r="C25" s="42" t="s">
        <v>599</v>
      </c>
      <c r="D25" s="52">
        <f>'SCH B-2.1 B'!H23</f>
        <v>400511.39999999997</v>
      </c>
      <c r="E25" s="52">
        <f>-'SCH B-3 B'!I24</f>
        <v>452027.29</v>
      </c>
      <c r="F25" s="240">
        <v>0</v>
      </c>
      <c r="G25" s="52">
        <f t="shared" si="4"/>
        <v>0</v>
      </c>
      <c r="H25" s="431">
        <f>VLOOKUP($B25,'LGE Gas Depr Rates'!$A$16:$R$127,6,)</f>
        <v>0</v>
      </c>
      <c r="I25" s="241">
        <f>VLOOKUP($B25,'LGE Gas Depr Rates'!$A$16:$R$127,18,)</f>
        <v>0</v>
      </c>
      <c r="J25" s="242" t="str">
        <f>VLOOKUP($B25,'LGE Gas Depr Rates'!$A$16:$R$127,16,)</f>
        <v>55-R4</v>
      </c>
    </row>
    <row r="26" spans="1:17" ht="18.95" customHeight="1">
      <c r="A26" s="34">
        <f t="shared" si="2"/>
        <v>12</v>
      </c>
      <c r="B26" s="35">
        <v>352.3</v>
      </c>
      <c r="C26" s="42" t="s">
        <v>600</v>
      </c>
      <c r="D26" s="52">
        <f>'SCH B-2.1 B'!H24</f>
        <v>11788845</v>
      </c>
      <c r="E26" s="52">
        <f>-'SCH B-3 B'!I25</f>
        <v>8194835.6482500006</v>
      </c>
      <c r="F26" s="240">
        <f>VLOOKUP($B26,'LGE Gas Depr Rates'!$A$16:$R$127,8,)/100</f>
        <v>8.338295061952947E-3</v>
      </c>
      <c r="G26" s="52">
        <f t="shared" si="4"/>
        <v>98298.868049628683</v>
      </c>
      <c r="H26" s="431">
        <f>VLOOKUP($B26,'LGE Gas Depr Rates'!$A$16:$R$127,6,)</f>
        <v>0</v>
      </c>
      <c r="I26" s="241">
        <f>VLOOKUP($B26,'LGE Gas Depr Rates'!$A$16:$R$127,18,)</f>
        <v>23.3</v>
      </c>
      <c r="J26" s="242" t="str">
        <f>VLOOKUP($B26,'LGE Gas Depr Rates'!$A$16:$R$127,16,)</f>
        <v>50-SQ</v>
      </c>
    </row>
    <row r="27" spans="1:17" ht="18.95" customHeight="1">
      <c r="A27" s="34">
        <f t="shared" si="2"/>
        <v>13</v>
      </c>
      <c r="B27" s="35">
        <v>353</v>
      </c>
      <c r="C27" s="42" t="s">
        <v>601</v>
      </c>
      <c r="D27" s="52">
        <f>'SCH B-2.1 B'!H25</f>
        <v>23080886.600000001</v>
      </c>
      <c r="E27" s="52">
        <f>-'SCH B-3 B'!I26</f>
        <v>8773707.4748441707</v>
      </c>
      <c r="F27" s="240">
        <f>VLOOKUP($B27,'LGE Gas Depr Rates'!$A$16:$R$127,8,)/100</f>
        <v>1.8241275611174581E-2</v>
      </c>
      <c r="G27" s="52">
        <f t="shared" si="4"/>
        <v>421024.81382086623</v>
      </c>
      <c r="H27" s="431">
        <f>VLOOKUP($B27,'LGE Gas Depr Rates'!$A$16:$R$127,6,)</f>
        <v>-0.1</v>
      </c>
      <c r="I27" s="241">
        <f>VLOOKUP($B27,'LGE Gas Depr Rates'!$A$16:$R$127,18,)</f>
        <v>33.4</v>
      </c>
      <c r="J27" s="242" t="str">
        <f>VLOOKUP($B27,'LGE Gas Depr Rates'!$A$16:$R$127,16,)</f>
        <v>45-S1</v>
      </c>
    </row>
    <row r="28" spans="1:17" ht="18.95" customHeight="1">
      <c r="A28" s="34">
        <f t="shared" si="2"/>
        <v>14</v>
      </c>
      <c r="B28" s="35">
        <v>354</v>
      </c>
      <c r="C28" s="42" t="s">
        <v>602</v>
      </c>
      <c r="D28" s="52">
        <f>'SCH B-2.1 B'!H26</f>
        <v>56444455.789999999</v>
      </c>
      <c r="E28" s="52">
        <f>-'SCH B-3 B'!I27</f>
        <v>7160404.7762560006</v>
      </c>
      <c r="F28" s="240">
        <f>VLOOKUP($B28,'LGE Gas Depr Rates'!$A$16:$R$127,8,)/100</f>
        <v>2.365157410364439E-2</v>
      </c>
      <c r="G28" s="52">
        <f t="shared" si="4"/>
        <v>1335000.2288570646</v>
      </c>
      <c r="H28" s="431">
        <f>VLOOKUP($B28,'LGE Gas Depr Rates'!$A$16:$R$127,6,)</f>
        <v>-0.05</v>
      </c>
      <c r="I28" s="241">
        <f>VLOOKUP($B28,'LGE Gas Depr Rates'!$A$16:$R$127,18,)</f>
        <v>33.299999999999997</v>
      </c>
      <c r="J28" s="242" t="str">
        <f>VLOOKUP($B28,'LGE Gas Depr Rates'!$A$16:$R$127,16,)</f>
        <v>45-S0.5</v>
      </c>
    </row>
    <row r="29" spans="1:17" ht="18.95" customHeight="1">
      <c r="A29" s="34">
        <f t="shared" si="2"/>
        <v>15</v>
      </c>
      <c r="B29" s="35">
        <v>355</v>
      </c>
      <c r="C29" s="42" t="s">
        <v>603</v>
      </c>
      <c r="D29" s="52">
        <f>'SCH B-2.1 B'!H27</f>
        <v>2274976.42</v>
      </c>
      <c r="E29" s="52">
        <f>-'SCH B-3 B'!I28</f>
        <v>264933.99849039997</v>
      </c>
      <c r="F29" s="240">
        <f>VLOOKUP($B29,'LGE Gas Depr Rates'!$A$16:$R$127,8,)/100</f>
        <v>1.5280563336829953E-2</v>
      </c>
      <c r="G29" s="52">
        <f t="shared" si="4"/>
        <v>34762.921275604662</v>
      </c>
      <c r="H29" s="431">
        <f>VLOOKUP($B29,'LGE Gas Depr Rates'!$A$16:$R$127,6,)</f>
        <v>-0.05</v>
      </c>
      <c r="I29" s="241">
        <f>VLOOKUP($B29,'LGE Gas Depr Rates'!$A$16:$R$127,18,)</f>
        <v>33.4</v>
      </c>
      <c r="J29" s="242" t="str">
        <f>VLOOKUP($B29,'LGE Gas Depr Rates'!$A$16:$R$127,16,)</f>
        <v>40-R1</v>
      </c>
      <c r="M29" s="67"/>
      <c r="N29" s="67"/>
      <c r="O29" s="67"/>
      <c r="P29" s="67"/>
      <c r="Q29" s="68"/>
    </row>
    <row r="30" spans="1:17" ht="18.95" customHeight="1">
      <c r="A30" s="34">
        <f t="shared" si="2"/>
        <v>16</v>
      </c>
      <c r="B30" s="35">
        <v>356</v>
      </c>
      <c r="C30" s="42" t="s">
        <v>604</v>
      </c>
      <c r="D30" s="52">
        <f>'SCH B-2.1 B'!H28</f>
        <v>23009251.41</v>
      </c>
      <c r="E30" s="52">
        <f>-'SCH B-3 B'!I29</f>
        <v>5762050.2384038903</v>
      </c>
      <c r="F30" s="240">
        <f>VLOOKUP($B30,'LGE Gas Depr Rates'!$A$16:$R$127,8,)/100</f>
        <v>1.9691774790336417E-2</v>
      </c>
      <c r="G30" s="52">
        <f t="shared" si="4"/>
        <v>453092.99685995065</v>
      </c>
      <c r="H30" s="431">
        <f>VLOOKUP($B30,'LGE Gas Depr Rates'!$A$16:$R$127,6,)</f>
        <v>-0.15</v>
      </c>
      <c r="I30" s="241">
        <f>VLOOKUP($B30,'LGE Gas Depr Rates'!$A$16:$R$127,18,)</f>
        <v>35.9</v>
      </c>
      <c r="J30" s="242" t="str">
        <f>VLOOKUP($B30,'LGE Gas Depr Rates'!$A$16:$R$127,16,)</f>
        <v>45-R2.5</v>
      </c>
    </row>
    <row r="31" spans="1:17" ht="18.95" customHeight="1">
      <c r="A31" s="34">
        <f t="shared" si="2"/>
        <v>17</v>
      </c>
      <c r="B31" s="35">
        <v>357</v>
      </c>
      <c r="C31" s="42" t="s">
        <v>605</v>
      </c>
      <c r="D31" s="52">
        <f>'SCH B-2.1 B'!H29</f>
        <v>4641787.3899999997</v>
      </c>
      <c r="E31" s="52">
        <f>-'SCH B-3 B'!I30</f>
        <v>362209.87800780003</v>
      </c>
      <c r="F31" s="240">
        <f>VLOOKUP($B31,'LGE Gas Depr Rates'!$A$16:$R$127,8,)/100</f>
        <v>2.2477727310239705E-2</v>
      </c>
      <c r="G31" s="52">
        <f t="shared" si="4"/>
        <v>104336.83118452928</v>
      </c>
      <c r="H31" s="431">
        <f>VLOOKUP($B31,'LGE Gas Depr Rates'!$A$16:$R$127,6,)</f>
        <v>-0.05</v>
      </c>
      <c r="I31" s="241">
        <f>VLOOKUP($B31,'LGE Gas Depr Rates'!$A$16:$R$127,18,)</f>
        <v>37.299999999999997</v>
      </c>
      <c r="J31" s="242" t="str">
        <f>VLOOKUP($B31,'LGE Gas Depr Rates'!$A$16:$R$127,16,)</f>
        <v>45-R2</v>
      </c>
    </row>
    <row r="32" spans="1:17" ht="18.95" customHeight="1">
      <c r="A32" s="34">
        <f t="shared" si="2"/>
        <v>18</v>
      </c>
      <c r="B32" s="35">
        <v>358</v>
      </c>
      <c r="C32" s="42" t="s">
        <v>606</v>
      </c>
      <c r="D32" s="53">
        <f>'SCH B-2.1 B'!H30</f>
        <v>0</v>
      </c>
      <c r="E32" s="53">
        <f>-'SCH B-3 B'!I31</f>
        <v>0</v>
      </c>
      <c r="F32" s="240"/>
      <c r="G32" s="53">
        <f t="shared" si="4"/>
        <v>0</v>
      </c>
      <c r="H32" s="247"/>
      <c r="I32" s="241"/>
      <c r="J32" s="242"/>
    </row>
    <row r="33" spans="1:17" ht="18.95" customHeight="1">
      <c r="A33" s="34">
        <f t="shared" si="2"/>
        <v>19</v>
      </c>
      <c r="C33" s="42" t="s">
        <v>608</v>
      </c>
      <c r="D33" s="52">
        <f>SUM(D21:D32)</f>
        <v>158235821.48999989</v>
      </c>
      <c r="E33" s="52">
        <f>SUM(E21:E32)</f>
        <v>37069070.706202343</v>
      </c>
      <c r="F33" s="240"/>
      <c r="G33" s="52">
        <f>SUM(G21:G32)</f>
        <v>3213601.8233022629</v>
      </c>
      <c r="H33" s="247"/>
      <c r="I33" s="241"/>
      <c r="J33" s="242"/>
    </row>
    <row r="34" spans="1:17" ht="18.95" customHeight="1">
      <c r="A34" s="34"/>
      <c r="C34" s="42"/>
      <c r="D34" s="52"/>
      <c r="E34" s="52"/>
      <c r="F34" s="66"/>
      <c r="G34" s="52"/>
      <c r="H34" s="52"/>
      <c r="I34" s="52"/>
      <c r="J34" s="52"/>
    </row>
    <row r="35" spans="1:17" ht="18.95" customHeight="1">
      <c r="A35" s="34">
        <f>A33+1</f>
        <v>20</v>
      </c>
      <c r="C35" s="54" t="s">
        <v>591</v>
      </c>
      <c r="D35" s="52"/>
      <c r="E35" s="52"/>
      <c r="F35" s="66"/>
      <c r="G35" s="52"/>
      <c r="H35" s="52"/>
      <c r="I35" s="52"/>
      <c r="J35" s="52"/>
    </row>
    <row r="36" spans="1:17" ht="18.95" customHeight="1">
      <c r="A36" s="34">
        <f t="shared" si="2"/>
        <v>21</v>
      </c>
      <c r="B36" s="35">
        <v>365</v>
      </c>
      <c r="C36" s="42" t="s">
        <v>610</v>
      </c>
      <c r="D36" s="52">
        <f>'SCH B-2.1 B'!H34</f>
        <v>220659.049999999</v>
      </c>
      <c r="E36" s="52">
        <f>-'SCH B-3 B'!I35</f>
        <v>210904.27724002002</v>
      </c>
      <c r="F36" s="66">
        <f>VLOOKUP($B36,'LGE Gas Depr Rates'!$A$16:$R$127,8,)/100</f>
        <v>1.6269443741373853E-3</v>
      </c>
      <c r="G36" s="52">
        <f t="shared" ref="G36:G38" si="5">D36*F36</f>
        <v>358.99999999999841</v>
      </c>
      <c r="H36" s="431">
        <f>VLOOKUP($B36,'LGE Gas Depr Rates'!$A$16:$R$127,6,)</f>
        <v>0</v>
      </c>
      <c r="I36" s="52">
        <f>VLOOKUP($B36,'LGE Gas Depr Rates'!$A$16:$R$127,18,)</f>
        <v>32.9</v>
      </c>
      <c r="J36" s="242" t="str">
        <f>VLOOKUP($B36,'LGE Gas Depr Rates'!$A$16:$R$127,16,)</f>
        <v>65-S3</v>
      </c>
    </row>
    <row r="37" spans="1:17" ht="18.95" customHeight="1">
      <c r="A37" s="34">
        <f t="shared" si="2"/>
        <v>22</v>
      </c>
      <c r="B37" s="35">
        <v>367</v>
      </c>
      <c r="C37" s="42" t="s">
        <v>609</v>
      </c>
      <c r="D37" s="52">
        <f>'SCH B-2.1 B'!H35</f>
        <v>52897958.020000003</v>
      </c>
      <c r="E37" s="52">
        <f>-'SCH B-3 B'!I36</f>
        <v>11119608.322853399</v>
      </c>
      <c r="F37" s="66">
        <f>VLOOKUP($B37,'LGE Gas Depr Rates'!$A$16:$R$127,8,)/100</f>
        <v>7.8973708826345929E-3</v>
      </c>
      <c r="G37" s="52">
        <f t="shared" si="5"/>
        <v>417754.79341797507</v>
      </c>
      <c r="H37" s="431">
        <f>VLOOKUP($B37,'LGE Gas Depr Rates'!$A$16:$R$127,6,)</f>
        <v>-0.1</v>
      </c>
      <c r="I37" s="52">
        <f>VLOOKUP($B37,'LGE Gas Depr Rates'!$A$16:$R$127,18,)</f>
        <v>58.4</v>
      </c>
      <c r="J37" s="242" t="str">
        <f>VLOOKUP($B37,'LGE Gas Depr Rates'!$A$16:$R$127,16,)</f>
        <v>65-R2.5</v>
      </c>
    </row>
    <row r="38" spans="1:17" ht="18.95" customHeight="1">
      <c r="A38" s="34">
        <f t="shared" si="2"/>
        <v>23</v>
      </c>
      <c r="B38" s="35">
        <v>372</v>
      </c>
      <c r="C38" s="42" t="s">
        <v>611</v>
      </c>
      <c r="D38" s="53">
        <f>'SCH B-2.1 B'!H36</f>
        <v>0</v>
      </c>
      <c r="E38" s="53">
        <f>-'SCH B-3 B'!I37</f>
        <v>0</v>
      </c>
      <c r="F38" s="240"/>
      <c r="G38" s="53">
        <f t="shared" si="5"/>
        <v>0</v>
      </c>
      <c r="H38" s="248"/>
      <c r="I38" s="241"/>
      <c r="J38" s="242"/>
    </row>
    <row r="39" spans="1:17" ht="18.95" customHeight="1">
      <c r="A39" s="34">
        <f>A38+1</f>
        <v>24</v>
      </c>
      <c r="B39" s="35" t="s">
        <v>117</v>
      </c>
      <c r="C39" s="42" t="s">
        <v>612</v>
      </c>
      <c r="D39" s="50">
        <f>SUM(D36:D38)</f>
        <v>53118617.07</v>
      </c>
      <c r="E39" s="50">
        <f>SUM(E36:E38)</f>
        <v>11330512.600093419</v>
      </c>
      <c r="F39" s="62"/>
      <c r="G39" s="50">
        <f t="shared" ref="G39" si="6">SUM(G36:G38)</f>
        <v>418113.79341797507</v>
      </c>
      <c r="H39" s="248"/>
      <c r="I39" s="50"/>
      <c r="J39" s="242"/>
    </row>
    <row r="40" spans="1:17" ht="18.95" customHeight="1">
      <c r="A40" s="34"/>
      <c r="B40" s="35"/>
      <c r="C40" s="42"/>
      <c r="D40" s="50"/>
      <c r="E40" s="50"/>
      <c r="F40" s="62"/>
      <c r="G40" s="50"/>
      <c r="H40" s="248"/>
      <c r="I40" s="50"/>
      <c r="J40" s="242"/>
      <c r="M40" s="67"/>
      <c r="N40" s="67"/>
      <c r="O40" s="67"/>
      <c r="P40" s="67"/>
      <c r="Q40" s="68"/>
    </row>
    <row r="41" spans="1:17" ht="18.95" customHeight="1">
      <c r="A41" s="34">
        <f>A39+1</f>
        <v>25</v>
      </c>
      <c r="C41" s="54" t="s">
        <v>546</v>
      </c>
      <c r="D41" s="50"/>
      <c r="E41" s="50"/>
      <c r="F41" s="62"/>
      <c r="G41" s="50"/>
      <c r="H41" s="248"/>
      <c r="I41" s="50"/>
      <c r="J41" s="242"/>
    </row>
    <row r="42" spans="1:17" ht="18.95" customHeight="1">
      <c r="A42" s="34">
        <f t="shared" si="2"/>
        <v>26</v>
      </c>
      <c r="B42" s="35">
        <v>374</v>
      </c>
      <c r="C42" s="42" t="s">
        <v>43</v>
      </c>
      <c r="D42" s="52">
        <f>'SCH B-2.1 B'!H40</f>
        <v>134496.91</v>
      </c>
      <c r="E42" s="52">
        <f>-'SCH B-3 B'!I41</f>
        <v>77439.69</v>
      </c>
      <c r="F42" s="66">
        <v>0</v>
      </c>
      <c r="G42" s="52">
        <f t="shared" ref="G42:G46" si="7">D42*F42</f>
        <v>0</v>
      </c>
      <c r="H42" s="431">
        <f>VLOOKUP($B42,'LGE Gas Depr Rates'!$A$16:$R$127,6,)</f>
        <v>0</v>
      </c>
      <c r="I42" s="52">
        <f>VLOOKUP($B42,'LGE Gas Depr Rates'!$A$16:$R$127,18,)</f>
        <v>0</v>
      </c>
      <c r="J42" s="242" t="str">
        <f>VLOOKUP($B42,'LGE Gas Depr Rates'!$A$16:$R$127,16,)</f>
        <v>65-S3</v>
      </c>
    </row>
    <row r="43" spans="1:17" ht="18.95" customHeight="1">
      <c r="A43" s="34">
        <f t="shared" si="2"/>
        <v>27</v>
      </c>
      <c r="B43" s="35">
        <v>375</v>
      </c>
      <c r="C43" s="42" t="s">
        <v>42</v>
      </c>
      <c r="D43" s="52">
        <f>'SCH B-2.1 B'!H41</f>
        <v>1155812.4299999899</v>
      </c>
      <c r="E43" s="52">
        <f>-'SCH B-3 B'!I42</f>
        <v>367587.26153397717</v>
      </c>
      <c r="F43" s="66">
        <f>VLOOKUP($B43,'LGE Gas Depr Rates'!$A$16:$R$127,8,)/100</f>
        <v>3.7066484025824624E-2</v>
      </c>
      <c r="G43" s="52">
        <f t="shared" si="7"/>
        <v>42841.902973444165</v>
      </c>
      <c r="H43" s="431">
        <f>VLOOKUP($B43,'LGE Gas Depr Rates'!$A$16:$R$127,6,)</f>
        <v>-0.05</v>
      </c>
      <c r="I43" s="52" t="str">
        <f>VLOOKUP($B43,'LGE Gas Depr Rates'!$A$16:$R$127,18,)</f>
        <v>12.9-50.4</v>
      </c>
      <c r="J43" s="242" t="str">
        <f>VLOOKUP($B43,'LGE Gas Depr Rates'!$A$16:$R$127,16,)</f>
        <v>35-L2, 55-R3</v>
      </c>
    </row>
    <row r="44" spans="1:17" ht="18.95" customHeight="1">
      <c r="A44" s="34">
        <f t="shared" si="2"/>
        <v>28</v>
      </c>
      <c r="B44" s="35">
        <v>376</v>
      </c>
      <c r="C44" s="42" t="s">
        <v>609</v>
      </c>
      <c r="D44" s="52">
        <f>'SCH B-2.1 B'!H42</f>
        <v>347086761.88000011</v>
      </c>
      <c r="E44" s="52">
        <f>-'SCH B-3 B'!I43</f>
        <v>125961608.32214257</v>
      </c>
      <c r="F44" s="66">
        <f>VLOOKUP($B44,'LGE Gas Depr Rates'!$A$16:$R$127,8,)/100</f>
        <v>1.89213646737105E-2</v>
      </c>
      <c r="G44" s="52">
        <f t="shared" si="7"/>
        <v>6567355.1949488027</v>
      </c>
      <c r="H44" s="431">
        <f>VLOOKUP($B44,'LGE Gas Depr Rates'!$A$16:$R$127,6,)</f>
        <v>-0.3</v>
      </c>
      <c r="I44" s="52">
        <f>VLOOKUP($B44,'LGE Gas Depr Rates'!$A$16:$R$127,18,)</f>
        <v>51.2</v>
      </c>
      <c r="J44" s="242" t="str">
        <f>VLOOKUP($B44,'LGE Gas Depr Rates'!$A$16:$R$127,16,)</f>
        <v>65-S2</v>
      </c>
    </row>
    <row r="45" spans="1:17" ht="18.95" customHeight="1">
      <c r="A45" s="34">
        <f t="shared" si="2"/>
        <v>29</v>
      </c>
      <c r="B45" s="35">
        <v>377</v>
      </c>
      <c r="C45" s="42" t="s">
        <v>602</v>
      </c>
      <c r="D45" s="52">
        <f>'SCH B-2.1 B'!H43</f>
        <v>0</v>
      </c>
      <c r="E45" s="52">
        <f>-'SCH B-3 B'!I44</f>
        <v>0</v>
      </c>
      <c r="F45" s="66"/>
      <c r="G45" s="52">
        <f t="shared" si="7"/>
        <v>0</v>
      </c>
      <c r="H45" s="431"/>
      <c r="I45" s="52"/>
      <c r="J45" s="242"/>
    </row>
    <row r="46" spans="1:17" ht="18.95" customHeight="1">
      <c r="A46" s="34">
        <f t="shared" si="2"/>
        <v>30</v>
      </c>
      <c r="B46" s="35">
        <v>378</v>
      </c>
      <c r="C46" s="42" t="s">
        <v>613</v>
      </c>
      <c r="D46" s="52">
        <f>'SCH B-2.1 B'!H44</f>
        <v>22779896.84999999</v>
      </c>
      <c r="E46" s="52">
        <f>-'SCH B-3 B'!I45</f>
        <v>2429025.3369320291</v>
      </c>
      <c r="F46" s="66">
        <f>VLOOKUP($B46,'LGE Gas Depr Rates'!$A$16:$R$127,8,)/100</f>
        <v>2.5793858941301893E-2</v>
      </c>
      <c r="G46" s="52">
        <f t="shared" si="7"/>
        <v>587581.4460463071</v>
      </c>
      <c r="H46" s="431">
        <f>VLOOKUP($B46,'LGE Gas Depr Rates'!$A$16:$R$127,6,)</f>
        <v>-0.1</v>
      </c>
      <c r="I46" s="52">
        <f>VLOOKUP($B46,'LGE Gas Depr Rates'!$A$16:$R$127,18,)</f>
        <v>34.1</v>
      </c>
      <c r="J46" s="242" t="str">
        <f>VLOOKUP($B46,'LGE Gas Depr Rates'!$A$16:$R$127,16,)</f>
        <v>41-S0</v>
      </c>
    </row>
    <row r="47" spans="1:17" ht="18.95" customHeight="1">
      <c r="A47" s="34">
        <f t="shared" si="2"/>
        <v>31</v>
      </c>
      <c r="B47" s="35">
        <v>379</v>
      </c>
      <c r="C47" s="42" t="s">
        <v>614</v>
      </c>
      <c r="D47" s="52">
        <f>'SCH B-2.1 B'!H56</f>
        <v>11878755.74</v>
      </c>
      <c r="E47" s="52">
        <f>-'SCH B-3 B'!I58</f>
        <v>1304215.6465812086</v>
      </c>
      <c r="F47" s="66">
        <f>VLOOKUP($B47,'LGE Gas Depr Rates'!$A$16:$R$127,8,)/100</f>
        <v>2.1201814254478871E-2</v>
      </c>
      <c r="G47" s="52">
        <f t="shared" ref="G47" si="8">D47*F47</f>
        <v>251851.17277380472</v>
      </c>
      <c r="H47" s="431">
        <f>VLOOKUP($B47,'LGE Gas Depr Rates'!$A$16:$R$127,6,)</f>
        <v>-0.15</v>
      </c>
      <c r="I47" s="52">
        <f>VLOOKUP($B47,'LGE Gas Depr Rates'!$A$16:$R$127,18,)</f>
        <v>36.299999999999997</v>
      </c>
      <c r="J47" s="242" t="str">
        <f>VLOOKUP($B47,'LGE Gas Depr Rates'!$A$16:$R$127,16,)</f>
        <v>45-R1</v>
      </c>
    </row>
    <row r="48" spans="1:17" ht="18.95" customHeight="1">
      <c r="A48" s="34">
        <f t="shared" si="2"/>
        <v>32</v>
      </c>
      <c r="B48" s="35">
        <v>380</v>
      </c>
      <c r="C48" s="42" t="s">
        <v>417</v>
      </c>
      <c r="D48" s="52">
        <f>'SCH B-2.1 B'!H57</f>
        <v>204565729.08000004</v>
      </c>
      <c r="E48" s="52">
        <f>-'SCH B-3 B'!I59</f>
        <v>95906316.33361572</v>
      </c>
      <c r="F48" s="66">
        <f>VLOOKUP($B48,'LGE Gas Depr Rates'!$A$16:$R$127,8,)/100</f>
        <v>3.7856369969343051E-2</v>
      </c>
      <c r="G48" s="52">
        <f t="shared" ref="G48:G53" si="9">D48*F48</f>
        <v>7744115.9231008803</v>
      </c>
      <c r="H48" s="431">
        <f>VLOOKUP($B48,'LGE Gas Depr Rates'!$A$16:$R$127,6,)</f>
        <v>-0.6</v>
      </c>
      <c r="I48" s="52">
        <f>VLOOKUP($B48,'LGE Gas Depr Rates'!$A$16:$R$127,18,)</f>
        <v>32.700000000000003</v>
      </c>
      <c r="J48" s="242" t="str">
        <f>VLOOKUP($B48,'LGE Gas Depr Rates'!$A$16:$R$127,16,)</f>
        <v>42-S0.5</v>
      </c>
    </row>
    <row r="49" spans="1:17" ht="18.95" customHeight="1">
      <c r="A49" s="34">
        <f t="shared" si="2"/>
        <v>33</v>
      </c>
      <c r="B49" s="35">
        <v>381</v>
      </c>
      <c r="C49" s="42" t="s">
        <v>418</v>
      </c>
      <c r="D49" s="52">
        <f>'SCH B-2.1 B'!H58</f>
        <v>51252660.240000002</v>
      </c>
      <c r="E49" s="52">
        <f>-'SCH B-3 B'!I60</f>
        <v>14259617.992956202</v>
      </c>
      <c r="F49" s="66">
        <f>VLOOKUP($B49,'LGE Gas Depr Rates'!$A$16:$R$127,8,)/100</f>
        <v>4.0274514420127104E-2</v>
      </c>
      <c r="G49" s="52">
        <f t="shared" si="9"/>
        <v>2064176.0039057552</v>
      </c>
      <c r="H49" s="431">
        <f>VLOOKUP($B49,'LGE Gas Depr Rates'!$A$16:$R$127,6,)</f>
        <v>0</v>
      </c>
      <c r="I49" s="52">
        <f>VLOOKUP($B49,'LGE Gas Depr Rates'!$A$16:$R$127,18,)</f>
        <v>20.100000000000001</v>
      </c>
      <c r="J49" s="242" t="str">
        <f>VLOOKUP($B49,'LGE Gas Depr Rates'!$A$16:$R$127,16,)</f>
        <v>28-R2</v>
      </c>
    </row>
    <row r="50" spans="1:17" ht="18.95" customHeight="1">
      <c r="A50" s="34">
        <f t="shared" si="2"/>
        <v>34</v>
      </c>
      <c r="B50" s="35">
        <v>383</v>
      </c>
      <c r="C50" s="42" t="s">
        <v>615</v>
      </c>
      <c r="D50" s="52">
        <f>'SCH B-2.1 B'!H59</f>
        <v>25550379.959999997</v>
      </c>
      <c r="E50" s="52">
        <f>-'SCH B-3 B'!I61</f>
        <v>4816022.0691860002</v>
      </c>
      <c r="F50" s="66">
        <f>VLOOKUP($B50,'LGE Gas Depr Rates'!$A$16:$R$127,8,)/100</f>
        <v>4.0999397967144031E-2</v>
      </c>
      <c r="G50" s="52">
        <f t="shared" ref="G50" si="10">D50*F50</f>
        <v>1047550.1961917814</v>
      </c>
      <c r="H50" s="431">
        <f>VLOOKUP($B50,'LGE Gas Depr Rates'!$A$16:$R$127,6,)</f>
        <v>-0.1</v>
      </c>
      <c r="I50" s="52">
        <f>VLOOKUP($B50,'LGE Gas Depr Rates'!$A$16:$R$127,18,)</f>
        <v>26.2</v>
      </c>
      <c r="J50" s="242" t="str">
        <f>VLOOKUP($B50,'LGE Gas Depr Rates'!$A$16:$R$127,16,)</f>
        <v>30-R3</v>
      </c>
    </row>
    <row r="51" spans="1:17" ht="18.95" customHeight="1">
      <c r="A51" s="34">
        <f t="shared" si="2"/>
        <v>35</v>
      </c>
      <c r="B51" s="35">
        <v>385</v>
      </c>
      <c r="C51" s="42" t="s">
        <v>616</v>
      </c>
      <c r="D51" s="52">
        <f>'SCH B-2.1 B'!H60</f>
        <v>1540255.4900000002</v>
      </c>
      <c r="E51" s="52">
        <f>-'SCH B-3 B'!I62</f>
        <v>136994.47663015008</v>
      </c>
      <c r="F51" s="66">
        <f>VLOOKUP($B51,'LGE Gas Depr Rates'!$A$16:$R$127,8,)/100</f>
        <v>2.8530428777622605E-2</v>
      </c>
      <c r="G51" s="52">
        <f t="shared" si="9"/>
        <v>43944.149556787212</v>
      </c>
      <c r="H51" s="431">
        <f>VLOOKUP($B51,'LGE Gas Depr Rates'!$A$16:$R$127,6,)</f>
        <v>-0.05</v>
      </c>
      <c r="I51" s="52">
        <f>VLOOKUP($B51,'LGE Gas Depr Rates'!$A$16:$R$127,18,)</f>
        <v>33.1</v>
      </c>
      <c r="J51" s="242" t="str">
        <f>VLOOKUP($B51,'LGE Gas Depr Rates'!$A$16:$R$127,16,)</f>
        <v>40-S2.5</v>
      </c>
      <c r="M51" s="67"/>
      <c r="N51" s="67"/>
      <c r="O51" s="67"/>
      <c r="P51" s="67"/>
      <c r="Q51" s="68"/>
    </row>
    <row r="52" spans="1:17" ht="18.95" customHeight="1">
      <c r="A52" s="34">
        <f t="shared" si="2"/>
        <v>36</v>
      </c>
      <c r="B52" s="35">
        <v>387</v>
      </c>
      <c r="C52" s="42" t="s">
        <v>605</v>
      </c>
      <c r="D52" s="52">
        <f>'SCH B-2.1 B'!H61</f>
        <v>344432.66999999969</v>
      </c>
      <c r="E52" s="52">
        <f>-'SCH B-3 B'!I63</f>
        <v>30545.991735505406</v>
      </c>
      <c r="F52" s="66">
        <f>VLOOKUP($B52,'LGE Gas Depr Rates'!$A$16:$R$127,8,)/100</f>
        <v>2.7781940721164401E-2</v>
      </c>
      <c r="G52" s="52">
        <f t="shared" si="9"/>
        <v>9569.0080203723719</v>
      </c>
      <c r="H52" s="431">
        <f>VLOOKUP($B52,'LGE Gas Depr Rates'!$A$16:$R$127,6,)</f>
        <v>0</v>
      </c>
      <c r="I52" s="52">
        <f>VLOOKUP($B52,'LGE Gas Depr Rates'!$A$16:$R$127,18,)</f>
        <v>22.2</v>
      </c>
      <c r="J52" s="242" t="str">
        <f>VLOOKUP($B52,'LGE Gas Depr Rates'!$A$16:$R$127,16,)</f>
        <v>40-S2</v>
      </c>
    </row>
    <row r="53" spans="1:17" ht="18.95" customHeight="1">
      <c r="A53" s="34">
        <f t="shared" si="2"/>
        <v>37</v>
      </c>
      <c r="B53" s="35">
        <v>388</v>
      </c>
      <c r="C53" s="42" t="s">
        <v>617</v>
      </c>
      <c r="D53" s="53">
        <f>'SCH B-2.1 B'!H62</f>
        <v>0</v>
      </c>
      <c r="E53" s="53">
        <f>-'SCH B-3 B'!I64</f>
        <v>0</v>
      </c>
      <c r="F53" s="240"/>
      <c r="G53" s="53">
        <f t="shared" si="9"/>
        <v>0</v>
      </c>
      <c r="H53" s="248"/>
      <c r="I53" s="241"/>
      <c r="J53" s="242"/>
    </row>
    <row r="54" spans="1:17" ht="18.95" customHeight="1">
      <c r="A54" s="34">
        <f t="shared" si="2"/>
        <v>38</v>
      </c>
      <c r="B54" s="35"/>
      <c r="C54" s="42" t="s">
        <v>618</v>
      </c>
      <c r="D54" s="50">
        <f>SUM(D42:D46,D47:D53)</f>
        <v>666289181.25000012</v>
      </c>
      <c r="E54" s="50">
        <f>SUM(E42:E46,E47:E53)</f>
        <v>245289373.12131336</v>
      </c>
      <c r="F54" s="62"/>
      <c r="G54" s="50">
        <f>SUM(G42:G46,G47:G53)</f>
        <v>18358984.997517932</v>
      </c>
      <c r="H54" s="248"/>
      <c r="I54" s="50"/>
      <c r="J54" s="242"/>
    </row>
    <row r="55" spans="1:17" ht="18.95" customHeight="1">
      <c r="A55" s="34"/>
      <c r="D55" s="52"/>
      <c r="E55" s="52"/>
      <c r="F55" s="66"/>
      <c r="G55" s="52"/>
      <c r="H55" s="52"/>
      <c r="I55" s="52"/>
      <c r="J55" s="242"/>
    </row>
    <row r="56" spans="1:17" s="32" customFormat="1" ht="20.100000000000001" customHeight="1">
      <c r="A56" s="494" t="str">
        <f>$A$1</f>
        <v>LOUISVILLE GAS AND ELECTRIC COMPANY</v>
      </c>
      <c r="B56" s="494"/>
      <c r="C56" s="494"/>
      <c r="D56" s="494"/>
      <c r="E56" s="494"/>
      <c r="F56" s="494"/>
      <c r="G56" s="494"/>
      <c r="H56" s="494"/>
      <c r="I56" s="494"/>
      <c r="J56" s="494"/>
    </row>
    <row r="57" spans="1:17" s="32" customFormat="1" ht="20.100000000000001" customHeight="1">
      <c r="A57" s="494" t="str">
        <f>$A$2</f>
        <v>CASE NO. 2016-00371 - GAS OPERATIONS</v>
      </c>
      <c r="B57" s="494"/>
      <c r="C57" s="494"/>
      <c r="D57" s="494"/>
      <c r="E57" s="494"/>
      <c r="F57" s="494"/>
      <c r="G57" s="494"/>
      <c r="H57" s="494"/>
      <c r="I57" s="494"/>
      <c r="J57" s="494"/>
    </row>
    <row r="58" spans="1:17" s="32" customFormat="1" ht="20.100000000000001" customHeight="1">
      <c r="A58" s="494" t="str">
        <f>$A$3</f>
        <v>DEPRECIATION ACCRUAL RATES AND ACCUMULATED BALANCES BY ACCOUNT</v>
      </c>
      <c r="B58" s="494"/>
      <c r="C58" s="494"/>
      <c r="D58" s="494"/>
      <c r="E58" s="494"/>
      <c r="F58" s="494"/>
      <c r="G58" s="494"/>
      <c r="H58" s="494"/>
      <c r="I58" s="494"/>
      <c r="J58" s="494"/>
    </row>
    <row r="59" spans="1:17" s="32" customFormat="1" ht="20.100000000000001" customHeight="1">
      <c r="A59" s="493" t="str">
        <f>$A$4</f>
        <v>AS OF FEBRUARY 28, 2017</v>
      </c>
      <c r="B59" s="494"/>
      <c r="C59" s="494"/>
      <c r="D59" s="494"/>
      <c r="E59" s="494"/>
      <c r="F59" s="494"/>
      <c r="G59" s="494"/>
      <c r="H59" s="494"/>
      <c r="I59" s="494"/>
      <c r="J59" s="494"/>
    </row>
    <row r="60" spans="1:17" s="32" customFormat="1" ht="20.100000000000001" customHeight="1">
      <c r="A60" s="183"/>
      <c r="B60" s="183"/>
      <c r="C60" s="183"/>
      <c r="D60" s="183"/>
      <c r="E60" s="183"/>
      <c r="F60" s="183"/>
      <c r="G60" s="183"/>
      <c r="H60" s="183"/>
      <c r="I60" s="183"/>
      <c r="J60" s="183"/>
    </row>
    <row r="61" spans="1:17" s="32" customFormat="1" ht="20.100000000000001" customHeight="1">
      <c r="A61" s="31" t="str">
        <f>$A$6</f>
        <v>DATA:__X__BASE  PERIOD____FORECASTED  PERIOD</v>
      </c>
      <c r="B61" s="31"/>
      <c r="H61" s="38"/>
      <c r="I61" s="38"/>
      <c r="J61" s="38" t="s">
        <v>198</v>
      </c>
    </row>
    <row r="62" spans="1:17" s="32" customFormat="1" ht="20.100000000000001" customHeight="1">
      <c r="A62" s="31" t="str">
        <f>$A$7</f>
        <v>TYPE OF FILING: __X__ ORIGINAL  _____ UPDATED  _____ REVISED</v>
      </c>
      <c r="H62" s="38"/>
      <c r="I62" s="38"/>
      <c r="J62" s="38" t="s">
        <v>1285</v>
      </c>
    </row>
    <row r="63" spans="1:17" s="32" customFormat="1" ht="20.100000000000001" customHeight="1">
      <c r="A63" s="31" t="str">
        <f>$A$8</f>
        <v>WORKPAPER REFERENCE NO(S).:</v>
      </c>
      <c r="B63" s="31"/>
      <c r="F63" s="31"/>
      <c r="G63" s="31"/>
      <c r="H63" s="39"/>
      <c r="I63" s="39"/>
      <c r="J63" s="39" t="str">
        <f>$J$8</f>
        <v>WITNESS:   C. M. GARRETT</v>
      </c>
    </row>
    <row r="64" spans="1:17" s="32" customFormat="1" ht="20.100000000000001" customHeight="1"/>
    <row r="65" spans="1:17" s="32" customFormat="1" ht="20.100000000000001" customHeight="1">
      <c r="A65" s="59"/>
      <c r="B65" s="59"/>
      <c r="C65" s="59"/>
      <c r="D65" s="496" t="s">
        <v>114</v>
      </c>
      <c r="E65" s="496"/>
      <c r="F65" s="59"/>
      <c r="G65" s="59"/>
      <c r="H65" s="59"/>
      <c r="I65" s="59"/>
      <c r="J65" s="59"/>
    </row>
    <row r="66" spans="1:17" ht="48" customHeight="1">
      <c r="A66" s="35" t="s">
        <v>29</v>
      </c>
      <c r="B66" s="35" t="s">
        <v>32</v>
      </c>
      <c r="C66" s="42" t="s">
        <v>200</v>
      </c>
      <c r="D66" s="35" t="s">
        <v>201</v>
      </c>
      <c r="E66" s="35" t="s">
        <v>202</v>
      </c>
      <c r="F66" s="35" t="s">
        <v>203</v>
      </c>
      <c r="G66" s="35" t="s">
        <v>204</v>
      </c>
      <c r="H66" s="35" t="s">
        <v>206</v>
      </c>
      <c r="I66" s="35" t="s">
        <v>733</v>
      </c>
      <c r="J66" s="35" t="s">
        <v>207</v>
      </c>
    </row>
    <row r="67" spans="1:17" ht="18.95" customHeight="1">
      <c r="A67" s="61" t="s">
        <v>176</v>
      </c>
      <c r="B67" s="61" t="s">
        <v>177</v>
      </c>
      <c r="C67" s="61" t="s">
        <v>180</v>
      </c>
      <c r="D67" s="61" t="s">
        <v>188</v>
      </c>
      <c r="E67" s="61" t="s">
        <v>189</v>
      </c>
      <c r="F67" s="61" t="s">
        <v>190</v>
      </c>
      <c r="G67" s="61" t="s">
        <v>205</v>
      </c>
      <c r="H67" s="61" t="s">
        <v>192</v>
      </c>
      <c r="I67" s="61" t="s">
        <v>193</v>
      </c>
      <c r="J67" s="61" t="s">
        <v>208</v>
      </c>
    </row>
    <row r="68" spans="1:17" ht="23.1" customHeight="1">
      <c r="A68" s="37"/>
      <c r="B68" s="37"/>
      <c r="C68" s="64"/>
      <c r="D68" s="58" t="s">
        <v>40</v>
      </c>
      <c r="E68" s="58" t="s">
        <v>40</v>
      </c>
      <c r="F68" s="58"/>
      <c r="G68" s="58" t="s">
        <v>40</v>
      </c>
      <c r="H68" s="58"/>
      <c r="I68" s="58"/>
      <c r="J68" s="58"/>
    </row>
    <row r="69" spans="1:17" ht="18.95" customHeight="1">
      <c r="A69" s="34">
        <f>A54+1</f>
        <v>39</v>
      </c>
      <c r="B69" s="129" t="s">
        <v>545</v>
      </c>
      <c r="C69" s="54" t="s">
        <v>563</v>
      </c>
      <c r="D69" s="52"/>
      <c r="E69" s="52"/>
      <c r="F69" s="66"/>
      <c r="G69" s="52"/>
      <c r="H69" s="52"/>
      <c r="I69" s="52"/>
      <c r="J69" s="242"/>
    </row>
    <row r="70" spans="1:17" ht="18.95" customHeight="1">
      <c r="A70" s="34">
        <f t="shared" ref="A70:A80" si="11">A69+1</f>
        <v>40</v>
      </c>
      <c r="B70" s="35">
        <v>389</v>
      </c>
      <c r="C70" s="42" t="s">
        <v>43</v>
      </c>
      <c r="D70" s="52">
        <f>'SCH B-2.1 B'!H66</f>
        <v>0</v>
      </c>
      <c r="E70" s="52">
        <f>-'SCH B-3 B'!I68</f>
        <v>0</v>
      </c>
      <c r="F70" s="66"/>
      <c r="G70" s="52">
        <f t="shared" ref="G70:G79" si="12">D70*F70</f>
        <v>0</v>
      </c>
      <c r="H70" s="248"/>
      <c r="I70" s="52"/>
      <c r="J70" s="242"/>
    </row>
    <row r="71" spans="1:17" ht="18.95" customHeight="1">
      <c r="A71" s="34">
        <f t="shared" si="11"/>
        <v>41</v>
      </c>
      <c r="B71" s="35">
        <v>390</v>
      </c>
      <c r="C71" s="42" t="s">
        <v>42</v>
      </c>
      <c r="D71" s="52">
        <f>'SCH B-2.1 B'!H67</f>
        <v>0</v>
      </c>
      <c r="E71" s="52">
        <f>-'SCH B-3 B'!I69</f>
        <v>0</v>
      </c>
      <c r="F71" s="66"/>
      <c r="G71" s="52">
        <f t="shared" si="12"/>
        <v>0</v>
      </c>
      <c r="H71" s="248"/>
      <c r="I71" s="52"/>
      <c r="J71" s="242"/>
    </row>
    <row r="72" spans="1:17" ht="18.95" customHeight="1">
      <c r="A72" s="34">
        <f t="shared" si="11"/>
        <v>42</v>
      </c>
      <c r="B72" s="35">
        <v>391</v>
      </c>
      <c r="C72" s="42" t="s">
        <v>45</v>
      </c>
      <c r="D72" s="52">
        <f>'SCH B-2.1 B'!H68</f>
        <v>0</v>
      </c>
      <c r="E72" s="52">
        <f>-'SCH B-3 B'!I70</f>
        <v>0</v>
      </c>
      <c r="F72" s="66"/>
      <c r="G72" s="52">
        <f t="shared" si="12"/>
        <v>0</v>
      </c>
      <c r="H72" s="248"/>
      <c r="I72" s="52"/>
      <c r="J72" s="242"/>
    </row>
    <row r="73" spans="1:17" ht="18.95" customHeight="1">
      <c r="A73" s="34">
        <f>A72+1</f>
        <v>43</v>
      </c>
      <c r="B73" s="35">
        <v>392</v>
      </c>
      <c r="C73" s="42" t="s">
        <v>44</v>
      </c>
      <c r="D73" s="52">
        <f>'SCH B-2.1 B'!H69</f>
        <v>1916379.34</v>
      </c>
      <c r="E73" s="52">
        <f>-'SCH B-3 B'!I71</f>
        <v>859745.35568039992</v>
      </c>
      <c r="F73" s="66">
        <f>VLOOKUP($B73,'LGE Gas Depr Rates'!$A$16:$R$127,8,)/100</f>
        <v>2.7782509141713811E-2</v>
      </c>
      <c r="G73" s="52">
        <f t="shared" si="12"/>
        <v>53241.826532541483</v>
      </c>
      <c r="H73" s="248" t="str">
        <f>VLOOKUP($B73,'LGE Gas Depr Rates'!$A$16:$R$127,6,)</f>
        <v>0%,5%</v>
      </c>
      <c r="I73" s="52" t="str">
        <f>VLOOKUP($B73,'LGE Gas Depr Rates'!$A$16:$R$127,18,)</f>
        <v>6.3-12.4</v>
      </c>
      <c r="J73" s="242" t="str">
        <f>VLOOKUP($B73,'LGE Gas Depr Rates'!$A$16:$R$127,16,)</f>
        <v>7-L2.5, 14-S1.5, 20-S1</v>
      </c>
    </row>
    <row r="74" spans="1:17" ht="18.95" customHeight="1">
      <c r="A74" s="34">
        <f t="shared" si="11"/>
        <v>44</v>
      </c>
      <c r="B74" s="35">
        <v>393</v>
      </c>
      <c r="C74" s="42" t="s">
        <v>424</v>
      </c>
      <c r="D74" s="52">
        <f>'SCH B-2.1 B'!H70</f>
        <v>0</v>
      </c>
      <c r="E74" s="52">
        <f>-'SCH B-3 B'!I72</f>
        <v>0</v>
      </c>
      <c r="F74" s="66"/>
      <c r="G74" s="52">
        <f t="shared" si="12"/>
        <v>0</v>
      </c>
      <c r="H74" s="248"/>
      <c r="I74" s="52"/>
      <c r="J74" s="242"/>
    </row>
    <row r="75" spans="1:17" ht="18.95" customHeight="1">
      <c r="A75" s="34">
        <f t="shared" si="11"/>
        <v>45</v>
      </c>
      <c r="B75" s="35">
        <v>394</v>
      </c>
      <c r="C75" s="42" t="s">
        <v>426</v>
      </c>
      <c r="D75" s="52">
        <f>'SCH B-2.1 B'!H71</f>
        <v>6905086.3900000006</v>
      </c>
      <c r="E75" s="52">
        <f>-'SCH B-3 B'!I73</f>
        <v>2663124.74645</v>
      </c>
      <c r="F75" s="66">
        <f>VLOOKUP($B75,'LGE Gas Depr Rates'!$A$16:$R$127,8,)/100</f>
        <v>4.6589008032575527E-2</v>
      </c>
      <c r="G75" s="52">
        <f t="shared" si="12"/>
        <v>321701.125289338</v>
      </c>
      <c r="H75" s="431">
        <f>VLOOKUP($B75,'LGE Gas Depr Rates'!$A$16:$R$127,6,)</f>
        <v>0</v>
      </c>
      <c r="I75" s="52">
        <f>VLOOKUP($B75,'LGE Gas Depr Rates'!$A$16:$R$127,18,)</f>
        <v>13.5</v>
      </c>
      <c r="J75" s="242" t="str">
        <f>VLOOKUP($B75,'LGE Gas Depr Rates'!$A$16:$R$127,16,)</f>
        <v>25-SQ</v>
      </c>
    </row>
    <row r="76" spans="1:17" ht="18.95" customHeight="1">
      <c r="A76" s="34">
        <f t="shared" si="11"/>
        <v>46</v>
      </c>
      <c r="B76" s="35">
        <v>395</v>
      </c>
      <c r="C76" s="42" t="s">
        <v>428</v>
      </c>
      <c r="D76" s="52">
        <f>'SCH B-2.1 B'!H72</f>
        <v>0</v>
      </c>
      <c r="E76" s="52">
        <f>-'SCH B-3 B'!I74</f>
        <v>0</v>
      </c>
      <c r="F76" s="66"/>
      <c r="G76" s="52">
        <f t="shared" si="12"/>
        <v>0</v>
      </c>
      <c r="H76" s="248"/>
      <c r="I76" s="52"/>
      <c r="J76" s="242"/>
      <c r="M76" s="67"/>
      <c r="N76" s="67"/>
      <c r="O76" s="67"/>
      <c r="P76" s="67"/>
      <c r="Q76" s="68"/>
    </row>
    <row r="77" spans="1:17" ht="18.95" customHeight="1">
      <c r="A77" s="34">
        <f t="shared" si="11"/>
        <v>47</v>
      </c>
      <c r="B77" s="35">
        <v>396</v>
      </c>
      <c r="C77" s="42" t="s">
        <v>430</v>
      </c>
      <c r="D77" s="52">
        <f>'SCH B-2.1 B'!H73</f>
        <v>3771229.42</v>
      </c>
      <c r="E77" s="52">
        <f>-'SCH B-3 B'!I75</f>
        <v>2421969.4913152903</v>
      </c>
      <c r="F77" s="66">
        <f>VLOOKUP($B77,'LGE Gas Depr Rates'!$A$16:$R$127,8,)/100</f>
        <v>1.5159809060339586E-2</v>
      </c>
      <c r="G77" s="52">
        <f t="shared" si="12"/>
        <v>57171.117929935201</v>
      </c>
      <c r="H77" s="248" t="str">
        <f>VLOOKUP($B77,'LGE Gas Depr Rates'!$A$16:$R$127,6,)</f>
        <v>0%,5%</v>
      </c>
      <c r="I77" s="52" t="str">
        <f>VLOOKUP($B77,'LGE Gas Depr Rates'!$A$16:$R$127,18,)</f>
        <v>11.3-12.6</v>
      </c>
      <c r="J77" s="242" t="str">
        <f>VLOOKUP($B77,'LGE Gas Depr Rates'!$A$16:$R$127,16,)</f>
        <v>12-L1.5, 8-L2, 17-L3</v>
      </c>
    </row>
    <row r="78" spans="1:17" ht="18.95" customHeight="1">
      <c r="A78" s="34">
        <f t="shared" si="11"/>
        <v>48</v>
      </c>
      <c r="B78" s="35">
        <v>397</v>
      </c>
      <c r="C78" s="42" t="s">
        <v>46</v>
      </c>
      <c r="D78" s="52">
        <f>'SCH B-2.1 B'!H74</f>
        <v>0</v>
      </c>
      <c r="E78" s="52">
        <f>-'SCH B-3 B'!I76</f>
        <v>0</v>
      </c>
      <c r="F78" s="66">
        <f>VLOOKUP($B78,'LGE Gas Depr Rates'!$A$16:$R$127,8,)/100</f>
        <v>0.13140000000000002</v>
      </c>
      <c r="G78" s="52">
        <f t="shared" si="12"/>
        <v>0</v>
      </c>
      <c r="H78" s="431">
        <f>VLOOKUP($B78,'LGE Gas Depr Rates'!$A$16:$R$127,6,)</f>
        <v>0</v>
      </c>
      <c r="I78" s="52">
        <f>VLOOKUP($B78,'LGE Gas Depr Rates'!$A$16:$R$127,18,)</f>
        <v>3.5</v>
      </c>
      <c r="J78" s="242" t="str">
        <f>VLOOKUP($B78,'LGE Gas Depr Rates'!$A$16:$R$127,16,)</f>
        <v>10-SQ</v>
      </c>
    </row>
    <row r="79" spans="1:17" ht="18.95" customHeight="1">
      <c r="A79" s="34">
        <f t="shared" si="11"/>
        <v>49</v>
      </c>
      <c r="B79" s="35">
        <v>398</v>
      </c>
      <c r="C79" s="42" t="s">
        <v>433</v>
      </c>
      <c r="D79" s="53">
        <f>'SCH B-2.1 B'!H75</f>
        <v>0</v>
      </c>
      <c r="E79" s="53">
        <f>-'SCH B-3 B'!I77</f>
        <v>0</v>
      </c>
      <c r="F79" s="240"/>
      <c r="G79" s="53">
        <f t="shared" si="12"/>
        <v>0</v>
      </c>
      <c r="H79" s="248"/>
      <c r="I79" s="241"/>
      <c r="J79" s="242"/>
    </row>
    <row r="80" spans="1:17" ht="18.95" customHeight="1">
      <c r="A80" s="34">
        <f t="shared" si="11"/>
        <v>50</v>
      </c>
      <c r="B80" s="35"/>
      <c r="C80" s="42" t="s">
        <v>619</v>
      </c>
      <c r="D80" s="52">
        <f>SUM(D70:D79)</f>
        <v>12592695.15</v>
      </c>
      <c r="E80" s="52">
        <f>SUM(E70:E79)</f>
        <v>5944839.5934456903</v>
      </c>
      <c r="F80" s="66"/>
      <c r="G80" s="52">
        <f>SUM(G70:G79)</f>
        <v>432114.06975181471</v>
      </c>
      <c r="H80" s="52"/>
      <c r="I80" s="52"/>
      <c r="J80" s="242"/>
    </row>
    <row r="81" spans="1:17" ht="18.95" customHeight="1">
      <c r="A81" s="34"/>
      <c r="B81" s="35"/>
      <c r="D81" s="52"/>
      <c r="E81" s="52"/>
      <c r="F81" s="66"/>
      <c r="G81" s="52"/>
      <c r="H81" s="52"/>
      <c r="I81" s="52"/>
      <c r="J81" s="242"/>
    </row>
    <row r="82" spans="1:17" ht="18.95" customHeight="1">
      <c r="A82" s="34">
        <f>A80+1</f>
        <v>51</v>
      </c>
      <c r="B82" s="129" t="s">
        <v>452</v>
      </c>
      <c r="C82" s="54" t="s">
        <v>502</v>
      </c>
      <c r="D82" s="52"/>
      <c r="E82" s="52"/>
      <c r="F82" s="66"/>
      <c r="G82" s="52"/>
      <c r="H82" s="52"/>
      <c r="I82" s="52"/>
      <c r="J82" s="242"/>
    </row>
    <row r="83" spans="1:17" ht="18.95" customHeight="1">
      <c r="A83" s="34">
        <f>A82+1</f>
        <v>52</v>
      </c>
      <c r="B83" s="35">
        <v>301</v>
      </c>
      <c r="C83" s="42" t="s">
        <v>412</v>
      </c>
      <c r="D83" s="52">
        <f>'SCH B-2.1 B'!H79</f>
        <v>25134.686999999973</v>
      </c>
      <c r="E83" s="52">
        <f>-'SCH B-3 B'!I81</f>
        <v>0</v>
      </c>
      <c r="F83" s="66"/>
      <c r="G83" s="52">
        <f t="shared" ref="G83" si="13">D83*F83</f>
        <v>0</v>
      </c>
      <c r="H83" s="248"/>
      <c r="I83" s="52"/>
      <c r="J83" s="242"/>
    </row>
    <row r="84" spans="1:17" ht="18.95" customHeight="1">
      <c r="A84" s="34">
        <f t="shared" ref="A84:A85" si="14">A83+1</f>
        <v>53</v>
      </c>
      <c r="B84" s="35">
        <v>302</v>
      </c>
      <c r="C84" s="42" t="s">
        <v>414</v>
      </c>
      <c r="D84" s="52">
        <f>'SCH B-2.1 B'!H80</f>
        <v>0</v>
      </c>
      <c r="E84" s="52">
        <f>-'SCH B-3 B'!I82</f>
        <v>0</v>
      </c>
      <c r="F84" s="66"/>
      <c r="G84" s="52">
        <f t="shared" ref="G84:G91" si="15">D84*F84</f>
        <v>0</v>
      </c>
      <c r="H84" s="248"/>
      <c r="I84" s="52"/>
      <c r="J84" s="242"/>
    </row>
    <row r="85" spans="1:17" ht="18.95" customHeight="1">
      <c r="A85" s="34">
        <f t="shared" si="14"/>
        <v>54</v>
      </c>
      <c r="B85" s="35">
        <v>303</v>
      </c>
      <c r="C85" s="42" t="s">
        <v>416</v>
      </c>
      <c r="D85" s="52">
        <f>'SCH B-2.1 B'!H81</f>
        <v>30567512.666999996</v>
      </c>
      <c r="E85" s="52">
        <f>-'SCH B-3 B'!I83</f>
        <v>16007376.232109968</v>
      </c>
      <c r="F85" s="66">
        <f>VLOOKUP($B85,'LGE Common Depr Rates'!$A$12:$Q$65,7,)/100</f>
        <v>0.11119381353695874</v>
      </c>
      <c r="G85" s="52">
        <f t="shared" si="15"/>
        <v>3398918.3037830219</v>
      </c>
      <c r="H85" s="431">
        <f>VLOOKUP($B85,'LGE Common Depr Rates'!$A$12:$Q$65,5,)</f>
        <v>0</v>
      </c>
      <c r="I85" s="52" t="str">
        <f>VLOOKUP($B85,'LGE Common Depr Rates'!$A$12:$Q$65,17,)</f>
        <v>3.8-7.5</v>
      </c>
      <c r="J85" s="242" t="str">
        <f>VLOOKUP($B85,'LGE Common Depr Rates'!$A$12:$R$65,15,)</f>
        <v>5-SQ, SQUARE</v>
      </c>
    </row>
    <row r="86" spans="1:17" ht="18.95" customHeight="1">
      <c r="A86" s="34">
        <f>A85+1</f>
        <v>55</v>
      </c>
      <c r="B86" s="35">
        <v>389</v>
      </c>
      <c r="C86" s="42" t="s">
        <v>43</v>
      </c>
      <c r="D86" s="52">
        <f>'SCH B-2.1 B'!H82</f>
        <v>529946.79299999995</v>
      </c>
      <c r="E86" s="52">
        <f>-'SCH B-3 B'!I84</f>
        <v>42248.573999999993</v>
      </c>
      <c r="F86" s="66"/>
      <c r="G86" s="52">
        <f t="shared" si="15"/>
        <v>0</v>
      </c>
      <c r="H86" s="248"/>
      <c r="I86" s="52"/>
      <c r="J86" s="242"/>
    </row>
    <row r="87" spans="1:17" ht="18.95" customHeight="1">
      <c r="A87" s="34">
        <f t="shared" ref="A87:A97" si="16">A86+1</f>
        <v>56</v>
      </c>
      <c r="B87" s="35">
        <v>390</v>
      </c>
      <c r="C87" s="42" t="s">
        <v>42</v>
      </c>
      <c r="D87" s="52">
        <f>'SCH B-2.1 B'!H83</f>
        <v>24057509.621999972</v>
      </c>
      <c r="E87" s="52">
        <f>-'SCH B-3 B'!I85</f>
        <v>10550452.639616491</v>
      </c>
      <c r="F87" s="66">
        <f>VLOOKUP($B87,'LGE Common Depr Rates'!$A$12:$Q$65,7,)/100</f>
        <v>3.2500000000000001E-2</v>
      </c>
      <c r="G87" s="52">
        <f t="shared" si="15"/>
        <v>781869.06271499908</v>
      </c>
      <c r="H87" s="431" t="str">
        <f>VLOOKUP($B87,'LGE Common Depr Rates'!$A$12:$Q$65,5,)</f>
        <v>-5%,-10%</v>
      </c>
      <c r="I87" s="52" t="str">
        <f>VLOOKUP($B87,'LGE Common Depr Rates'!$A$12:$Q$65,17,)</f>
        <v>15.1-35.8</v>
      </c>
      <c r="J87" s="242" t="str">
        <f>VLOOKUP($B87,'LGE Common Depr Rates'!$A$12:$R$65,15,)</f>
        <v>35-R2, 30-R1.5, 45-R3, 45-R0.5</v>
      </c>
    </row>
    <row r="88" spans="1:17" ht="18.95" customHeight="1">
      <c r="A88" s="34">
        <f t="shared" si="16"/>
        <v>57</v>
      </c>
      <c r="B88" s="35">
        <v>391</v>
      </c>
      <c r="C88" s="42" t="s">
        <v>45</v>
      </c>
      <c r="D88" s="52">
        <f>'SCH B-2.1 B'!H84</f>
        <v>12800052.009</v>
      </c>
      <c r="E88" s="52">
        <f>-'SCH B-3 B'!I86</f>
        <v>4842606.6697134003</v>
      </c>
      <c r="F88" s="66">
        <f>VLOOKUP($B88,'LGE Common Depr Rates'!$A$12:$Q$65,7,)/100</f>
        <v>0.10439999999999999</v>
      </c>
      <c r="G88" s="52">
        <f t="shared" si="15"/>
        <v>1336325.4297395998</v>
      </c>
      <c r="H88" s="431">
        <f>VLOOKUP($B88,'LGE Common Depr Rates'!$A$12:$Q$65,5,)</f>
        <v>0</v>
      </c>
      <c r="I88" s="52" t="str">
        <f>VLOOKUP($B88,'LGE Common Depr Rates'!$A$12:$Q$65,17,)</f>
        <v>2.2-6.6</v>
      </c>
      <c r="J88" s="242" t="str">
        <f>VLOOKUP($B88,'LGE Common Depr Rates'!$A$12:$R$65,15,)</f>
        <v>4-SQ, 5-SQ, 10-SQ, 15-SQ, 20-SQ</v>
      </c>
    </row>
    <row r="89" spans="1:17" ht="18.95" customHeight="1">
      <c r="A89" s="34">
        <f t="shared" si="16"/>
        <v>58</v>
      </c>
      <c r="B89" s="35">
        <v>392</v>
      </c>
      <c r="C89" s="42" t="s">
        <v>44</v>
      </c>
      <c r="D89" s="52">
        <f>'SCH B-2.1 B'!H85</f>
        <v>82252.911000000007</v>
      </c>
      <c r="E89" s="52">
        <f>-'SCH B-3 B'!I87</f>
        <v>57771.618981929998</v>
      </c>
      <c r="F89" s="66">
        <f>VLOOKUP($B89,'LGE Common Depr Rates'!$A$12:$Q$65,7,)/100</f>
        <v>9.7753421578573294E-2</v>
      </c>
      <c r="G89" s="52">
        <f t="shared" si="15"/>
        <v>8040.5034850478696</v>
      </c>
      <c r="H89" s="431" t="str">
        <f>VLOOKUP($B89,'LGE Common Depr Rates'!$A$12:$Q$65,5,)</f>
        <v>0%,5%</v>
      </c>
      <c r="I89" s="52" t="str">
        <f>VLOOKUP($B89,'LGE Common Depr Rates'!$A$12:$Q$65,17,)</f>
        <v>6.0-9.6</v>
      </c>
      <c r="J89" s="242" t="str">
        <f>VLOOKUP($B89,'LGE Common Depr Rates'!$A$12:$R$65,15,)</f>
        <v>7-L2.5, 14S1.5, 20-S1</v>
      </c>
    </row>
    <row r="90" spans="1:17" ht="18.95" customHeight="1">
      <c r="A90" s="34">
        <f t="shared" si="16"/>
        <v>59</v>
      </c>
      <c r="B90" s="35">
        <v>393</v>
      </c>
      <c r="C90" s="42" t="s">
        <v>424</v>
      </c>
      <c r="D90" s="52">
        <f>'SCH B-2.1 B'!H86</f>
        <v>441322.50599999999</v>
      </c>
      <c r="E90" s="52">
        <f>-'SCH B-3 B'!I88</f>
        <v>278521.62992459995</v>
      </c>
      <c r="F90" s="66">
        <f>VLOOKUP($B90,'LGE Common Depr Rates'!$A$12:$Q$65,7,)/100</f>
        <v>5.8200000000000002E-2</v>
      </c>
      <c r="G90" s="52">
        <f t="shared" si="15"/>
        <v>25684.969849199999</v>
      </c>
      <c r="H90" s="431">
        <f>VLOOKUP($B90,'LGE Common Depr Rates'!$A$12:$Q$65,5,)</f>
        <v>0</v>
      </c>
      <c r="I90" s="52">
        <f>VLOOKUP($B90,'LGE Common Depr Rates'!$A$12:$Q$65,17,)</f>
        <v>9.3000000000000007</v>
      </c>
      <c r="J90" s="242" t="str">
        <f>VLOOKUP($B90,'LGE Common Depr Rates'!$A$12:$R$65,15,)</f>
        <v>25-SQ</v>
      </c>
    </row>
    <row r="91" spans="1:17" ht="18.95" customHeight="1">
      <c r="A91" s="34">
        <f t="shared" si="16"/>
        <v>60</v>
      </c>
      <c r="B91" s="35">
        <v>394</v>
      </c>
      <c r="C91" s="42" t="s">
        <v>426</v>
      </c>
      <c r="D91" s="52">
        <f>'SCH B-2.1 B'!H87</f>
        <v>1209629.574</v>
      </c>
      <c r="E91" s="52">
        <f>-'SCH B-3 B'!I89</f>
        <v>672545.63718900003</v>
      </c>
      <c r="F91" s="66">
        <f>VLOOKUP($B91,'LGE Common Depr Rates'!$A$12:$Q$65,7,)/100</f>
        <v>5.04E-2</v>
      </c>
      <c r="G91" s="52">
        <f t="shared" si="15"/>
        <v>60965.330529600004</v>
      </c>
      <c r="H91" s="431">
        <f>VLOOKUP($B91,'LGE Common Depr Rates'!$A$12:$Q$65,5,)</f>
        <v>0</v>
      </c>
      <c r="I91" s="52">
        <f>VLOOKUP($B91,'LGE Common Depr Rates'!$A$12:$Q$65,17,)</f>
        <v>14.2</v>
      </c>
      <c r="J91" s="242" t="str">
        <f>VLOOKUP($B91,'LGE Common Depr Rates'!$A$12:$R$65,15,)</f>
        <v>25-SQ</v>
      </c>
      <c r="M91" s="67"/>
      <c r="N91" s="67"/>
      <c r="O91" s="67"/>
      <c r="P91" s="67"/>
      <c r="Q91" s="68"/>
    </row>
    <row r="92" spans="1:17" ht="18.95" customHeight="1">
      <c r="A92" s="34">
        <f t="shared" si="16"/>
        <v>61</v>
      </c>
      <c r="B92" s="35">
        <v>395</v>
      </c>
      <c r="C92" s="42" t="s">
        <v>428</v>
      </c>
      <c r="D92" s="52">
        <f>'SCH B-2.1 B'!H88</f>
        <v>0</v>
      </c>
      <c r="E92" s="52">
        <f>-'SCH B-3 B'!I90</f>
        <v>0</v>
      </c>
      <c r="F92" s="66"/>
      <c r="G92" s="52">
        <f t="shared" ref="G92" si="17">D92*F92</f>
        <v>0</v>
      </c>
      <c r="H92" s="248"/>
      <c r="I92" s="52"/>
      <c r="J92" s="52"/>
      <c r="M92" s="67"/>
      <c r="N92" s="67"/>
      <c r="O92" s="67"/>
      <c r="P92" s="67"/>
      <c r="Q92" s="68"/>
    </row>
    <row r="93" spans="1:17" ht="18.95" customHeight="1">
      <c r="A93" s="34">
        <f t="shared" si="16"/>
        <v>62</v>
      </c>
      <c r="B93" s="35">
        <v>396</v>
      </c>
      <c r="C93" s="42" t="s">
        <v>430</v>
      </c>
      <c r="D93" s="52">
        <f>'SCH B-2.1 B'!H100</f>
        <v>102775.863</v>
      </c>
      <c r="E93" s="52">
        <f>-'SCH B-3 B'!I103</f>
        <v>90458.589473394575</v>
      </c>
      <c r="F93" s="66">
        <f>VLOOKUP($B93,'LGE Common Depr Rates'!$A$12:$Q$65,7,)/100</f>
        <v>1.4341253999249695E-2</v>
      </c>
      <c r="G93" s="52">
        <f t="shared" ref="G93:G96" si="18">D93*F93</f>
        <v>1473.9347562750888</v>
      </c>
      <c r="H93" s="431" t="str">
        <f>VLOOKUP($B93,'LGE Common Depr Rates'!$A$12:$Q$65,5,)</f>
        <v>0%,10%</v>
      </c>
      <c r="I93" s="52" t="str">
        <f>VLOOKUP($B93,'LGE Common Depr Rates'!$A$12:$Q$65,17,)</f>
        <v>3.7-10.6</v>
      </c>
      <c r="J93" s="242" t="str">
        <f>VLOOKUP($B93,'LGE Common Depr Rates'!$A$12:$R$65,15,)</f>
        <v>12-L1.5, 17-L3</v>
      </c>
    </row>
    <row r="94" spans="1:17" ht="18.95" customHeight="1">
      <c r="A94" s="34">
        <f t="shared" si="16"/>
        <v>63</v>
      </c>
      <c r="B94" s="35">
        <v>397</v>
      </c>
      <c r="C94" s="42" t="s">
        <v>46</v>
      </c>
      <c r="D94" s="52">
        <f>'SCH B-2.1 B'!H101</f>
        <v>12343871.207999999</v>
      </c>
      <c r="E94" s="52">
        <f>-'SCH B-3 B'!I104</f>
        <v>9458880.1510965005</v>
      </c>
      <c r="F94" s="66">
        <f>VLOOKUP($B94,'LGE Common Depr Rates'!$A$12:$Q$65,7,)/100</f>
        <v>0.11333383318017701</v>
      </c>
      <c r="G94" s="52">
        <f t="shared" si="18"/>
        <v>1398978.240285062</v>
      </c>
      <c r="H94" s="431">
        <f>VLOOKUP($B94,'LGE Common Depr Rates'!$A$12:$Q$65,5,)</f>
        <v>0</v>
      </c>
      <c r="I94" s="52" t="str">
        <f>VLOOKUP($B94,'LGE Common Depr Rates'!$A$12:$Q$65,17,)</f>
        <v>3.5-25.9</v>
      </c>
      <c r="J94" s="242" t="str">
        <f>VLOOKUP($B94,'LGE Common Depr Rates'!$A$12:$R$65,15,)</f>
        <v>10-SQ, 25-S1, 28-R2, 35-R2</v>
      </c>
    </row>
    <row r="95" spans="1:17" ht="18.95" customHeight="1">
      <c r="A95" s="34">
        <f t="shared" si="16"/>
        <v>64</v>
      </c>
      <c r="B95" s="35">
        <v>398</v>
      </c>
      <c r="C95" s="42" t="s">
        <v>433</v>
      </c>
      <c r="D95" s="52">
        <f>'SCH B-2.1 B'!H102</f>
        <v>0</v>
      </c>
      <c r="E95" s="52">
        <f>-'SCH B-3 B'!I105</f>
        <v>0</v>
      </c>
      <c r="F95" s="66">
        <v>0</v>
      </c>
      <c r="G95" s="52">
        <f t="shared" si="18"/>
        <v>0</v>
      </c>
      <c r="H95" s="431"/>
      <c r="I95" s="52"/>
      <c r="J95" s="242"/>
    </row>
    <row r="96" spans="1:17" ht="18.95" customHeight="1">
      <c r="A96" s="34">
        <f t="shared" si="16"/>
        <v>65</v>
      </c>
      <c r="B96" s="35">
        <v>399</v>
      </c>
      <c r="C96" s="42" t="s">
        <v>490</v>
      </c>
      <c r="D96" s="53">
        <f>'SCH B-2.1 B'!H103</f>
        <v>0</v>
      </c>
      <c r="E96" s="53">
        <f>-'SCH B-3 B'!I106</f>
        <v>0</v>
      </c>
      <c r="F96" s="66"/>
      <c r="G96" s="53">
        <f t="shared" si="18"/>
        <v>0</v>
      </c>
      <c r="H96" s="248"/>
      <c r="I96" s="52"/>
      <c r="J96" s="52"/>
    </row>
    <row r="97" spans="1:17" ht="18.95" customHeight="1">
      <c r="A97" s="34">
        <f t="shared" si="16"/>
        <v>66</v>
      </c>
      <c r="B97" s="35"/>
      <c r="C97" s="42" t="s">
        <v>622</v>
      </c>
      <c r="D97" s="50">
        <f>SUM(D83:D92,D93:D96)</f>
        <v>82160007.839999974</v>
      </c>
      <c r="E97" s="50">
        <f>SUM(E83:E92,E93:E96)</f>
        <v>42000861.742105283</v>
      </c>
      <c r="F97" s="50"/>
      <c r="G97" s="50">
        <f>SUM(G83:G92,G93:G96)</f>
        <v>7012255.7751428066</v>
      </c>
      <c r="H97" s="50"/>
      <c r="I97" s="50"/>
      <c r="J97" s="50"/>
      <c r="M97" s="67"/>
      <c r="N97" s="67"/>
      <c r="O97" s="67"/>
      <c r="P97" s="67"/>
      <c r="Q97" s="68"/>
    </row>
    <row r="98" spans="1:17" ht="18.95" customHeight="1">
      <c r="A98" s="34"/>
      <c r="B98" s="35"/>
    </row>
    <row r="99" spans="1:17" ht="18.95" customHeight="1" thickBot="1">
      <c r="A99" s="34">
        <f>A97+1</f>
        <v>67</v>
      </c>
      <c r="B99" s="35"/>
      <c r="C99" s="32" t="s">
        <v>627</v>
      </c>
      <c r="D99" s="57">
        <f>SUM(D18,D33,D39,D54,D80,D97)</f>
        <v>972396710.28999996</v>
      </c>
      <c r="E99" s="57">
        <f>SUM(E18,E33,E39,E54,E80,E97)</f>
        <v>341634828.74138117</v>
      </c>
      <c r="F99" s="50"/>
      <c r="G99" s="57">
        <f>SUM(G18,G33,G39,G54,G80,G97)</f>
        <v>29435111.459132791</v>
      </c>
      <c r="H99" s="50"/>
      <c r="I99" s="50"/>
      <c r="J99" s="50"/>
    </row>
    <row r="100" spans="1:17" ht="18.95" customHeight="1" thickTop="1">
      <c r="B100" s="35"/>
    </row>
    <row r="101" spans="1:17" ht="18.95" customHeight="1">
      <c r="B101" s="35"/>
      <c r="C101" s="130" t="s">
        <v>620</v>
      </c>
      <c r="D101" s="50"/>
    </row>
    <row r="102" spans="1:17" ht="18.95" customHeight="1">
      <c r="B102" s="35"/>
      <c r="C102" s="42"/>
      <c r="E102" s="56"/>
    </row>
    <row r="103" spans="1:17" ht="18.95" customHeight="1">
      <c r="B103" s="35"/>
      <c r="C103" s="32" t="s">
        <v>491</v>
      </c>
      <c r="D103" s="52">
        <f>'SCH B-2.1 B'!H106</f>
        <v>972396710.28999996</v>
      </c>
      <c r="E103" s="50"/>
    </row>
    <row r="104" spans="1:17" ht="18.95" customHeight="1">
      <c r="B104" s="35"/>
      <c r="E104" s="56"/>
    </row>
    <row r="105" spans="1:17" ht="18.95" customHeight="1">
      <c r="D105" s="33" t="s">
        <v>47</v>
      </c>
    </row>
    <row r="106" spans="1:17" ht="18.95" customHeight="1"/>
    <row r="107" spans="1:17" ht="18.95" customHeight="1"/>
    <row r="108" spans="1:17" ht="18.95" customHeight="1"/>
    <row r="109" spans="1:17" ht="18.95" customHeight="1"/>
    <row r="110" spans="1:17" ht="18.95" customHeight="1"/>
    <row r="111" spans="1:17" ht="18.95" customHeight="1"/>
    <row r="112" spans="1:17" ht="18.95" customHeight="1"/>
    <row r="113" ht="18.95" customHeight="1"/>
    <row r="114" ht="18.95" customHeight="1"/>
    <row r="115" ht="18.95" customHeight="1"/>
    <row r="116" ht="18.95" customHeight="1"/>
    <row r="117" ht="18.95" customHeight="1"/>
  </sheetData>
  <mergeCells count="10">
    <mergeCell ref="A1:J1"/>
    <mergeCell ref="A2:J2"/>
    <mergeCell ref="A3:J3"/>
    <mergeCell ref="A4:J4"/>
    <mergeCell ref="A58:J58"/>
    <mergeCell ref="A59:J59"/>
    <mergeCell ref="D10:E10"/>
    <mergeCell ref="D65:E65"/>
    <mergeCell ref="A56:J56"/>
    <mergeCell ref="A57:J57"/>
  </mergeCells>
  <printOptions horizontalCentered="1"/>
  <pageMargins left="0.95" right="0.5" top="0.75" bottom="0.75" header="0.3" footer="0.3"/>
  <pageSetup scale="51" fitToHeight="0" orientation="portrait" r:id="rId1"/>
  <rowBreaks count="1" manualBreakCount="1">
    <brk id="55" max="10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pageSetUpPr fitToPage="1"/>
  </sheetPr>
  <dimension ref="A1:Q117"/>
  <sheetViews>
    <sheetView topLeftCell="A52" zoomScaleNormal="100" workbookViewId="0">
      <selection activeCell="C73" sqref="C73"/>
    </sheetView>
  </sheetViews>
  <sheetFormatPr defaultColWidth="9" defaultRowHeight="12.75"/>
  <cols>
    <col min="1" max="1" width="6" style="33" customWidth="1"/>
    <col min="2" max="2" width="7.6640625" style="33" customWidth="1"/>
    <col min="3" max="3" width="38.33203125" style="33" customWidth="1"/>
    <col min="4" max="5" width="13.6640625" style="33" customWidth="1"/>
    <col min="6" max="6" width="9.88671875" style="33" customWidth="1"/>
    <col min="7" max="7" width="15" style="33" customWidth="1"/>
    <col min="8" max="9" width="13.6640625" style="33" customWidth="1"/>
    <col min="10" max="10" width="30.44140625" style="33" customWidth="1"/>
    <col min="11" max="11" width="1.6640625" style="33" customWidth="1"/>
    <col min="12" max="12" width="9" style="33"/>
    <col min="13" max="13" width="13.109375" style="33" customWidth="1"/>
    <col min="14" max="14" width="9" style="33"/>
    <col min="15" max="15" width="12.6640625" style="33" customWidth="1"/>
    <col min="16" max="16" width="12.88671875" style="33" customWidth="1"/>
    <col min="17" max="16384" width="9" style="33"/>
  </cols>
  <sheetData>
    <row r="1" spans="1:10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  <c r="G1" s="494"/>
      <c r="H1" s="494"/>
      <c r="I1" s="494"/>
      <c r="J1" s="494"/>
    </row>
    <row r="2" spans="1:10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  <c r="G2" s="494"/>
      <c r="H2" s="494"/>
      <c r="I2" s="494"/>
      <c r="J2" s="494"/>
    </row>
    <row r="3" spans="1:10" s="32" customFormat="1" ht="20.100000000000001" customHeight="1">
      <c r="A3" s="494" t="s">
        <v>1799</v>
      </c>
      <c r="B3" s="494"/>
      <c r="C3" s="494"/>
      <c r="D3" s="494"/>
      <c r="E3" s="494"/>
      <c r="F3" s="494"/>
      <c r="G3" s="494"/>
      <c r="H3" s="494"/>
      <c r="I3" s="494"/>
      <c r="J3" s="494"/>
    </row>
    <row r="4" spans="1:10" s="32" customFormat="1" ht="20.100000000000001" customHeight="1">
      <c r="A4" s="494" t="str">
        <f>'Rate Case Constants'!C18</f>
        <v>AS OF JUNE 30, 2018</v>
      </c>
      <c r="B4" s="494"/>
      <c r="C4" s="494"/>
      <c r="D4" s="494"/>
      <c r="E4" s="494"/>
      <c r="F4" s="494"/>
      <c r="G4" s="494"/>
      <c r="H4" s="494"/>
      <c r="I4" s="494"/>
      <c r="J4" s="494"/>
    </row>
    <row r="5" spans="1:10" s="32" customFormat="1" ht="20.100000000000001" customHeight="1">
      <c r="A5" s="183"/>
      <c r="B5" s="183"/>
      <c r="C5" s="183"/>
      <c r="D5" s="183"/>
      <c r="E5" s="183"/>
      <c r="F5" s="183"/>
      <c r="G5" s="183"/>
      <c r="H5" s="183"/>
      <c r="I5" s="183"/>
      <c r="J5" s="183"/>
    </row>
    <row r="6" spans="1:10" s="32" customFormat="1" ht="20.100000000000001" customHeight="1">
      <c r="A6" s="31" t="s">
        <v>48</v>
      </c>
      <c r="B6" s="31"/>
      <c r="H6" s="38"/>
      <c r="I6" s="38"/>
      <c r="J6" s="38" t="s">
        <v>198</v>
      </c>
    </row>
    <row r="7" spans="1:10" s="32" customFormat="1" ht="20.100000000000001" customHeight="1">
      <c r="A7" s="32" t="str">
        <f>'Rate Case Constants'!C29</f>
        <v>TYPE OF FILING: __X__ ORIGINAL  _____ UPDATED  _____ REVISED</v>
      </c>
      <c r="H7" s="38"/>
      <c r="I7" s="38"/>
      <c r="J7" s="38" t="s">
        <v>1283</v>
      </c>
    </row>
    <row r="8" spans="1:10" s="32" customFormat="1" ht="20.100000000000001" customHeight="1">
      <c r="A8" s="31" t="s">
        <v>151</v>
      </c>
      <c r="B8" s="31"/>
      <c r="F8" s="31"/>
      <c r="G8" s="31"/>
      <c r="H8" s="39"/>
      <c r="I8" s="39"/>
      <c r="J8" s="39" t="str">
        <f>'Rate Case Constants'!C36</f>
        <v>WITNESS:   C. M. GARRETT</v>
      </c>
    </row>
    <row r="9" spans="1:10" s="32" customFormat="1" ht="20.100000000000001" customHeight="1"/>
    <row r="10" spans="1:10" s="32" customFormat="1" ht="20.100000000000001" customHeight="1">
      <c r="A10" s="59"/>
      <c r="B10" s="59"/>
      <c r="C10" s="59"/>
      <c r="D10" s="496" t="s">
        <v>114</v>
      </c>
      <c r="E10" s="496"/>
      <c r="F10" s="59"/>
      <c r="G10" s="59"/>
      <c r="H10" s="59"/>
      <c r="I10" s="59"/>
      <c r="J10" s="59"/>
    </row>
    <row r="11" spans="1:10" ht="48" customHeight="1">
      <c r="A11" s="35" t="s">
        <v>29</v>
      </c>
      <c r="B11" s="35" t="s">
        <v>32</v>
      </c>
      <c r="C11" s="42" t="s">
        <v>200</v>
      </c>
      <c r="D11" s="35" t="s">
        <v>201</v>
      </c>
      <c r="E11" s="35" t="s">
        <v>202</v>
      </c>
      <c r="F11" s="35" t="s">
        <v>203</v>
      </c>
      <c r="G11" s="35" t="s">
        <v>204</v>
      </c>
      <c r="H11" s="35" t="s">
        <v>206</v>
      </c>
      <c r="I11" s="35" t="s">
        <v>733</v>
      </c>
      <c r="J11" s="35" t="s">
        <v>207</v>
      </c>
    </row>
    <row r="12" spans="1:10" ht="18.95" customHeight="1">
      <c r="A12" s="61" t="s">
        <v>176</v>
      </c>
      <c r="B12" s="61" t="s">
        <v>177</v>
      </c>
      <c r="C12" s="61" t="s">
        <v>180</v>
      </c>
      <c r="D12" s="61" t="s">
        <v>188</v>
      </c>
      <c r="E12" s="61" t="s">
        <v>189</v>
      </c>
      <c r="F12" s="61" t="s">
        <v>190</v>
      </c>
      <c r="G12" s="61" t="s">
        <v>205</v>
      </c>
      <c r="H12" s="61" t="s">
        <v>192</v>
      </c>
      <c r="I12" s="61" t="s">
        <v>193</v>
      </c>
      <c r="J12" s="61" t="s">
        <v>208</v>
      </c>
    </row>
    <row r="13" spans="1:10" ht="23.1" customHeight="1">
      <c r="A13" s="37"/>
      <c r="B13" s="37"/>
      <c r="C13" s="64"/>
      <c r="D13" s="58" t="s">
        <v>40</v>
      </c>
      <c r="E13" s="58" t="s">
        <v>40</v>
      </c>
      <c r="F13" s="58"/>
      <c r="G13" s="58" t="s">
        <v>40</v>
      </c>
      <c r="H13" s="58"/>
      <c r="I13" s="58"/>
      <c r="J13" s="58"/>
    </row>
    <row r="14" spans="1:10" ht="23.1" customHeight="1">
      <c r="A14" s="37">
        <v>1</v>
      </c>
      <c r="B14" s="37"/>
      <c r="C14" s="49" t="s">
        <v>571</v>
      </c>
      <c r="D14" s="41"/>
      <c r="E14" s="41"/>
      <c r="F14" s="41"/>
      <c r="G14" s="41"/>
      <c r="H14" s="41"/>
      <c r="I14" s="41"/>
    </row>
    <row r="15" spans="1:10" ht="18.95" customHeight="1">
      <c r="A15" s="34">
        <f>A14+1</f>
        <v>2</v>
      </c>
      <c r="B15" s="35">
        <v>301</v>
      </c>
      <c r="C15" s="42" t="s">
        <v>412</v>
      </c>
      <c r="D15" s="52">
        <f>'SCH B-2.1 F'!H13</f>
        <v>0</v>
      </c>
      <c r="E15" s="52">
        <f>-'SCH B-3 F'!I14</f>
        <v>0</v>
      </c>
      <c r="F15" s="240"/>
      <c r="G15" s="52">
        <f t="shared" ref="G15:G17" si="0">D15*F15</f>
        <v>0</v>
      </c>
      <c r="H15" s="246"/>
      <c r="I15" s="241"/>
      <c r="J15" s="242"/>
    </row>
    <row r="16" spans="1:10" ht="18.95" customHeight="1">
      <c r="A16" s="34">
        <f t="shared" ref="A16:A18" si="1">A15+1</f>
        <v>3</v>
      </c>
      <c r="B16" s="35">
        <v>302</v>
      </c>
      <c r="C16" s="42" t="s">
        <v>414</v>
      </c>
      <c r="D16" s="52">
        <f>'SCH B-2.1 F'!H14</f>
        <v>387.49</v>
      </c>
      <c r="E16" s="52">
        <f>-'SCH B-3 F'!I15</f>
        <v>208.64370166999996</v>
      </c>
      <c r="F16" s="240">
        <f>VLOOKUP($B16,'LGE Gas Proposed Depr Rates'!$A$16:$R$127,8,)/100</f>
        <v>0.1238741644945676</v>
      </c>
      <c r="G16" s="52">
        <f t="shared" si="0"/>
        <v>48</v>
      </c>
      <c r="H16" s="246">
        <f>VLOOKUP($B16,'LGE Gas Proposed Depr Rates'!$A$16:$R$127,6,)</f>
        <v>0</v>
      </c>
      <c r="I16" s="241">
        <f>VLOOKUP($B16,'LGE Gas Proposed Depr Rates'!$A$16:$R$127,18,)</f>
        <v>5.5</v>
      </c>
      <c r="J16" s="242" t="str">
        <f>VLOOKUP($B16,'LGE Gas Proposed Depr Rates'!$A$16:$R$127,16,)</f>
        <v>20-SQ</v>
      </c>
    </row>
    <row r="17" spans="1:17" ht="18.95" customHeight="1">
      <c r="A17" s="34">
        <f t="shared" si="1"/>
        <v>4</v>
      </c>
      <c r="B17" s="35">
        <v>303</v>
      </c>
      <c r="C17" s="42" t="s">
        <v>416</v>
      </c>
      <c r="D17" s="53">
        <f>'SCH B-2.1 F'!H15</f>
        <v>0</v>
      </c>
      <c r="E17" s="53">
        <f>-'SCH B-3 F'!I16</f>
        <v>0</v>
      </c>
      <c r="F17" s="240"/>
      <c r="G17" s="53">
        <f t="shared" si="0"/>
        <v>0</v>
      </c>
      <c r="H17" s="247"/>
      <c r="I17" s="241"/>
      <c r="J17" s="242"/>
    </row>
    <row r="18" spans="1:17" ht="18.95" customHeight="1">
      <c r="A18" s="34">
        <f t="shared" si="1"/>
        <v>5</v>
      </c>
      <c r="B18" s="34"/>
      <c r="C18" s="42" t="s">
        <v>41</v>
      </c>
      <c r="D18" s="50">
        <f>SUM(D15:D17)</f>
        <v>387.49</v>
      </c>
      <c r="E18" s="50">
        <f>SUM(E15:E17)</f>
        <v>208.64370166999996</v>
      </c>
      <c r="F18" s="62"/>
      <c r="G18" s="50">
        <f>SUM(G15:G17)</f>
        <v>48</v>
      </c>
      <c r="H18" s="50"/>
      <c r="I18" s="50"/>
      <c r="J18" s="50"/>
      <c r="M18" s="67"/>
      <c r="N18" s="67"/>
      <c r="O18" s="67"/>
      <c r="P18" s="67"/>
      <c r="Q18" s="68"/>
    </row>
    <row r="19" spans="1:17" ht="18.95" customHeight="1">
      <c r="A19" s="34"/>
      <c r="B19" s="34"/>
      <c r="D19" s="36"/>
      <c r="E19" s="36"/>
      <c r="F19" s="65"/>
      <c r="G19" s="36"/>
      <c r="H19" s="36"/>
      <c r="I19" s="36"/>
      <c r="J19" s="36"/>
    </row>
    <row r="20" spans="1:17" ht="18.95" customHeight="1">
      <c r="A20" s="34">
        <f>A18+1</f>
        <v>6</v>
      </c>
      <c r="B20" s="34"/>
      <c r="C20" s="54" t="s">
        <v>572</v>
      </c>
      <c r="D20" s="36"/>
      <c r="E20" s="36"/>
      <c r="F20" s="65"/>
      <c r="G20" s="36"/>
      <c r="H20" s="36"/>
      <c r="I20" s="36"/>
      <c r="J20" s="36"/>
    </row>
    <row r="21" spans="1:17" ht="18.95" customHeight="1">
      <c r="A21" s="34">
        <f t="shared" ref="A21:A54" si="2">A20+1</f>
        <v>7</v>
      </c>
      <c r="B21" s="35">
        <v>350</v>
      </c>
      <c r="C21" s="42" t="s">
        <v>43</v>
      </c>
      <c r="D21" s="52">
        <f>'SCH B-2.1 F'!H19</f>
        <v>134076.55999999997</v>
      </c>
      <c r="E21" s="52">
        <f>-'SCH B-3 F'!I20</f>
        <v>70357.820953279894</v>
      </c>
      <c r="F21" s="240">
        <f>VLOOKUP($B21,'LGE Gas Proposed Depr Rates'!$A$16:$R$127,8,)/100</f>
        <v>5.9025747145332727E-3</v>
      </c>
      <c r="G21" s="52">
        <f t="shared" ref="G21:G32" si="3">D21*F21</f>
        <v>791.39691286760296</v>
      </c>
      <c r="H21" s="246">
        <f>VLOOKUP($B21,'LGE Gas Proposed Depr Rates'!$A$16:$R$127,6,)</f>
        <v>0</v>
      </c>
      <c r="I21" s="241">
        <f>VLOOKUP($B21,'LGE Gas Proposed Depr Rates'!$A$16:$R$127,18,)</f>
        <v>52.8</v>
      </c>
      <c r="J21" s="242" t="str">
        <f>VLOOKUP($B21,'LGE Gas Proposed Depr Rates'!$A$16:$R$127,16,)</f>
        <v>60-R4</v>
      </c>
    </row>
    <row r="22" spans="1:17" ht="18" customHeight="1">
      <c r="A22" s="34">
        <f t="shared" si="2"/>
        <v>8</v>
      </c>
      <c r="B22" s="35">
        <v>351</v>
      </c>
      <c r="C22" s="42" t="s">
        <v>42</v>
      </c>
      <c r="D22" s="52">
        <f>'SCH B-2.1 F'!H20</f>
        <v>15781511.025384616</v>
      </c>
      <c r="E22" s="52">
        <f>-'SCH B-3 F'!I21</f>
        <v>2645386.1699745543</v>
      </c>
      <c r="F22" s="240">
        <f>VLOOKUP($B22,'LGE Gas Proposed Depr Rates'!$A$16:$R$127,8,)/100</f>
        <v>1.9969613864991926E-2</v>
      </c>
      <c r="G22" s="52">
        <f t="shared" si="3"/>
        <v>315150.68138304359</v>
      </c>
      <c r="H22" s="246" t="str">
        <f>VLOOKUP($B22,'LGE Gas Proposed Depr Rates'!$A$16:$R$127,6,)</f>
        <v>-5%,-15%</v>
      </c>
      <c r="I22" s="241" t="str">
        <f>VLOOKUP($B22,'LGE Gas Proposed Depr Rates'!$A$16:$R$127,18,)</f>
        <v>49.5-54.6</v>
      </c>
      <c r="J22" s="242" t="str">
        <f>VLOOKUP($B22,'LGE Gas Proposed Depr Rates'!$A$16:$R$127,16,)</f>
        <v>55-R2.5, 60-R2.5, 60-R3</v>
      </c>
    </row>
    <row r="23" spans="1:17" ht="18.95" customHeight="1">
      <c r="A23" s="34">
        <f t="shared" si="2"/>
        <v>9</v>
      </c>
      <c r="B23" s="35">
        <v>352</v>
      </c>
      <c r="C23" s="42" t="s">
        <v>597</v>
      </c>
      <c r="D23" s="52">
        <f>'SCH B-2.1 F'!H21</f>
        <v>21807057.703076929</v>
      </c>
      <c r="E23" s="52">
        <f>-'SCH B-3 F'!I22</f>
        <v>2767996.4552112981</v>
      </c>
      <c r="F23" s="240">
        <f>VLOOKUP($B23,'LGE Gas Proposed Depr Rates'!$A$16:$R$127,8,)/100</f>
        <v>2.7312005805263499E-2</v>
      </c>
      <c r="G23" s="52">
        <f t="shared" si="3"/>
        <v>595594.48658215313</v>
      </c>
      <c r="H23" s="431">
        <f>VLOOKUP($B23,'LGE Gas Proposed Depr Rates'!$A$16:$R$127,6,)</f>
        <v>-0.3</v>
      </c>
      <c r="I23" s="241" t="str">
        <f>VLOOKUP($B23,'LGE Gas Proposed Depr Rates'!$A$16:$R$127,18,)</f>
        <v>37.4-45.1</v>
      </c>
      <c r="J23" s="242" t="str">
        <f>VLOOKUP($B23,'LGE Gas Proposed Depr Rates'!$A$16:$R$127,16,)</f>
        <v>45-R0.5, 60-R3</v>
      </c>
    </row>
    <row r="24" spans="1:17" ht="18.95" customHeight="1">
      <c r="A24" s="34">
        <f t="shared" si="2"/>
        <v>10</v>
      </c>
      <c r="B24" s="35">
        <v>352.1</v>
      </c>
      <c r="C24" s="42" t="s">
        <v>598</v>
      </c>
      <c r="D24" s="52">
        <f>'SCH B-2.1 F'!H22</f>
        <v>548241.14</v>
      </c>
      <c r="E24" s="52">
        <f>-'SCH B-3 F'!I23</f>
        <v>569589.96000000008</v>
      </c>
      <c r="F24" s="240">
        <v>0</v>
      </c>
      <c r="G24" s="52">
        <f t="shared" si="3"/>
        <v>0</v>
      </c>
      <c r="H24" s="431">
        <f>VLOOKUP($B24,'LGE Gas Proposed Depr Rates'!$A$16:$R$127,6,)</f>
        <v>0</v>
      </c>
      <c r="I24" s="241" t="str">
        <f>VLOOKUP($B24,'LGE Gas Proposed Depr Rates'!$A$16:$R$127,18,)</f>
        <v xml:space="preserve">             -</v>
      </c>
      <c r="J24" s="242" t="str">
        <f>VLOOKUP($B24,'LGE Gas Proposed Depr Rates'!$A$16:$R$127,16,)</f>
        <v>70-R4</v>
      </c>
    </row>
    <row r="25" spans="1:17" ht="18.95" customHeight="1">
      <c r="A25" s="34">
        <f t="shared" si="2"/>
        <v>11</v>
      </c>
      <c r="B25" s="35">
        <v>352.2</v>
      </c>
      <c r="C25" s="42" t="s">
        <v>599</v>
      </c>
      <c r="D25" s="52">
        <f>'SCH B-2.1 F'!H23</f>
        <v>400511.39999999997</v>
      </c>
      <c r="E25" s="52">
        <f>-'SCH B-3 F'!I24</f>
        <v>452027.29</v>
      </c>
      <c r="F25" s="240">
        <v>0</v>
      </c>
      <c r="G25" s="52">
        <f t="shared" si="3"/>
        <v>0</v>
      </c>
      <c r="H25" s="431">
        <f>VLOOKUP($B25,'LGE Gas Proposed Depr Rates'!$A$16:$R$127,6,)</f>
        <v>0</v>
      </c>
      <c r="I25" s="241" t="str">
        <f>VLOOKUP($B25,'LGE Gas Proposed Depr Rates'!$A$16:$R$127,18,)</f>
        <v xml:space="preserve">             -</v>
      </c>
      <c r="J25" s="242" t="str">
        <f>VLOOKUP($B25,'LGE Gas Proposed Depr Rates'!$A$16:$R$127,16,)</f>
        <v>60-R4</v>
      </c>
    </row>
    <row r="26" spans="1:17" ht="18.95" customHeight="1">
      <c r="A26" s="34">
        <f t="shared" si="2"/>
        <v>12</v>
      </c>
      <c r="B26" s="35">
        <v>352.3</v>
      </c>
      <c r="C26" s="42" t="s">
        <v>600</v>
      </c>
      <c r="D26" s="52">
        <f>'SCH B-2.1 F'!H24</f>
        <v>11788844.999999998</v>
      </c>
      <c r="E26" s="52">
        <f>-'SCH B-3 F'!I25</f>
        <v>8261237.313749996</v>
      </c>
      <c r="F26" s="240">
        <f>VLOOKUP($B26,'LGE Gas Proposed Depr Rates'!$A$16:$R$127,8,)/100</f>
        <v>8.2303029737725349E-3</v>
      </c>
      <c r="G26" s="52">
        <f t="shared" si="3"/>
        <v>97025.766060843467</v>
      </c>
      <c r="H26" s="431">
        <f>VLOOKUP($B26,'LGE Gas Proposed Depr Rates'!$A$16:$R$127,6,)</f>
        <v>0</v>
      </c>
      <c r="I26" s="241">
        <f>VLOOKUP($B26,'LGE Gas Proposed Depr Rates'!$A$16:$R$127,18,)</f>
        <v>19.5</v>
      </c>
      <c r="J26" s="242" t="str">
        <f>VLOOKUP($B26,'LGE Gas Proposed Depr Rates'!$A$16:$R$127,16,)</f>
        <v>50-SQ</v>
      </c>
    </row>
    <row r="27" spans="1:17" ht="18.95" customHeight="1">
      <c r="A27" s="34">
        <f t="shared" si="2"/>
        <v>13</v>
      </c>
      <c r="B27" s="35">
        <v>353</v>
      </c>
      <c r="C27" s="42" t="s">
        <v>601</v>
      </c>
      <c r="D27" s="52">
        <f>'SCH B-2.1 F'!H25</f>
        <v>23080886.59999999</v>
      </c>
      <c r="E27" s="52">
        <f>-'SCH B-3 F'!I26</f>
        <v>9145236.5484904721</v>
      </c>
      <c r="F27" s="240">
        <f>VLOOKUP($B27,'LGE Gas Proposed Depr Rates'!$A$16:$R$127,8,)/100</f>
        <v>2.0060323704189795E-2</v>
      </c>
      <c r="G27" s="52">
        <f t="shared" si="3"/>
        <v>463010.05657569639</v>
      </c>
      <c r="H27" s="431">
        <f>VLOOKUP($B27,'LGE Gas Proposed Depr Rates'!$A$16:$R$127,6,)</f>
        <v>-0.15</v>
      </c>
      <c r="I27" s="241">
        <f>VLOOKUP($B27,'LGE Gas Proposed Depr Rates'!$A$16:$R$127,18,)</f>
        <v>37.799999999999997</v>
      </c>
      <c r="J27" s="242" t="str">
        <f>VLOOKUP($B27,'LGE Gas Proposed Depr Rates'!$A$16:$R$127,16,)</f>
        <v>48-R2</v>
      </c>
    </row>
    <row r="28" spans="1:17" ht="18.95" customHeight="1">
      <c r="A28" s="34">
        <f t="shared" si="2"/>
        <v>14</v>
      </c>
      <c r="B28" s="35">
        <v>354</v>
      </c>
      <c r="C28" s="42" t="s">
        <v>602</v>
      </c>
      <c r="D28" s="52">
        <f>'SCH B-2.1 F'!H26</f>
        <v>58234397.566923089</v>
      </c>
      <c r="E28" s="52">
        <f>-'SCH B-3 F'!I27</f>
        <v>8245526.5817995109</v>
      </c>
      <c r="F28" s="240">
        <f>VLOOKUP($B28,'LGE Gas Proposed Depr Rates'!$A$16:$R$127,8,)/100</f>
        <v>2.2660277773525302E-2</v>
      </c>
      <c r="G28" s="52">
        <f t="shared" si="3"/>
        <v>1319607.6248403832</v>
      </c>
      <c r="H28" s="431">
        <f>VLOOKUP($B28,'LGE Gas Proposed Depr Rates'!$A$16:$R$127,6,)</f>
        <v>-0.05</v>
      </c>
      <c r="I28" s="241">
        <f>VLOOKUP($B28,'LGE Gas Proposed Depr Rates'!$A$16:$R$127,18,)</f>
        <v>39.9</v>
      </c>
      <c r="J28" s="242" t="str">
        <f>VLOOKUP($B28,'LGE Gas Proposed Depr Rates'!$A$16:$R$127,16,)</f>
        <v>45-R1.5</v>
      </c>
    </row>
    <row r="29" spans="1:17" ht="18.95" customHeight="1">
      <c r="A29" s="34">
        <f t="shared" si="2"/>
        <v>15</v>
      </c>
      <c r="B29" s="35">
        <v>355</v>
      </c>
      <c r="C29" s="42" t="s">
        <v>603</v>
      </c>
      <c r="D29" s="52">
        <f>'SCH B-2.1 F'!H27</f>
        <v>2274976.4199999995</v>
      </c>
      <c r="E29" s="52">
        <f>-'SCH B-3 F'!I28</f>
        <v>305538.36716637999</v>
      </c>
      <c r="F29" s="240">
        <f>VLOOKUP($B29,'LGE Gas Proposed Depr Rates'!$A$16:$R$127,8,)/100</f>
        <v>2.549651827349662E-2</v>
      </c>
      <c r="G29" s="52">
        <f t="shared" si="3"/>
        <v>58003.97786430391</v>
      </c>
      <c r="H29" s="431">
        <f>VLOOKUP($B29,'LGE Gas Proposed Depr Rates'!$A$16:$R$127,6,)</f>
        <v>-0.1</v>
      </c>
      <c r="I29" s="241">
        <f>VLOOKUP($B29,'LGE Gas Proposed Depr Rates'!$A$16:$R$127,18,)</f>
        <v>30.8</v>
      </c>
      <c r="J29" s="242" t="str">
        <f>VLOOKUP($B29,'LGE Gas Proposed Depr Rates'!$A$16:$R$127,16,)</f>
        <v>40-R1</v>
      </c>
      <c r="M29" s="67"/>
      <c r="N29" s="67"/>
      <c r="O29" s="67"/>
      <c r="P29" s="67"/>
      <c r="Q29" s="68"/>
    </row>
    <row r="30" spans="1:17" ht="18.95" customHeight="1">
      <c r="A30" s="34">
        <f t="shared" si="2"/>
        <v>16</v>
      </c>
      <c r="B30" s="35">
        <v>356</v>
      </c>
      <c r="C30" s="42" t="s">
        <v>604</v>
      </c>
      <c r="D30" s="52">
        <f>'SCH B-2.1 F'!H28</f>
        <v>23951812.295384623</v>
      </c>
      <c r="E30" s="52">
        <f>-'SCH B-3 F'!I29</f>
        <v>6181153.4966390608</v>
      </c>
      <c r="F30" s="240">
        <f>VLOOKUP($B30,'LGE Gas Proposed Depr Rates'!$A$16:$R$127,8,)/100</f>
        <v>2.367776617318686E-2</v>
      </c>
      <c r="G30" s="52">
        <f t="shared" si="3"/>
        <v>567125.41095417913</v>
      </c>
      <c r="H30" s="431">
        <f>VLOOKUP($B30,'LGE Gas Proposed Depr Rates'!$A$16:$R$127,6,)</f>
        <v>-0.25</v>
      </c>
      <c r="I30" s="241">
        <f>VLOOKUP($B30,'LGE Gas Proposed Depr Rates'!$A$16:$R$127,18,)</f>
        <v>40.200000000000003</v>
      </c>
      <c r="J30" s="242" t="str">
        <f>VLOOKUP($B30,'LGE Gas Proposed Depr Rates'!$A$16:$R$127,16,)</f>
        <v>48-R2</v>
      </c>
    </row>
    <row r="31" spans="1:17" ht="18.95" customHeight="1">
      <c r="A31" s="34">
        <f t="shared" si="2"/>
        <v>17</v>
      </c>
      <c r="B31" s="35">
        <v>357</v>
      </c>
      <c r="C31" s="42" t="s">
        <v>605</v>
      </c>
      <c r="D31" s="52">
        <f>'SCH B-2.1 F'!H29</f>
        <v>7205881.5461538425</v>
      </c>
      <c r="E31" s="52">
        <f>-'SCH B-3 F'!I30</f>
        <v>397031.86355414812</v>
      </c>
      <c r="F31" s="240">
        <f>VLOOKUP($B31,'LGE Gas Proposed Depr Rates'!$A$16:$R$127,8,)/100</f>
        <v>2.5257517855882535E-2</v>
      </c>
      <c r="G31" s="52">
        <f t="shared" si="3"/>
        <v>182002.68181935512</v>
      </c>
      <c r="H31" s="431">
        <f>VLOOKUP($B31,'LGE Gas Proposed Depr Rates'!$A$16:$R$127,6,)</f>
        <v>-0.1</v>
      </c>
      <c r="I31" s="241">
        <f>VLOOKUP($B31,'LGE Gas Proposed Depr Rates'!$A$16:$R$127,18,)</f>
        <v>38.200000000000003</v>
      </c>
      <c r="J31" s="242" t="str">
        <f>VLOOKUP($B31,'LGE Gas Proposed Depr Rates'!$A$16:$R$127,16,)</f>
        <v>45-R2</v>
      </c>
    </row>
    <row r="32" spans="1:17" ht="18.95" customHeight="1">
      <c r="A32" s="34">
        <f t="shared" si="2"/>
        <v>18</v>
      </c>
      <c r="B32" s="35">
        <v>358</v>
      </c>
      <c r="C32" s="42" t="s">
        <v>606</v>
      </c>
      <c r="D32" s="53">
        <f>'SCH B-2.1 F'!H30</f>
        <v>0</v>
      </c>
      <c r="E32" s="53">
        <f>-'SCH B-3 F'!I31</f>
        <v>0</v>
      </c>
      <c r="F32" s="240"/>
      <c r="G32" s="53">
        <f t="shared" si="3"/>
        <v>0</v>
      </c>
      <c r="H32" s="247"/>
      <c r="I32" s="241"/>
      <c r="J32" s="242"/>
    </row>
    <row r="33" spans="1:17" ht="18.95" customHeight="1">
      <c r="A33" s="34">
        <f t="shared" si="2"/>
        <v>19</v>
      </c>
      <c r="C33" s="42" t="s">
        <v>608</v>
      </c>
      <c r="D33" s="52">
        <f>SUM(D21:D32)</f>
        <v>165208197.25692311</v>
      </c>
      <c r="E33" s="52">
        <f>SUM(E21:E32)</f>
        <v>39041081.867538705</v>
      </c>
      <c r="F33" s="240"/>
      <c r="G33" s="52">
        <f>SUM(G21:G32)</f>
        <v>3598312.0829928261</v>
      </c>
      <c r="H33" s="247"/>
      <c r="I33" s="241"/>
      <c r="J33" s="242"/>
    </row>
    <row r="34" spans="1:17" ht="18.95" customHeight="1">
      <c r="A34" s="34"/>
      <c r="C34" s="42"/>
      <c r="D34" s="52"/>
      <c r="E34" s="52"/>
      <c r="F34" s="66"/>
      <c r="G34" s="52"/>
      <c r="H34" s="52"/>
      <c r="I34" s="52"/>
      <c r="J34" s="52"/>
    </row>
    <row r="35" spans="1:17" ht="18.95" customHeight="1">
      <c r="A35" s="34">
        <f>A33+1</f>
        <v>20</v>
      </c>
      <c r="C35" s="54" t="s">
        <v>591</v>
      </c>
      <c r="D35" s="52"/>
      <c r="E35" s="52"/>
      <c r="F35" s="66"/>
      <c r="G35" s="52"/>
      <c r="H35" s="52"/>
      <c r="I35" s="52"/>
      <c r="J35" s="52"/>
    </row>
    <row r="36" spans="1:17" ht="18.95" customHeight="1">
      <c r="A36" s="34">
        <f t="shared" si="2"/>
        <v>21</v>
      </c>
      <c r="B36" s="35">
        <v>365</v>
      </c>
      <c r="C36" s="42" t="s">
        <v>610</v>
      </c>
      <c r="D36" s="52">
        <f>'SCH B-2.1 F'!H34</f>
        <v>220659.049999999</v>
      </c>
      <c r="E36" s="52">
        <f>-'SCH B-3 F'!I35</f>
        <v>211169.46206668005</v>
      </c>
      <c r="F36" s="66">
        <f>VLOOKUP($B36,'LGE Gas Proposed Depr Rates'!$A$16:$R$127,8,)/100</f>
        <v>1.3369041514499406E-3</v>
      </c>
      <c r="G36" s="52">
        <f t="shared" ref="G36:G38" si="4">D36*F36</f>
        <v>294.99999999999869</v>
      </c>
      <c r="H36" s="431">
        <f>VLOOKUP($B36,'LGE Gas Proposed Depr Rates'!$A$16:$R$127,6,)</f>
        <v>0</v>
      </c>
      <c r="I36" s="52">
        <f>VLOOKUP($B36,'LGE Gas Proposed Depr Rates'!$A$16:$R$127,18,)</f>
        <v>34.5</v>
      </c>
      <c r="J36" s="242" t="str">
        <f>VLOOKUP($B36,'LGE Gas Proposed Depr Rates'!$A$16:$R$127,16,)</f>
        <v>70-R4</v>
      </c>
    </row>
    <row r="37" spans="1:17" ht="18.95" customHeight="1">
      <c r="A37" s="34">
        <f t="shared" si="2"/>
        <v>22</v>
      </c>
      <c r="B37" s="35">
        <v>367</v>
      </c>
      <c r="C37" s="42" t="s">
        <v>609</v>
      </c>
      <c r="D37" s="52">
        <f>'SCH B-2.1 F'!H35</f>
        <v>52930096.874615379</v>
      </c>
      <c r="E37" s="52">
        <f>-'SCH B-3 F'!I36</f>
        <v>11738471.605411351</v>
      </c>
      <c r="F37" s="66">
        <f>VLOOKUP($B37,'LGE Gas Proposed Depr Rates'!$A$16:$R$127,8,)/100</f>
        <v>2.052673397134315E-2</v>
      </c>
      <c r="G37" s="52">
        <f t="shared" si="4"/>
        <v>1086482.0176226513</v>
      </c>
      <c r="H37" s="431">
        <f>VLOOKUP($B37,'LGE Gas Proposed Depr Rates'!$A$16:$R$127,6,)</f>
        <v>-0.35</v>
      </c>
      <c r="I37" s="52">
        <f>VLOOKUP($B37,'LGE Gas Proposed Depr Rates'!$A$16:$R$127,18,)</f>
        <v>55</v>
      </c>
      <c r="J37" s="242" t="str">
        <f>VLOOKUP($B37,'LGE Gas Proposed Depr Rates'!$A$16:$R$127,16,)</f>
        <v>65-R2.5</v>
      </c>
    </row>
    <row r="38" spans="1:17" ht="18.95" customHeight="1">
      <c r="A38" s="34">
        <f t="shared" si="2"/>
        <v>23</v>
      </c>
      <c r="B38" s="35">
        <v>372</v>
      </c>
      <c r="C38" s="42" t="s">
        <v>611</v>
      </c>
      <c r="D38" s="53">
        <f>'SCH B-2.1 F'!H36</f>
        <v>0</v>
      </c>
      <c r="E38" s="53">
        <f>-'SCH B-3 F'!I37</f>
        <v>0</v>
      </c>
      <c r="F38" s="240"/>
      <c r="G38" s="53">
        <f t="shared" si="4"/>
        <v>0</v>
      </c>
      <c r="H38" s="248"/>
      <c r="I38" s="241"/>
      <c r="J38" s="242"/>
    </row>
    <row r="39" spans="1:17" ht="18.95" customHeight="1">
      <c r="A39" s="34">
        <f>A38+1</f>
        <v>24</v>
      </c>
      <c r="B39" s="35" t="s">
        <v>117</v>
      </c>
      <c r="C39" s="42" t="s">
        <v>612</v>
      </c>
      <c r="D39" s="50">
        <f>SUM(D36:D38)</f>
        <v>53150755.924615376</v>
      </c>
      <c r="E39" s="50">
        <f>SUM(E36:E38)</f>
        <v>11949641.067478031</v>
      </c>
      <c r="F39" s="62"/>
      <c r="G39" s="50">
        <f t="shared" ref="G39" si="5">SUM(G36:G38)</f>
        <v>1086777.0176226513</v>
      </c>
      <c r="H39" s="248"/>
      <c r="I39" s="50"/>
      <c r="J39" s="242"/>
    </row>
    <row r="40" spans="1:17" ht="18.95" customHeight="1">
      <c r="A40" s="34"/>
      <c r="B40" s="35"/>
      <c r="C40" s="42"/>
      <c r="D40" s="50"/>
      <c r="E40" s="50"/>
      <c r="F40" s="62"/>
      <c r="G40" s="50"/>
      <c r="H40" s="248"/>
      <c r="I40" s="50"/>
      <c r="J40" s="242"/>
      <c r="M40" s="67"/>
      <c r="N40" s="67"/>
      <c r="O40" s="67"/>
      <c r="P40" s="67"/>
      <c r="Q40" s="68"/>
    </row>
    <row r="41" spans="1:17" ht="18.95" customHeight="1">
      <c r="A41" s="34">
        <f>A39+1</f>
        <v>25</v>
      </c>
      <c r="C41" s="54" t="s">
        <v>546</v>
      </c>
      <c r="D41" s="50"/>
      <c r="E41" s="50"/>
      <c r="F41" s="62"/>
      <c r="G41" s="50"/>
      <c r="H41" s="248"/>
      <c r="I41" s="50"/>
      <c r="J41" s="242"/>
    </row>
    <row r="42" spans="1:17" ht="18.95" customHeight="1">
      <c r="A42" s="34">
        <f t="shared" si="2"/>
        <v>26</v>
      </c>
      <c r="B42" s="35">
        <v>374</v>
      </c>
      <c r="C42" s="42" t="s">
        <v>43</v>
      </c>
      <c r="D42" s="52">
        <f>'SCH B-2.1 F'!H40</f>
        <v>134496.91000000003</v>
      </c>
      <c r="E42" s="52">
        <f>-'SCH B-3 F'!I41</f>
        <v>77439.690000000017</v>
      </c>
      <c r="F42" s="66">
        <v>0</v>
      </c>
      <c r="G42" s="52">
        <f t="shared" ref="G42:G46" si="6">D42*F42</f>
        <v>0</v>
      </c>
      <c r="H42" s="431">
        <f>VLOOKUP($B42,'LGE Gas Proposed Depr Rates'!$A$16:$R$127,6,)</f>
        <v>0</v>
      </c>
      <c r="I42" s="52" t="str">
        <f>VLOOKUP($B42,'LGE Gas Proposed Depr Rates'!$A$16:$R$127,18,)</f>
        <v xml:space="preserve">             -</v>
      </c>
      <c r="J42" s="242" t="str">
        <f>VLOOKUP($B42,'LGE Gas Proposed Depr Rates'!$A$16:$R$127,16,)</f>
        <v>70-S3</v>
      </c>
    </row>
    <row r="43" spans="1:17" ht="18.95" customHeight="1">
      <c r="A43" s="34">
        <f t="shared" si="2"/>
        <v>27</v>
      </c>
      <c r="B43" s="35">
        <v>375</v>
      </c>
      <c r="C43" s="42" t="s">
        <v>42</v>
      </c>
      <c r="D43" s="52">
        <f>'SCH B-2.1 F'!H41</f>
        <v>1155812.43</v>
      </c>
      <c r="E43" s="52">
        <f>-'SCH B-3 F'!I42</f>
        <v>399755.85730669997</v>
      </c>
      <c r="F43" s="66">
        <f>VLOOKUP($B43,'LGE Gas Proposed Depr Rates'!$A$16:$R$127,8,)/100</f>
        <v>3.1466581933650935E-2</v>
      </c>
      <c r="G43" s="52">
        <f t="shared" si="6"/>
        <v>36369.466528527184</v>
      </c>
      <c r="H43" s="431">
        <f>VLOOKUP($B43,'LGE Gas Proposed Depr Rates'!$A$16:$R$127,6,)</f>
        <v>-0.15</v>
      </c>
      <c r="I43" s="52" t="str">
        <f>VLOOKUP($B43,'LGE Gas Proposed Depr Rates'!$A$16:$R$127,18,)</f>
        <v>21.3-39.9</v>
      </c>
      <c r="J43" s="242" t="str">
        <f>VLOOKUP($B43,'LGE Gas Proposed Depr Rates'!$A$16:$R$127,16,)</f>
        <v>40-S1, 50-R3</v>
      </c>
    </row>
    <row r="44" spans="1:17" ht="18.95" customHeight="1">
      <c r="A44" s="34">
        <f t="shared" si="2"/>
        <v>28</v>
      </c>
      <c r="B44" s="35">
        <v>376</v>
      </c>
      <c r="C44" s="42" t="s">
        <v>609</v>
      </c>
      <c r="D44" s="52">
        <f>'SCH B-2.1 F'!H42</f>
        <v>427054945.48230714</v>
      </c>
      <c r="E44" s="52">
        <f>-'SCH B-3 F'!I43</f>
        <v>132991681.83634464</v>
      </c>
      <c r="F44" s="66">
        <f>VLOOKUP($B44,'LGE Gas Proposed Depr Rates'!$A$16:$R$127,8,)/100</f>
        <v>1.9932384582108758E-2</v>
      </c>
      <c r="G44" s="52">
        <f t="shared" si="6"/>
        <v>8512223.4110448342</v>
      </c>
      <c r="H44" s="431">
        <f>VLOOKUP($B44,'LGE Gas Proposed Depr Rates'!$A$16:$R$127,6,)</f>
        <v>-0.3</v>
      </c>
      <c r="I44" s="52">
        <f>VLOOKUP($B44,'LGE Gas Proposed Depr Rates'!$A$16:$R$127,18,)</f>
        <v>49</v>
      </c>
      <c r="J44" s="242" t="str">
        <f>VLOOKUP($B44,'LGE Gas Proposed Depr Rates'!$A$16:$R$127,16,)</f>
        <v>63-R2.5</v>
      </c>
    </row>
    <row r="45" spans="1:17" ht="18.95" customHeight="1">
      <c r="A45" s="34">
        <f t="shared" si="2"/>
        <v>29</v>
      </c>
      <c r="B45" s="35">
        <v>377</v>
      </c>
      <c r="C45" s="42" t="s">
        <v>602</v>
      </c>
      <c r="D45" s="52">
        <f>'SCH B-2.1 F'!H43</f>
        <v>0</v>
      </c>
      <c r="E45" s="52">
        <f>-'SCH B-3 F'!I44</f>
        <v>0</v>
      </c>
      <c r="F45" s="66"/>
      <c r="G45" s="52">
        <f t="shared" si="6"/>
        <v>0</v>
      </c>
      <c r="H45" s="431"/>
      <c r="I45" s="52"/>
      <c r="J45" s="242"/>
    </row>
    <row r="46" spans="1:17" ht="18.95" customHeight="1">
      <c r="A46" s="34">
        <f t="shared" si="2"/>
        <v>30</v>
      </c>
      <c r="B46" s="35">
        <v>378</v>
      </c>
      <c r="C46" s="42" t="s">
        <v>613</v>
      </c>
      <c r="D46" s="52">
        <f>'SCH B-2.1 F'!H44</f>
        <v>23937001.877692293</v>
      </c>
      <c r="E46" s="52">
        <f>-'SCH B-3 F'!I45</f>
        <v>2937678.0951987132</v>
      </c>
      <c r="F46" s="66">
        <f>VLOOKUP($B46,'LGE Gas Proposed Depr Rates'!$A$16:$R$127,8,)/100</f>
        <v>2.7748721963270846E-2</v>
      </c>
      <c r="G46" s="52">
        <f t="shared" si="6"/>
        <v>664221.20973837562</v>
      </c>
      <c r="H46" s="431">
        <f>VLOOKUP($B46,'LGE Gas Proposed Depr Rates'!$A$16:$R$127,6,)</f>
        <v>-0.1</v>
      </c>
      <c r="I46" s="52">
        <f>VLOOKUP($B46,'LGE Gas Proposed Depr Rates'!$A$16:$R$127,18,)</f>
        <v>35.4</v>
      </c>
      <c r="J46" s="242" t="str">
        <f>VLOOKUP($B46,'LGE Gas Proposed Depr Rates'!$A$16:$R$127,16,)</f>
        <v>43-S0</v>
      </c>
    </row>
    <row r="47" spans="1:17" ht="18.95" customHeight="1">
      <c r="A47" s="34">
        <f t="shared" si="2"/>
        <v>31</v>
      </c>
      <c r="B47" s="35">
        <v>379</v>
      </c>
      <c r="C47" s="42" t="s">
        <v>614</v>
      </c>
      <c r="D47" s="52">
        <f>'SCH B-2.1 F'!H56</f>
        <v>12352332.667692207</v>
      </c>
      <c r="E47" s="52">
        <f>-'SCH B-3 F'!I58</f>
        <v>1605053.5894670284</v>
      </c>
      <c r="F47" s="66">
        <f>VLOOKUP($B47,'LGE Gas Proposed Depr Rates'!$A$16:$R$127,8,)/100</f>
        <v>3.6328574462883033E-2</v>
      </c>
      <c r="G47" s="52">
        <f t="shared" ref="G47:G53" si="7">D47*F47</f>
        <v>448742.63710855896</v>
      </c>
      <c r="H47" s="431">
        <f>VLOOKUP($B47,'LGE Gas Proposed Depr Rates'!$A$16:$R$127,6,)</f>
        <v>-0.25</v>
      </c>
      <c r="I47" s="52">
        <f>VLOOKUP($B47,'LGE Gas Proposed Depr Rates'!$A$16:$R$127,18,)</f>
        <v>29.8</v>
      </c>
      <c r="J47" s="242" t="str">
        <f>VLOOKUP($B47,'LGE Gas Proposed Depr Rates'!$A$16:$R$127,16,)</f>
        <v>38-S0</v>
      </c>
    </row>
    <row r="48" spans="1:17" ht="18.95" customHeight="1">
      <c r="A48" s="34">
        <f t="shared" si="2"/>
        <v>32</v>
      </c>
      <c r="B48" s="35">
        <v>380</v>
      </c>
      <c r="C48" s="42" t="s">
        <v>417</v>
      </c>
      <c r="D48" s="52">
        <f>'SCH B-2.1 F'!H57</f>
        <v>374861863.52692294</v>
      </c>
      <c r="E48" s="52">
        <f>-'SCH B-3 F'!I59</f>
        <v>111944104.56300077</v>
      </c>
      <c r="F48" s="66">
        <f>VLOOKUP($B48,'LGE Gas Proposed Depr Rates'!$A$16:$R$127,8,)/100</f>
        <v>3.2773181910172283E-2</v>
      </c>
      <c r="G48" s="52">
        <f t="shared" si="7"/>
        <v>12285416.044554023</v>
      </c>
      <c r="H48" s="431">
        <f>VLOOKUP($B48,'LGE Gas Proposed Depr Rates'!$A$16:$R$127,6,)</f>
        <v>-0.45</v>
      </c>
      <c r="I48" s="52">
        <f>VLOOKUP($B48,'LGE Gas Proposed Depr Rates'!$A$16:$R$127,18,)</f>
        <v>35.5</v>
      </c>
      <c r="J48" s="242" t="str">
        <f>VLOOKUP($B48,'LGE Gas Proposed Depr Rates'!$A$16:$R$127,16,)</f>
        <v>42-R1.5</v>
      </c>
    </row>
    <row r="49" spans="1:17" ht="18.95" customHeight="1">
      <c r="A49" s="34">
        <f t="shared" si="2"/>
        <v>33</v>
      </c>
      <c r="B49" s="35">
        <v>381</v>
      </c>
      <c r="C49" s="42" t="s">
        <v>418</v>
      </c>
      <c r="D49" s="52">
        <f>'SCH B-2.1 F'!H58</f>
        <v>57176384.306923017</v>
      </c>
      <c r="E49" s="52">
        <f>-'SCH B-3 F'!I60</f>
        <v>15760975.678712064</v>
      </c>
      <c r="F49" s="66">
        <f>VLOOKUP($B49,'LGE Gas Proposed Depr Rates'!$A$16:$R$127,8,)/100</f>
        <v>3.8295628059696982E-2</v>
      </c>
      <c r="G49" s="52">
        <f t="shared" si="7"/>
        <v>2189605.5472162194</v>
      </c>
      <c r="H49" s="431">
        <f>VLOOKUP($B49,'LGE Gas Proposed Depr Rates'!$A$16:$R$127,6,)</f>
        <v>-0.05</v>
      </c>
      <c r="I49" s="52">
        <f>VLOOKUP($B49,'LGE Gas Proposed Depr Rates'!$A$16:$R$127,18,)</f>
        <v>20.7</v>
      </c>
      <c r="J49" s="242" t="str">
        <f>VLOOKUP($B49,'LGE Gas Proposed Depr Rates'!$A$16:$R$127,16,)</f>
        <v>30-R2</v>
      </c>
    </row>
    <row r="50" spans="1:17" ht="18.95" customHeight="1">
      <c r="A50" s="34">
        <f t="shared" si="2"/>
        <v>34</v>
      </c>
      <c r="B50" s="35">
        <v>383</v>
      </c>
      <c r="C50" s="42" t="s">
        <v>615</v>
      </c>
      <c r="D50" s="52">
        <f>'SCH B-2.1 F'!H59</f>
        <v>25550379.959999993</v>
      </c>
      <c r="E50" s="52">
        <f>-'SCH B-3 F'!I61</f>
        <v>5646485.5953399986</v>
      </c>
      <c r="F50" s="66">
        <f>VLOOKUP($B50,'LGE Gas Proposed Depr Rates'!$A$16:$R$127,8,)/100</f>
        <v>3.7672629585427109E-2</v>
      </c>
      <c r="G50" s="52">
        <f t="shared" si="7"/>
        <v>962549.99999999965</v>
      </c>
      <c r="H50" s="431">
        <f>VLOOKUP($B50,'LGE Gas Proposed Depr Rates'!$A$16:$R$127,6,)</f>
        <v>-0.1</v>
      </c>
      <c r="I50" s="52">
        <f>VLOOKUP($B50,'LGE Gas Proposed Depr Rates'!$A$16:$R$127,18,)</f>
        <v>25.5</v>
      </c>
      <c r="J50" s="242" t="str">
        <f>VLOOKUP($B50,'LGE Gas Proposed Depr Rates'!$A$16:$R$127,16,)</f>
        <v>32-S1.5</v>
      </c>
    </row>
    <row r="51" spans="1:17" ht="18.95" customHeight="1">
      <c r="A51" s="34">
        <f t="shared" si="2"/>
        <v>35</v>
      </c>
      <c r="B51" s="35">
        <v>385</v>
      </c>
      <c r="C51" s="42" t="s">
        <v>616</v>
      </c>
      <c r="D51" s="52">
        <f>'SCH B-2.1 F'!H60</f>
        <v>2260538.1176923015</v>
      </c>
      <c r="E51" s="52">
        <f>-'SCH B-3 F'!I62</f>
        <v>154611.06187824244</v>
      </c>
      <c r="F51" s="66">
        <f>VLOOKUP($B51,'LGE Gas Proposed Depr Rates'!$A$16:$R$127,8,)/100</f>
        <v>2.3085563929019746E-2</v>
      </c>
      <c r="G51" s="52">
        <f t="shared" si="7"/>
        <v>52185.797229971591</v>
      </c>
      <c r="H51" s="431">
        <f>VLOOKUP($B51,'LGE Gas Proposed Depr Rates'!$A$16:$R$127,6,)</f>
        <v>-0.05</v>
      </c>
      <c r="I51" s="52">
        <f>VLOOKUP($B51,'LGE Gas Proposed Depr Rates'!$A$16:$R$127,18,)</f>
        <v>36.9</v>
      </c>
      <c r="J51" s="242" t="str">
        <f>VLOOKUP($B51,'LGE Gas Proposed Depr Rates'!$A$16:$R$127,16,)</f>
        <v>45-R2.5</v>
      </c>
      <c r="M51" s="67"/>
      <c r="N51" s="67"/>
      <c r="O51" s="67"/>
      <c r="P51" s="67"/>
      <c r="Q51" s="68"/>
    </row>
    <row r="52" spans="1:17" ht="18.95" customHeight="1">
      <c r="A52" s="34">
        <f t="shared" si="2"/>
        <v>36</v>
      </c>
      <c r="B52" s="35">
        <v>387</v>
      </c>
      <c r="C52" s="42" t="s">
        <v>605</v>
      </c>
      <c r="D52" s="52">
        <f>'SCH B-2.1 F'!H61</f>
        <v>1928759.3623076924</v>
      </c>
      <c r="E52" s="52">
        <f>-'SCH B-3 F'!I63</f>
        <v>47021.718477441354</v>
      </c>
      <c r="F52" s="66">
        <f>VLOOKUP($B52,'LGE Gas Proposed Depr Rates'!$A$16:$R$127,8,)/100</f>
        <v>1.944735850481508E-2</v>
      </c>
      <c r="G52" s="52">
        <f t="shared" si="7"/>
        <v>37509.274788316216</v>
      </c>
      <c r="H52" s="431">
        <f>VLOOKUP($B52,'LGE Gas Proposed Depr Rates'!$A$16:$R$127,6,)</f>
        <v>0</v>
      </c>
      <c r="I52" s="52">
        <f>VLOOKUP($B52,'LGE Gas Proposed Depr Rates'!$A$16:$R$127,18,)</f>
        <v>25.2</v>
      </c>
      <c r="J52" s="242" t="str">
        <f>VLOOKUP($B52,'LGE Gas Proposed Depr Rates'!$A$16:$R$127,16,)</f>
        <v>40-R2.5</v>
      </c>
    </row>
    <row r="53" spans="1:17" ht="18.95" customHeight="1">
      <c r="A53" s="34">
        <f t="shared" si="2"/>
        <v>37</v>
      </c>
      <c r="B53" s="35">
        <v>388</v>
      </c>
      <c r="C53" s="42" t="s">
        <v>617</v>
      </c>
      <c r="D53" s="53">
        <f>'SCH B-2.1 F'!H62</f>
        <v>0</v>
      </c>
      <c r="E53" s="53">
        <f>-'SCH B-3 F'!I64</f>
        <v>0</v>
      </c>
      <c r="F53" s="240"/>
      <c r="G53" s="53">
        <f t="shared" si="7"/>
        <v>0</v>
      </c>
      <c r="H53" s="431"/>
      <c r="I53" s="241"/>
      <c r="J53" s="242"/>
    </row>
    <row r="54" spans="1:17" ht="18.95" customHeight="1">
      <c r="A54" s="34">
        <f t="shared" si="2"/>
        <v>38</v>
      </c>
      <c r="B54" s="35"/>
      <c r="C54" s="42" t="s">
        <v>618</v>
      </c>
      <c r="D54" s="50">
        <f>SUM(D42:D46,D47:D53)</f>
        <v>926412514.64153755</v>
      </c>
      <c r="E54" s="50">
        <f>SUM(E42:E46,E47:E53)</f>
        <v>271564807.68572563</v>
      </c>
      <c r="F54" s="62"/>
      <c r="G54" s="50">
        <f>SUM(G42:G46,G47:G53)</f>
        <v>25188823.388208825</v>
      </c>
      <c r="H54" s="431"/>
      <c r="I54" s="50"/>
      <c r="J54" s="242"/>
    </row>
    <row r="55" spans="1:17" ht="18.95" customHeight="1">
      <c r="A55" s="34"/>
      <c r="D55" s="52"/>
      <c r="E55" s="52"/>
      <c r="F55" s="66"/>
      <c r="G55" s="52"/>
      <c r="H55" s="431"/>
      <c r="I55" s="52"/>
      <c r="J55" s="242"/>
    </row>
    <row r="56" spans="1:17" s="32" customFormat="1" ht="20.100000000000001" customHeight="1">
      <c r="A56" s="494" t="str">
        <f>$A$1</f>
        <v>LOUISVILLE GAS AND ELECTRIC COMPANY</v>
      </c>
      <c r="B56" s="494"/>
      <c r="C56" s="494"/>
      <c r="D56" s="494"/>
      <c r="E56" s="494"/>
      <c r="F56" s="494"/>
      <c r="G56" s="494"/>
      <c r="H56" s="494"/>
      <c r="I56" s="494"/>
      <c r="J56" s="494"/>
    </row>
    <row r="57" spans="1:17" s="32" customFormat="1" ht="20.100000000000001" customHeight="1">
      <c r="A57" s="494" t="str">
        <f>$A$2</f>
        <v>CASE NO. 2016-00371 - GAS OPERATIONS</v>
      </c>
      <c r="B57" s="494"/>
      <c r="C57" s="494"/>
      <c r="D57" s="494"/>
      <c r="E57" s="494"/>
      <c r="F57" s="494"/>
      <c r="G57" s="494"/>
      <c r="H57" s="494"/>
      <c r="I57" s="494"/>
      <c r="J57" s="494"/>
    </row>
    <row r="58" spans="1:17" s="32" customFormat="1" ht="20.100000000000001" customHeight="1">
      <c r="A58" s="494" t="str">
        <f>$A$3</f>
        <v>Proposed DeprECIATION ACCRUAL RATES AND ACCUMULATED BALANCES BY ACCOUNT</v>
      </c>
      <c r="B58" s="494"/>
      <c r="C58" s="494"/>
      <c r="D58" s="494"/>
      <c r="E58" s="494"/>
      <c r="F58" s="494"/>
      <c r="G58" s="494"/>
      <c r="H58" s="494"/>
      <c r="I58" s="494"/>
      <c r="J58" s="494"/>
    </row>
    <row r="59" spans="1:17" s="32" customFormat="1" ht="20.100000000000001" customHeight="1">
      <c r="A59" s="493" t="str">
        <f>$A$4</f>
        <v>AS OF JUNE 30, 2018</v>
      </c>
      <c r="B59" s="494"/>
      <c r="C59" s="494"/>
      <c r="D59" s="494"/>
      <c r="E59" s="494"/>
      <c r="F59" s="494"/>
      <c r="G59" s="494"/>
      <c r="H59" s="494"/>
      <c r="I59" s="494"/>
      <c r="J59" s="494"/>
    </row>
    <row r="60" spans="1:17" s="32" customFormat="1" ht="20.100000000000001" customHeight="1">
      <c r="A60" s="183"/>
      <c r="B60" s="183"/>
      <c r="C60" s="183"/>
      <c r="D60" s="183"/>
      <c r="E60" s="183"/>
      <c r="F60" s="183"/>
      <c r="G60" s="183"/>
      <c r="H60" s="183"/>
      <c r="I60" s="183"/>
      <c r="J60" s="183"/>
    </row>
    <row r="61" spans="1:17" s="32" customFormat="1" ht="20.100000000000001" customHeight="1">
      <c r="A61" s="31" t="str">
        <f>$A$6</f>
        <v>DATA:____BASE  PERIOD__X__FORECASTED  PERIOD</v>
      </c>
      <c r="B61" s="31"/>
      <c r="H61" s="38"/>
      <c r="I61" s="38"/>
      <c r="J61" s="38" t="s">
        <v>198</v>
      </c>
    </row>
    <row r="62" spans="1:17" s="32" customFormat="1" ht="20.100000000000001" customHeight="1">
      <c r="A62" s="31" t="str">
        <f>$A$7</f>
        <v>TYPE OF FILING: __X__ ORIGINAL  _____ UPDATED  _____ REVISED</v>
      </c>
      <c r="H62" s="38"/>
      <c r="I62" s="38"/>
      <c r="J62" s="38" t="s">
        <v>1284</v>
      </c>
    </row>
    <row r="63" spans="1:17" s="32" customFormat="1" ht="20.100000000000001" customHeight="1">
      <c r="A63" s="31" t="str">
        <f>$A$8</f>
        <v>WORKPAPER REFERENCE NO(S).:</v>
      </c>
      <c r="B63" s="31"/>
      <c r="F63" s="31"/>
      <c r="G63" s="31"/>
      <c r="H63" s="39"/>
      <c r="I63" s="39"/>
      <c r="J63" s="39" t="str">
        <f>$J$8</f>
        <v>WITNESS:   C. M. GARRETT</v>
      </c>
    </row>
    <row r="64" spans="1:17" s="32" customFormat="1" ht="20.100000000000001" customHeight="1"/>
    <row r="65" spans="1:17" s="32" customFormat="1" ht="20.100000000000001" customHeight="1">
      <c r="A65" s="59"/>
      <c r="B65" s="59"/>
      <c r="C65" s="59"/>
      <c r="D65" s="496" t="s">
        <v>114</v>
      </c>
      <c r="E65" s="496"/>
      <c r="F65" s="59"/>
      <c r="G65" s="59"/>
      <c r="H65" s="59"/>
      <c r="I65" s="59"/>
      <c r="J65" s="59"/>
    </row>
    <row r="66" spans="1:17" ht="48" customHeight="1">
      <c r="A66" s="35" t="s">
        <v>29</v>
      </c>
      <c r="B66" s="35" t="s">
        <v>32</v>
      </c>
      <c r="C66" s="42" t="s">
        <v>200</v>
      </c>
      <c r="D66" s="35" t="s">
        <v>201</v>
      </c>
      <c r="E66" s="35" t="s">
        <v>202</v>
      </c>
      <c r="F66" s="35" t="s">
        <v>203</v>
      </c>
      <c r="G66" s="35" t="s">
        <v>204</v>
      </c>
      <c r="H66" s="35" t="s">
        <v>206</v>
      </c>
      <c r="I66" s="35" t="s">
        <v>733</v>
      </c>
      <c r="J66" s="35" t="s">
        <v>207</v>
      </c>
    </row>
    <row r="67" spans="1:17" ht="18.95" customHeight="1">
      <c r="A67" s="61" t="s">
        <v>176</v>
      </c>
      <c r="B67" s="61" t="s">
        <v>177</v>
      </c>
      <c r="C67" s="61" t="s">
        <v>180</v>
      </c>
      <c r="D67" s="61" t="s">
        <v>188</v>
      </c>
      <c r="E67" s="61" t="s">
        <v>189</v>
      </c>
      <c r="F67" s="61" t="s">
        <v>190</v>
      </c>
      <c r="G67" s="61" t="s">
        <v>205</v>
      </c>
      <c r="H67" s="61" t="s">
        <v>192</v>
      </c>
      <c r="I67" s="61" t="s">
        <v>193</v>
      </c>
      <c r="J67" s="61" t="s">
        <v>208</v>
      </c>
    </row>
    <row r="68" spans="1:17" ht="23.1" customHeight="1">
      <c r="A68" s="37"/>
      <c r="B68" s="37"/>
      <c r="C68" s="64"/>
      <c r="D68" s="58" t="s">
        <v>40</v>
      </c>
      <c r="E68" s="58" t="s">
        <v>40</v>
      </c>
      <c r="F68" s="58"/>
      <c r="G68" s="58" t="s">
        <v>40</v>
      </c>
      <c r="H68" s="58"/>
      <c r="I68" s="58"/>
      <c r="J68" s="58"/>
    </row>
    <row r="69" spans="1:17" ht="18.95" customHeight="1">
      <c r="A69" s="34">
        <f>A54+1</f>
        <v>39</v>
      </c>
      <c r="B69" s="129" t="s">
        <v>545</v>
      </c>
      <c r="C69" s="54" t="s">
        <v>563</v>
      </c>
      <c r="D69" s="52"/>
      <c r="E69" s="52"/>
      <c r="F69" s="66"/>
      <c r="G69" s="52"/>
      <c r="H69" s="431"/>
      <c r="I69" s="52"/>
      <c r="J69" s="242"/>
    </row>
    <row r="70" spans="1:17" ht="18.95" customHeight="1">
      <c r="A70" s="34">
        <f t="shared" ref="A70:A80" si="8">A69+1</f>
        <v>40</v>
      </c>
      <c r="B70" s="35">
        <v>389</v>
      </c>
      <c r="C70" s="42" t="s">
        <v>43</v>
      </c>
      <c r="D70" s="52">
        <f>'SCH B-2.1 F'!H66</f>
        <v>0</v>
      </c>
      <c r="E70" s="52">
        <f>-'SCH B-3 F'!I68</f>
        <v>0</v>
      </c>
      <c r="F70" s="66"/>
      <c r="G70" s="52">
        <f t="shared" ref="G70:G79" si="9">D70*F70</f>
        <v>0</v>
      </c>
      <c r="H70" s="431"/>
      <c r="I70" s="52"/>
      <c r="J70" s="242"/>
    </row>
    <row r="71" spans="1:17" ht="18.95" customHeight="1">
      <c r="A71" s="34">
        <f t="shared" si="8"/>
        <v>41</v>
      </c>
      <c r="B71" s="35">
        <v>390</v>
      </c>
      <c r="C71" s="42" t="s">
        <v>42</v>
      </c>
      <c r="D71" s="52">
        <f>'SCH B-2.1 F'!H67</f>
        <v>0</v>
      </c>
      <c r="E71" s="52">
        <f>-'SCH B-3 F'!I69</f>
        <v>0</v>
      </c>
      <c r="F71" s="66"/>
      <c r="G71" s="52">
        <f t="shared" si="9"/>
        <v>0</v>
      </c>
      <c r="H71" s="431"/>
      <c r="I71" s="52"/>
      <c r="J71" s="242"/>
    </row>
    <row r="72" spans="1:17" ht="18.95" customHeight="1">
      <c r="A72" s="34">
        <f t="shared" si="8"/>
        <v>42</v>
      </c>
      <c r="B72" s="35">
        <v>391</v>
      </c>
      <c r="C72" s="42" t="s">
        <v>45</v>
      </c>
      <c r="D72" s="52">
        <f>'SCH B-2.1 F'!H68</f>
        <v>0</v>
      </c>
      <c r="E72" s="52">
        <f>-'SCH B-3 F'!I70</f>
        <v>0</v>
      </c>
      <c r="F72" s="66"/>
      <c r="G72" s="52">
        <f t="shared" si="9"/>
        <v>0</v>
      </c>
      <c r="H72" s="431"/>
      <c r="I72" s="52"/>
      <c r="J72" s="242"/>
    </row>
    <row r="73" spans="1:17" ht="18.95" customHeight="1">
      <c r="A73" s="34">
        <f t="shared" si="8"/>
        <v>43</v>
      </c>
      <c r="B73" s="35">
        <v>392</v>
      </c>
      <c r="C73" s="42" t="s">
        <v>44</v>
      </c>
      <c r="D73" s="52">
        <f>'SCH B-2.1 F'!H69</f>
        <v>2457097.8938461449</v>
      </c>
      <c r="E73" s="52">
        <f>-'SCH B-3 F'!I71</f>
        <v>946327.96579907462</v>
      </c>
      <c r="F73" s="66">
        <f>VLOOKUP($B73,'LGE Gas Proposed Depr Rates'!$A$16:$R$127,8,)/100</f>
        <v>5.2982244987904471E-2</v>
      </c>
      <c r="G73" s="52">
        <f t="shared" si="9"/>
        <v>130182.56257102055</v>
      </c>
      <c r="H73" s="431" t="str">
        <f>VLOOKUP($B73,'LGE Gas Proposed Depr Rates'!$A$16:$R$127,6,)</f>
        <v>0%</v>
      </c>
      <c r="I73" s="52" t="str">
        <f>VLOOKUP($B73,'LGE Gas Proposed Depr Rates'!$A$16:$R$127,18,)</f>
        <v>5-11.5</v>
      </c>
      <c r="J73" s="242" t="str">
        <f>VLOOKUP($B73,'LGE Gas Proposed Depr Rates'!$A$16:$R$127,16,)</f>
        <v>10-S2, 11-L3, 18-S1.5</v>
      </c>
    </row>
    <row r="74" spans="1:17" ht="18.95" customHeight="1">
      <c r="A74" s="34">
        <f t="shared" si="8"/>
        <v>44</v>
      </c>
      <c r="B74" s="35">
        <v>393</v>
      </c>
      <c r="C74" s="42" t="s">
        <v>424</v>
      </c>
      <c r="D74" s="52">
        <f>'SCH B-2.1 F'!H70</f>
        <v>0</v>
      </c>
      <c r="E74" s="52">
        <f>-'SCH B-3 F'!I72</f>
        <v>0</v>
      </c>
      <c r="F74" s="66"/>
      <c r="G74" s="52">
        <f t="shared" si="9"/>
        <v>0</v>
      </c>
      <c r="H74" s="431"/>
      <c r="I74" s="52"/>
      <c r="J74" s="242"/>
    </row>
    <row r="75" spans="1:17" ht="18.95" customHeight="1">
      <c r="A75" s="34">
        <f t="shared" si="8"/>
        <v>45</v>
      </c>
      <c r="B75" s="35">
        <v>394</v>
      </c>
      <c r="C75" s="42" t="s">
        <v>426</v>
      </c>
      <c r="D75" s="52">
        <f>'SCH B-2.1 F'!H71</f>
        <v>6940429.6976923067</v>
      </c>
      <c r="E75" s="52">
        <f>-'SCH B-3 F'!I73</f>
        <v>2567643.7189523075</v>
      </c>
      <c r="F75" s="66">
        <f>VLOOKUP($B75,'LGE Gas Proposed Depr Rates'!$A$16:$R$127,8,)/100</f>
        <v>4.2592662533947785E-2</v>
      </c>
      <c r="G75" s="52">
        <f t="shared" si="9"/>
        <v>295611.37995439768</v>
      </c>
      <c r="H75" s="431" t="str">
        <f>VLOOKUP($B75,'LGE Gas Proposed Depr Rates'!$A$16:$R$127,6,)</f>
        <v>0%</v>
      </c>
      <c r="I75" s="52">
        <f>VLOOKUP($B75,'LGE Gas Proposed Depr Rates'!$A$16:$R$127,18,)</f>
        <v>14.2</v>
      </c>
      <c r="J75" s="242" t="str">
        <f>VLOOKUP($B75,'LGE Gas Proposed Depr Rates'!$A$16:$R$127,16,)</f>
        <v>25-SQ</v>
      </c>
    </row>
    <row r="76" spans="1:17" ht="18.95" customHeight="1">
      <c r="A76" s="34">
        <f t="shared" si="8"/>
        <v>46</v>
      </c>
      <c r="B76" s="35">
        <v>395</v>
      </c>
      <c r="C76" s="42" t="s">
        <v>428</v>
      </c>
      <c r="D76" s="52">
        <f>'SCH B-2.1 F'!H72</f>
        <v>0</v>
      </c>
      <c r="E76" s="52">
        <f>-'SCH B-3 F'!I74</f>
        <v>0</v>
      </c>
      <c r="F76" s="66"/>
      <c r="G76" s="52">
        <f t="shared" si="9"/>
        <v>0</v>
      </c>
      <c r="H76" s="431"/>
      <c r="I76" s="52"/>
      <c r="J76" s="242"/>
      <c r="M76" s="67"/>
      <c r="N76" s="67"/>
      <c r="O76" s="67"/>
      <c r="P76" s="67"/>
      <c r="Q76" s="68"/>
    </row>
    <row r="77" spans="1:17" ht="18.95" customHeight="1">
      <c r="A77" s="34">
        <f t="shared" si="8"/>
        <v>47</v>
      </c>
      <c r="B77" s="35">
        <v>396</v>
      </c>
      <c r="C77" s="42" t="s">
        <v>430</v>
      </c>
      <c r="D77" s="52">
        <f>'SCH B-2.1 F'!H73</f>
        <v>3771229.42</v>
      </c>
      <c r="E77" s="52">
        <f>-'SCH B-3 F'!I75</f>
        <v>2470849.8064030902</v>
      </c>
      <c r="F77" s="66">
        <f>VLOOKUP($B77,'LGE Gas Proposed Depr Rates'!$A$16:$R$127,8,)/100</f>
        <v>2.3330707729381932E-2</v>
      </c>
      <c r="G77" s="52">
        <f t="shared" si="9"/>
        <v>87985.451378466547</v>
      </c>
      <c r="H77" s="431" t="str">
        <f>VLOOKUP($B77,'LGE Gas Proposed Depr Rates'!$A$16:$R$127,6,)</f>
        <v>0%</v>
      </c>
      <c r="I77" s="52" t="str">
        <f>VLOOKUP($B77,'LGE Gas Proposed Depr Rates'!$A$16:$R$127,18,)</f>
        <v>11.7-16.8</v>
      </c>
      <c r="J77" s="242" t="str">
        <f>VLOOKUP($B77,'LGE Gas Proposed Depr Rates'!$A$16:$R$127,16,)</f>
        <v>14-S2, 20-S0.5</v>
      </c>
    </row>
    <row r="78" spans="1:17" ht="18.95" customHeight="1">
      <c r="A78" s="34">
        <f t="shared" si="8"/>
        <v>48</v>
      </c>
      <c r="B78" s="35">
        <v>397</v>
      </c>
      <c r="C78" s="42" t="s">
        <v>46</v>
      </c>
      <c r="D78" s="52">
        <f>'SCH B-2.1 F'!H74</f>
        <v>0</v>
      </c>
      <c r="E78" s="52">
        <f>-'SCH B-3 F'!I76</f>
        <v>0</v>
      </c>
      <c r="F78" s="66"/>
      <c r="G78" s="52">
        <f t="shared" si="9"/>
        <v>0</v>
      </c>
      <c r="H78" s="431"/>
      <c r="I78" s="52"/>
      <c r="J78" s="242"/>
    </row>
    <row r="79" spans="1:17" ht="18.95" customHeight="1">
      <c r="A79" s="34">
        <f t="shared" si="8"/>
        <v>49</v>
      </c>
      <c r="B79" s="35">
        <v>398</v>
      </c>
      <c r="C79" s="42" t="s">
        <v>433</v>
      </c>
      <c r="D79" s="53">
        <f>'SCH B-2.1 F'!H75</f>
        <v>0</v>
      </c>
      <c r="E79" s="53">
        <f>-'SCH B-3 F'!I77</f>
        <v>0</v>
      </c>
      <c r="F79" s="240"/>
      <c r="G79" s="53">
        <f t="shared" si="9"/>
        <v>0</v>
      </c>
      <c r="H79" s="431"/>
      <c r="I79" s="241"/>
      <c r="J79" s="242"/>
    </row>
    <row r="80" spans="1:17" ht="18.95" customHeight="1">
      <c r="A80" s="34">
        <f t="shared" si="8"/>
        <v>50</v>
      </c>
      <c r="B80" s="35"/>
      <c r="C80" s="42" t="s">
        <v>619</v>
      </c>
      <c r="D80" s="52">
        <f>SUM(D70:D79)</f>
        <v>13168757.011538452</v>
      </c>
      <c r="E80" s="52">
        <f>SUM(E70:E79)</f>
        <v>5984821.4911544723</v>
      </c>
      <c r="F80" s="66"/>
      <c r="G80" s="52">
        <f>SUM(G70:G79)</f>
        <v>513779.3939038848</v>
      </c>
      <c r="H80" s="431"/>
      <c r="I80" s="52"/>
      <c r="J80" s="242"/>
    </row>
    <row r="81" spans="1:17" ht="18.95" customHeight="1">
      <c r="A81" s="34"/>
      <c r="B81" s="35"/>
      <c r="D81" s="52"/>
      <c r="E81" s="52"/>
      <c r="F81" s="66"/>
      <c r="G81" s="52"/>
      <c r="H81" s="431"/>
      <c r="I81" s="52"/>
      <c r="J81" s="242"/>
    </row>
    <row r="82" spans="1:17" ht="18.95" customHeight="1">
      <c r="A82" s="34">
        <f>A80+1</f>
        <v>51</v>
      </c>
      <c r="B82" s="129" t="s">
        <v>452</v>
      </c>
      <c r="C82" s="54" t="s">
        <v>502</v>
      </c>
      <c r="D82" s="52"/>
      <c r="E82" s="52"/>
      <c r="F82" s="66"/>
      <c r="G82" s="52"/>
      <c r="H82" s="431"/>
      <c r="I82" s="52"/>
      <c r="J82" s="242"/>
    </row>
    <row r="83" spans="1:17" ht="18.95" customHeight="1">
      <c r="A83" s="34">
        <f>A82+1</f>
        <v>52</v>
      </c>
      <c r="B83" s="35">
        <v>301</v>
      </c>
      <c r="C83" s="42" t="s">
        <v>412</v>
      </c>
      <c r="D83" s="52">
        <f>'SCH B-2.1 F'!H79</f>
        <v>25134.686999999965</v>
      </c>
      <c r="E83" s="52">
        <f>-'SCH B-3 F'!I81</f>
        <v>0</v>
      </c>
      <c r="F83" s="66"/>
      <c r="G83" s="52">
        <f t="shared" ref="G83:G92" si="10">D83*F83</f>
        <v>0</v>
      </c>
      <c r="H83" s="431"/>
      <c r="I83" s="52"/>
      <c r="J83" s="242"/>
    </row>
    <row r="84" spans="1:17" ht="18.95" customHeight="1">
      <c r="A84" s="34">
        <f t="shared" ref="A84:A97" si="11">A83+1</f>
        <v>53</v>
      </c>
      <c r="B84" s="35">
        <v>302</v>
      </c>
      <c r="C84" s="42" t="s">
        <v>414</v>
      </c>
      <c r="D84" s="52">
        <f>'SCH B-2.1 F'!H80</f>
        <v>0</v>
      </c>
      <c r="E84" s="52">
        <f>-'SCH B-3 F'!I82</f>
        <v>0</v>
      </c>
      <c r="F84" s="66"/>
      <c r="G84" s="52">
        <f t="shared" si="10"/>
        <v>0</v>
      </c>
      <c r="H84" s="431"/>
      <c r="I84" s="52"/>
      <c r="J84" s="242"/>
    </row>
    <row r="85" spans="1:17" ht="18.95" customHeight="1">
      <c r="A85" s="34">
        <f t="shared" si="11"/>
        <v>54</v>
      </c>
      <c r="B85" s="35">
        <v>303</v>
      </c>
      <c r="C85" s="42" t="s">
        <v>416</v>
      </c>
      <c r="D85" s="52">
        <f>'SCH B-2.1 F'!H81</f>
        <v>33940806.507692315</v>
      </c>
      <c r="E85" s="52">
        <f>-'SCH B-3 F'!I83</f>
        <v>17564138.870916892</v>
      </c>
      <c r="F85" s="66">
        <f>VLOOKUP($B85,'LGE Common Proposed Depr Rates'!$A$12:$Q$65,7,)/100</f>
        <v>0.1618</v>
      </c>
      <c r="G85" s="52">
        <f t="shared" si="10"/>
        <v>5491622.4929446168</v>
      </c>
      <c r="H85" s="431">
        <f>VLOOKUP($B85,'LGE Common Proposed Depr Rates'!$A$12:$Q$65,5,)</f>
        <v>0</v>
      </c>
      <c r="I85" s="52">
        <f>VLOOKUP($B85,'LGE Common Proposed Depr Rates'!$A$12:$Q$65,17,)</f>
        <v>3.1</v>
      </c>
      <c r="J85" s="242" t="str">
        <f>VLOOKUP($B85,'LGE Common Proposed Depr Rates'!$A$12:$R$65,15,)</f>
        <v>5-SQ, SQUARE</v>
      </c>
    </row>
    <row r="86" spans="1:17" ht="18.95" customHeight="1">
      <c r="A86" s="34">
        <f t="shared" si="11"/>
        <v>55</v>
      </c>
      <c r="B86" s="35">
        <v>389</v>
      </c>
      <c r="C86" s="42" t="s">
        <v>43</v>
      </c>
      <c r="D86" s="52">
        <f>'SCH B-2.1 F'!H82</f>
        <v>529946.79300000018</v>
      </c>
      <c r="E86" s="52">
        <f>-'SCH B-3 F'!I84</f>
        <v>42597.187771499986</v>
      </c>
      <c r="F86" s="66"/>
      <c r="G86" s="52">
        <f t="shared" si="10"/>
        <v>0</v>
      </c>
      <c r="H86" s="431"/>
      <c r="I86" s="52"/>
      <c r="J86" s="242"/>
    </row>
    <row r="87" spans="1:17" ht="18.95" customHeight="1">
      <c r="A87" s="34">
        <f t="shared" si="11"/>
        <v>56</v>
      </c>
      <c r="B87" s="35">
        <v>390</v>
      </c>
      <c r="C87" s="42" t="s">
        <v>42</v>
      </c>
      <c r="D87" s="52">
        <f>'SCH B-2.1 F'!H83</f>
        <v>24357578.8527692</v>
      </c>
      <c r="E87" s="52">
        <f>-'SCH B-3 F'!I85</f>
        <v>11117505.894110747</v>
      </c>
      <c r="F87" s="66">
        <f>VLOOKUP($B87,'LGE Common Proposed Depr Rates'!$A$12:$Q$65,7,)/100</f>
        <v>2.6353579749090375E-2</v>
      </c>
      <c r="G87" s="52">
        <f t="shared" si="10"/>
        <v>641909.3967912104</v>
      </c>
      <c r="H87" s="431" t="str">
        <f>VLOOKUP($B87,'LGE Common Proposed Depr Rates'!$A$12:$Q$65,5,)</f>
        <v>-5%,-15%</v>
      </c>
      <c r="I87" s="52" t="str">
        <f>VLOOKUP($B87,'LGE Common Proposed Depr Rates'!$A$12:$Q$65,17,)</f>
        <v>18.1-37.1</v>
      </c>
      <c r="J87" s="242" t="str">
        <f>VLOOKUP($B87,'LGE Common Proposed Depr Rates'!$A$12:$R$65,15,)</f>
        <v>30-L0.5, 40-S.05, 45-R1, 50-R3, 50-R4</v>
      </c>
    </row>
    <row r="88" spans="1:17" ht="18.95" customHeight="1">
      <c r="A88" s="34">
        <f t="shared" si="11"/>
        <v>57</v>
      </c>
      <c r="B88" s="35">
        <v>391</v>
      </c>
      <c r="C88" s="42" t="s">
        <v>45</v>
      </c>
      <c r="D88" s="52">
        <f>'SCH B-2.1 F'!H84</f>
        <v>13144396.146461533</v>
      </c>
      <c r="E88" s="52">
        <f>-'SCH B-3 F'!I86</f>
        <v>5069210.1260493742</v>
      </c>
      <c r="F88" s="66">
        <f>VLOOKUP($B88,'LGE Common Proposed Depr Rates'!$A$12:$Q$65,7,)/100</f>
        <v>0.15790079140019181</v>
      </c>
      <c r="G88" s="52">
        <f t="shared" si="10"/>
        <v>2075510.5540039076</v>
      </c>
      <c r="H88" s="431">
        <f>VLOOKUP($B88,'LGE Common Proposed Depr Rates'!$A$12:$Q$65,5,)</f>
        <v>0</v>
      </c>
      <c r="I88" s="52" t="str">
        <f>VLOOKUP($B88,'LGE Common Proposed Depr Rates'!$A$12:$Q$65,17,)</f>
        <v>2.8-18</v>
      </c>
      <c r="J88" s="242" t="str">
        <f>VLOOKUP($B88,'LGE Common Proposed Depr Rates'!$A$12:$R$65,15,)</f>
        <v>4-SQ, 5-SQ, 10-SQ-15-SQ, 20-SQ</v>
      </c>
    </row>
    <row r="89" spans="1:17" ht="18.95" customHeight="1">
      <c r="A89" s="34">
        <f t="shared" si="11"/>
        <v>58</v>
      </c>
      <c r="B89" s="35">
        <v>392</v>
      </c>
      <c r="C89" s="42" t="s">
        <v>44</v>
      </c>
      <c r="D89" s="52">
        <f>'SCH B-2.1 F'!H85</f>
        <v>82252.910999999993</v>
      </c>
      <c r="E89" s="52">
        <f>-'SCH B-3 F'!I87</f>
        <v>59529.192507569998</v>
      </c>
      <c r="F89" s="66">
        <f>VLOOKUP($B89,'LGE Common Proposed Depr Rates'!$A$12:$Q$65,7,)/100</f>
        <v>3.6838377472395607E-2</v>
      </c>
      <c r="G89" s="52">
        <f t="shared" si="10"/>
        <v>3030.0637836213605</v>
      </c>
      <c r="H89" s="431">
        <f>VLOOKUP($B89,'LGE Common Proposed Depr Rates'!$A$12:$Q$65,5,)</f>
        <v>0</v>
      </c>
      <c r="I89" s="52" t="str">
        <f>VLOOKUP($B89,'LGE Common Proposed Depr Rates'!$A$12:$Q$65,17,)</f>
        <v>3.3-13.9</v>
      </c>
      <c r="J89" s="242" t="str">
        <f>VLOOKUP($B89,'LGE Common Proposed Depr Rates'!$A$12:$R$65,15,)</f>
        <v>9-S2.5, 12-S0.5,23-L1.5</v>
      </c>
    </row>
    <row r="90" spans="1:17" ht="18.95" customHeight="1">
      <c r="A90" s="34">
        <f t="shared" si="11"/>
        <v>59</v>
      </c>
      <c r="B90" s="35">
        <v>393</v>
      </c>
      <c r="C90" s="42" t="s">
        <v>424</v>
      </c>
      <c r="D90" s="52">
        <f>'SCH B-2.1 F'!H86</f>
        <v>441322.50599999999</v>
      </c>
      <c r="E90" s="52">
        <f>-'SCH B-3 F'!I88</f>
        <v>298447.34107139992</v>
      </c>
      <c r="F90" s="66">
        <f>VLOOKUP($B90,'LGE Common Proposed Depr Rates'!$A$12:$Q$65,7,)/100</f>
        <v>5.1500000000000004E-2</v>
      </c>
      <c r="G90" s="52">
        <f t="shared" si="10"/>
        <v>22728.109059000002</v>
      </c>
      <c r="H90" s="431">
        <f>VLOOKUP($B90,'LGE Common Proposed Depr Rates'!$A$12:$Q$65,5,)</f>
        <v>0</v>
      </c>
      <c r="I90" s="52">
        <f>VLOOKUP($B90,'LGE Common Proposed Depr Rates'!$A$12:$Q$65,17,)</f>
        <v>8.6999999999999993</v>
      </c>
      <c r="J90" s="242" t="str">
        <f>VLOOKUP($B90,'LGE Common Proposed Depr Rates'!$A$12:$R$65,15,)</f>
        <v>25-SQ</v>
      </c>
    </row>
    <row r="91" spans="1:17" ht="18.95" customHeight="1">
      <c r="A91" s="34">
        <f t="shared" si="11"/>
        <v>60</v>
      </c>
      <c r="B91" s="35">
        <v>394</v>
      </c>
      <c r="C91" s="42" t="s">
        <v>426</v>
      </c>
      <c r="D91" s="52">
        <f>'SCH B-2.1 F'!H87</f>
        <v>1226167.8586153849</v>
      </c>
      <c r="E91" s="52">
        <f>-'SCH B-3 F'!I89</f>
        <v>715825.15293738444</v>
      </c>
      <c r="F91" s="66">
        <f>VLOOKUP($B91,'LGE Common Proposed Depr Rates'!$A$12:$Q$65,7,)/100</f>
        <v>4.2500000000000003E-2</v>
      </c>
      <c r="G91" s="52">
        <f t="shared" si="10"/>
        <v>52112.13399115386</v>
      </c>
      <c r="H91" s="431">
        <f>VLOOKUP($B91,'LGE Common Proposed Depr Rates'!$A$12:$Q$65,5,)</f>
        <v>0</v>
      </c>
      <c r="I91" s="52">
        <f>VLOOKUP($B91,'LGE Common Proposed Depr Rates'!$A$12:$Q$65,17,)</f>
        <v>11.7</v>
      </c>
      <c r="J91" s="242" t="str">
        <f>VLOOKUP($B91,'LGE Common Proposed Depr Rates'!$A$12:$R$65,15,)</f>
        <v>25-SQ</v>
      </c>
      <c r="M91" s="67"/>
      <c r="N91" s="67"/>
      <c r="O91" s="67"/>
      <c r="P91" s="67"/>
      <c r="Q91" s="68"/>
    </row>
    <row r="92" spans="1:17" ht="18.95" customHeight="1">
      <c r="A92" s="34">
        <f t="shared" si="11"/>
        <v>61</v>
      </c>
      <c r="B92" s="35">
        <v>395</v>
      </c>
      <c r="C92" s="42" t="s">
        <v>428</v>
      </c>
      <c r="D92" s="52">
        <f>'SCH B-2.1 F'!H88</f>
        <v>0</v>
      </c>
      <c r="E92" s="52">
        <f>-'SCH B-3 F'!I90</f>
        <v>0</v>
      </c>
      <c r="F92" s="66"/>
      <c r="G92" s="52">
        <f t="shared" si="10"/>
        <v>0</v>
      </c>
      <c r="H92" s="431"/>
      <c r="I92" s="52"/>
      <c r="J92" s="52"/>
      <c r="M92" s="67"/>
      <c r="N92" s="67"/>
      <c r="O92" s="67"/>
      <c r="P92" s="67"/>
      <c r="Q92" s="68"/>
    </row>
    <row r="93" spans="1:17" ht="18.95" customHeight="1">
      <c r="A93" s="34">
        <f t="shared" si="11"/>
        <v>62</v>
      </c>
      <c r="B93" s="35">
        <v>396</v>
      </c>
      <c r="C93" s="42" t="s">
        <v>430</v>
      </c>
      <c r="D93" s="52">
        <f>'SCH B-2.1 F'!H100</f>
        <v>102775.86299999997</v>
      </c>
      <c r="E93" s="52">
        <f>-'SCH B-3 F'!I103</f>
        <v>90743.822026346752</v>
      </c>
      <c r="F93" s="66">
        <f>VLOOKUP($B93,'LGE Common Proposed Depr Rates'!$A$12:$Q$70,7,)/100</f>
        <v>3.786897493121394E-3</v>
      </c>
      <c r="G93" s="52">
        <f t="shared" ref="G93:G96" si="12">D93*F93</f>
        <v>389.2016579480877</v>
      </c>
      <c r="H93" s="431">
        <f>VLOOKUP($B93,'LGE Common Proposed Depr Rates'!$A$12:$Q$65,5,)</f>
        <v>0</v>
      </c>
      <c r="I93" s="52" t="str">
        <f>VLOOKUP($B93,'LGE Common Proposed Depr Rates'!$A$12:$Q$65,17,)</f>
        <v>7.6-16</v>
      </c>
      <c r="J93" s="242" t="str">
        <f>VLOOKUP($B93,'LGE Common Proposed Depr Rates'!$A$12:$R$65,15,)</f>
        <v>22-L4, 24-L2.5</v>
      </c>
    </row>
    <row r="94" spans="1:17" ht="18.95" customHeight="1">
      <c r="A94" s="34">
        <f t="shared" si="11"/>
        <v>63</v>
      </c>
      <c r="B94" s="35">
        <v>397</v>
      </c>
      <c r="C94" s="42" t="s">
        <v>46</v>
      </c>
      <c r="D94" s="52">
        <f>'SCH B-2.1 F'!H101</f>
        <v>12822626.2333846</v>
      </c>
      <c r="E94" s="52">
        <f>-'SCH B-3 F'!I104</f>
        <v>9971601.5287041273</v>
      </c>
      <c r="F94" s="66">
        <f>VLOOKUP($B94,'LGE Common Proposed Depr Rates'!$A$12:$Q$70,7,)/100</f>
        <v>1.6878571769150849E-2</v>
      </c>
      <c r="G94" s="52">
        <f t="shared" si="12"/>
        <v>216427.6171491784</v>
      </c>
      <c r="H94" s="431">
        <f>VLOOKUP($B94,'LGE Common Proposed Depr Rates'!$A$12:$Q$70,5,)</f>
        <v>0</v>
      </c>
      <c r="I94" s="52" t="str">
        <f>VLOOKUP($B94,'LGE Common Proposed Depr Rates'!$A$12:$Q$70,17,)</f>
        <v>8.2-20.9</v>
      </c>
      <c r="J94" s="242" t="str">
        <f>VLOOKUP($B94,'LGE Common Proposed Depr Rates'!$A$12:$R$70,15,)</f>
        <v>10-SQ, 22-L2</v>
      </c>
    </row>
    <row r="95" spans="1:17" ht="18.95" customHeight="1">
      <c r="A95" s="34">
        <f t="shared" si="11"/>
        <v>64</v>
      </c>
      <c r="B95" s="35">
        <v>398</v>
      </c>
      <c r="C95" s="42" t="s">
        <v>433</v>
      </c>
      <c r="D95" s="52">
        <f>'SCH B-2.1 F'!H102</f>
        <v>0</v>
      </c>
      <c r="E95" s="52">
        <f>-'SCH B-3 F'!I105</f>
        <v>0</v>
      </c>
      <c r="F95" s="66">
        <v>0</v>
      </c>
      <c r="G95" s="52">
        <f t="shared" si="12"/>
        <v>0</v>
      </c>
      <c r="H95" s="431"/>
      <c r="I95" s="52"/>
      <c r="J95" s="242"/>
    </row>
    <row r="96" spans="1:17" ht="18.95" customHeight="1">
      <c r="A96" s="34">
        <f t="shared" si="11"/>
        <v>65</v>
      </c>
      <c r="B96" s="35">
        <v>399</v>
      </c>
      <c r="C96" s="42" t="s">
        <v>490</v>
      </c>
      <c r="D96" s="53">
        <f>'SCH B-2.1 F'!H103</f>
        <v>0</v>
      </c>
      <c r="E96" s="53">
        <f>-'SCH B-3 F'!I106</f>
        <v>0</v>
      </c>
      <c r="F96" s="66"/>
      <c r="G96" s="53">
        <f t="shared" si="12"/>
        <v>0</v>
      </c>
      <c r="H96" s="248"/>
      <c r="I96" s="52"/>
      <c r="J96" s="52"/>
    </row>
    <row r="97" spans="1:17" ht="18.95" customHeight="1">
      <c r="A97" s="34">
        <f t="shared" si="11"/>
        <v>66</v>
      </c>
      <c r="B97" s="35"/>
      <c r="C97" s="42" t="s">
        <v>622</v>
      </c>
      <c r="D97" s="50">
        <f>SUM(D83:D92,D93:D96)</f>
        <v>86673008.358923018</v>
      </c>
      <c r="E97" s="50">
        <f>SUM(E83:E92,E93:E96)</f>
        <v>44929599.116095342</v>
      </c>
      <c r="F97" s="50"/>
      <c r="G97" s="50">
        <f>SUM(G83:G92,G93:G96)</f>
        <v>8503729.5693806373</v>
      </c>
      <c r="H97" s="50"/>
      <c r="I97" s="50"/>
      <c r="J97" s="50"/>
      <c r="M97" s="67"/>
      <c r="N97" s="67"/>
      <c r="O97" s="67"/>
      <c r="P97" s="67"/>
      <c r="Q97" s="68"/>
    </row>
    <row r="98" spans="1:17" ht="18.95" customHeight="1">
      <c r="A98" s="34"/>
      <c r="B98" s="35"/>
    </row>
    <row r="99" spans="1:17" ht="18.95" customHeight="1" thickBot="1">
      <c r="A99" s="34">
        <f>A97+1</f>
        <v>67</v>
      </c>
      <c r="B99" s="35"/>
      <c r="C99" s="32" t="s">
        <v>627</v>
      </c>
      <c r="D99" s="57">
        <f>SUM(D18,D33,D39,D54,D80,D97)</f>
        <v>1244613620.6835375</v>
      </c>
      <c r="E99" s="57">
        <f>SUM(E18,E33,E39,E54,E80,E97)</f>
        <v>373470159.87169391</v>
      </c>
      <c r="F99" s="50"/>
      <c r="G99" s="57">
        <f>SUM(G18,G33,G39,G54,G80,G97)</f>
        <v>38891469.452108823</v>
      </c>
      <c r="H99" s="50"/>
      <c r="I99" s="50"/>
      <c r="J99" s="50"/>
    </row>
    <row r="100" spans="1:17" ht="18.95" customHeight="1" thickTop="1">
      <c r="B100" s="35"/>
    </row>
    <row r="101" spans="1:17" ht="18.95" customHeight="1">
      <c r="B101" s="35"/>
      <c r="C101" s="130" t="s">
        <v>620</v>
      </c>
      <c r="D101" s="50"/>
    </row>
    <row r="102" spans="1:17" ht="18.95" customHeight="1">
      <c r="B102" s="35"/>
      <c r="C102" s="42"/>
      <c r="E102" s="56"/>
    </row>
    <row r="103" spans="1:17" ht="18.95" customHeight="1">
      <c r="B103" s="35"/>
      <c r="C103" s="32" t="s">
        <v>491</v>
      </c>
      <c r="D103" s="52">
        <f>'SCH B-2.1 F'!H106</f>
        <v>1244613620.6835375</v>
      </c>
      <c r="E103" s="50"/>
    </row>
    <row r="104" spans="1:17" ht="18.95" customHeight="1">
      <c r="B104" s="35"/>
      <c r="E104" s="56"/>
    </row>
    <row r="105" spans="1:17" ht="18.95" customHeight="1">
      <c r="D105" s="33" t="s">
        <v>47</v>
      </c>
    </row>
    <row r="106" spans="1:17" ht="18.95" customHeight="1"/>
    <row r="107" spans="1:17" ht="18.95" customHeight="1"/>
    <row r="108" spans="1:17" ht="18.95" customHeight="1"/>
    <row r="109" spans="1:17" ht="18.95" customHeight="1"/>
    <row r="110" spans="1:17" ht="18.95" customHeight="1"/>
    <row r="111" spans="1:17" ht="18.95" customHeight="1"/>
    <row r="112" spans="1:17" ht="18.95" customHeight="1"/>
    <row r="113" ht="18.95" customHeight="1"/>
    <row r="114" ht="18.95" customHeight="1"/>
    <row r="115" ht="18.95" customHeight="1"/>
    <row r="116" ht="18.95" customHeight="1"/>
    <row r="117" ht="18.95" customHeight="1"/>
  </sheetData>
  <mergeCells count="10">
    <mergeCell ref="A1:J1"/>
    <mergeCell ref="A2:J2"/>
    <mergeCell ref="A3:J3"/>
    <mergeCell ref="A4:J4"/>
    <mergeCell ref="D10:E10"/>
    <mergeCell ref="A58:J58"/>
    <mergeCell ref="A59:J59"/>
    <mergeCell ref="D65:E65"/>
    <mergeCell ref="A56:J56"/>
    <mergeCell ref="A57:J57"/>
  </mergeCells>
  <pageMargins left="0.95" right="0.5" top="0.75" bottom="0.75" header="0.3" footer="0.3"/>
  <pageSetup scale="51" fitToHeight="0" orientation="portrait" r:id="rId1"/>
  <rowBreaks count="1" manualBreakCount="1">
    <brk id="55" max="10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J56"/>
  <sheetViews>
    <sheetView zoomScaleNormal="100" workbookViewId="0">
      <selection activeCell="H54" sqref="H54"/>
    </sheetView>
  </sheetViews>
  <sheetFormatPr defaultColWidth="9" defaultRowHeight="12.75"/>
  <cols>
    <col min="1" max="1" width="6" style="33" customWidth="1"/>
    <col min="2" max="2" width="38.33203125" style="33" customWidth="1"/>
    <col min="3" max="3" width="14.77734375" style="33" customWidth="1"/>
    <col min="4" max="5" width="13.6640625" style="33" customWidth="1"/>
    <col min="6" max="6" width="14.21875" style="33" customWidth="1"/>
    <col min="7" max="7" width="13.6640625" style="33" customWidth="1"/>
    <col min="8" max="10" width="15" style="33" customWidth="1"/>
    <col min="11" max="11" width="1.6640625" style="33" customWidth="1"/>
    <col min="12" max="16384" width="9" style="33"/>
  </cols>
  <sheetData>
    <row r="1" spans="1:10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  <c r="G1" s="494"/>
      <c r="H1" s="494"/>
      <c r="I1" s="133"/>
      <c r="J1" s="133"/>
    </row>
    <row r="2" spans="1:10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  <c r="G2" s="494"/>
      <c r="H2" s="494"/>
      <c r="I2" s="133"/>
      <c r="J2" s="133"/>
    </row>
    <row r="3" spans="1:10" s="32" customFormat="1" ht="20.100000000000001" customHeight="1">
      <c r="A3" s="494" t="s">
        <v>119</v>
      </c>
      <c r="B3" s="494"/>
      <c r="C3" s="494"/>
      <c r="D3" s="494"/>
      <c r="E3" s="494"/>
      <c r="F3" s="494"/>
      <c r="G3" s="494"/>
      <c r="H3" s="494"/>
      <c r="I3" s="133"/>
      <c r="J3" s="133"/>
    </row>
    <row r="4" spans="1:10" s="32" customFormat="1" ht="20.100000000000001" customHeight="1">
      <c r="A4" s="494" t="str">
        <f>'Rate Case Constants'!C12</f>
        <v>AS OF FEBRUARY 28, 2017</v>
      </c>
      <c r="B4" s="494"/>
      <c r="C4" s="494"/>
      <c r="D4" s="494"/>
      <c r="E4" s="494"/>
      <c r="F4" s="494"/>
      <c r="G4" s="494"/>
      <c r="H4" s="494"/>
      <c r="I4" s="133"/>
      <c r="J4" s="133"/>
    </row>
    <row r="5" spans="1:10" s="32" customFormat="1" ht="20.100000000000001" customHeight="1">
      <c r="A5" s="55"/>
      <c r="B5" s="55"/>
      <c r="C5" s="55"/>
      <c r="D5" s="55"/>
      <c r="E5" s="55"/>
      <c r="F5" s="55"/>
      <c r="G5" s="55"/>
      <c r="H5" s="55"/>
      <c r="I5" s="132"/>
      <c r="J5" s="132"/>
    </row>
    <row r="6" spans="1:10" s="32" customFormat="1" ht="20.100000000000001" customHeight="1">
      <c r="A6" s="31" t="s">
        <v>31</v>
      </c>
      <c r="D6" s="38"/>
      <c r="E6" s="38"/>
      <c r="F6" s="38"/>
      <c r="I6" s="38"/>
      <c r="J6" s="38" t="s">
        <v>166</v>
      </c>
    </row>
    <row r="7" spans="1:10" s="32" customFormat="1" ht="20.100000000000001" customHeight="1">
      <c r="A7" s="32" t="str">
        <f>'Rate Case Constants'!C29</f>
        <v>TYPE OF FILING: __X__ ORIGINAL  _____ UPDATED  _____ REVISED</v>
      </c>
      <c r="D7" s="38"/>
      <c r="E7" s="38"/>
      <c r="F7" s="38"/>
      <c r="I7" s="38"/>
      <c r="J7" s="38" t="s">
        <v>64</v>
      </c>
    </row>
    <row r="8" spans="1:10" s="32" customFormat="1" ht="20.100000000000001" customHeight="1">
      <c r="A8" s="31" t="s">
        <v>151</v>
      </c>
      <c r="D8" s="39"/>
      <c r="E8" s="39"/>
      <c r="F8" s="39"/>
      <c r="I8" s="39"/>
      <c r="J8" s="39" t="str">
        <f>'Rate Case Constants'!C36</f>
        <v>WITNESS:   C. M. GARRETT</v>
      </c>
    </row>
    <row r="9" spans="1:10" s="32" customFormat="1" ht="20.100000000000001" customHeight="1"/>
    <row r="10" spans="1:10" s="32" customFormat="1" ht="20.100000000000001" customHeight="1">
      <c r="A10" s="59"/>
      <c r="B10" s="59"/>
      <c r="C10" s="59"/>
      <c r="D10" s="496" t="s">
        <v>171</v>
      </c>
      <c r="E10" s="496"/>
      <c r="F10" s="59"/>
      <c r="G10" s="59"/>
      <c r="H10" s="59"/>
      <c r="I10" s="59"/>
      <c r="J10" s="59"/>
    </row>
    <row r="11" spans="1:10" ht="39" customHeight="1">
      <c r="A11" s="35" t="s">
        <v>29</v>
      </c>
      <c r="B11" s="42" t="s">
        <v>123</v>
      </c>
      <c r="C11" s="35" t="s">
        <v>167</v>
      </c>
      <c r="D11" s="35" t="s">
        <v>168</v>
      </c>
      <c r="E11" s="35" t="s">
        <v>169</v>
      </c>
      <c r="F11" s="35" t="s">
        <v>170</v>
      </c>
      <c r="G11" s="35" t="s">
        <v>111</v>
      </c>
      <c r="H11" s="35" t="s">
        <v>112</v>
      </c>
      <c r="I11" s="35" t="s">
        <v>113</v>
      </c>
      <c r="J11" s="35" t="s">
        <v>114</v>
      </c>
    </row>
    <row r="12" spans="1:10" ht="23.1" customHeight="1">
      <c r="A12" s="44"/>
      <c r="B12" s="45"/>
      <c r="C12" s="46" t="s">
        <v>40</v>
      </c>
      <c r="D12" s="46" t="s">
        <v>40</v>
      </c>
      <c r="E12" s="46" t="s">
        <v>40</v>
      </c>
      <c r="F12" s="46" t="s">
        <v>40</v>
      </c>
      <c r="G12" s="46"/>
      <c r="H12" s="46" t="s">
        <v>40</v>
      </c>
      <c r="I12" s="46" t="s">
        <v>40</v>
      </c>
      <c r="J12" s="46" t="s">
        <v>40</v>
      </c>
    </row>
    <row r="13" spans="1:10" ht="23.1" customHeight="1">
      <c r="A13" s="37"/>
      <c r="B13" s="42" t="s">
        <v>626</v>
      </c>
      <c r="C13" s="58"/>
      <c r="D13" s="58"/>
      <c r="E13" s="58"/>
      <c r="F13" s="58"/>
      <c r="G13" s="58"/>
      <c r="H13" s="58"/>
      <c r="I13" s="58"/>
      <c r="J13" s="58"/>
    </row>
    <row r="14" spans="1:10" ht="18.95" customHeight="1">
      <c r="A14" s="34">
        <v>1</v>
      </c>
      <c r="B14" s="42" t="s">
        <v>623</v>
      </c>
      <c r="C14" s="50">
        <f>SUMIFS('FC CWIP &amp; RWIP B'!$Q$6:$Q$13,'FC CWIP &amp; RWIP B'!$A$6:$A$13,B14)*1000</f>
        <v>0</v>
      </c>
      <c r="D14" s="50">
        <v>0</v>
      </c>
      <c r="E14" s="50">
        <v>0</v>
      </c>
      <c r="F14" s="50">
        <f>SUM(C14:E14)</f>
        <v>0</v>
      </c>
      <c r="G14" s="62">
        <v>1</v>
      </c>
      <c r="H14" s="50">
        <f>F14*G14</f>
        <v>0</v>
      </c>
      <c r="I14" s="50">
        <v>0</v>
      </c>
      <c r="J14" s="50">
        <f>SUM(H14:I14)</f>
        <v>0</v>
      </c>
    </row>
    <row r="15" spans="1:10" ht="18.95" customHeight="1">
      <c r="A15" s="34"/>
      <c r="B15" s="42"/>
      <c r="C15" s="50"/>
      <c r="D15" s="50"/>
      <c r="E15" s="50"/>
      <c r="F15" s="50"/>
      <c r="G15" s="62"/>
      <c r="H15" s="50"/>
      <c r="I15" s="50"/>
      <c r="J15" s="50"/>
    </row>
    <row r="16" spans="1:10" ht="18.95" customHeight="1">
      <c r="A16" s="34">
        <f>A14+1</f>
        <v>2</v>
      </c>
      <c r="B16" s="32" t="s">
        <v>624</v>
      </c>
      <c r="C16" s="50">
        <f>SUMIFS('FC CWIP &amp; RWIP B'!$Q$6:$Q$13,'FC CWIP &amp; RWIP B'!$A$6:$A$13,B16)*1000</f>
        <v>619352.48</v>
      </c>
      <c r="D16" s="50">
        <v>0</v>
      </c>
      <c r="E16" s="50">
        <v>0</v>
      </c>
      <c r="F16" s="50">
        <f>SUM(C16:E16)</f>
        <v>619352.48</v>
      </c>
      <c r="G16" s="62">
        <v>1</v>
      </c>
      <c r="H16" s="50">
        <f>F16*G16</f>
        <v>619352.48</v>
      </c>
      <c r="I16" s="50">
        <v>0</v>
      </c>
      <c r="J16" s="50">
        <f>SUM(H16:I16)</f>
        <v>619352.48</v>
      </c>
    </row>
    <row r="17" spans="1:10" ht="18.95" customHeight="1">
      <c r="A17" s="34"/>
      <c r="B17" s="42"/>
      <c r="C17" s="50"/>
      <c r="D17" s="50"/>
      <c r="E17" s="50"/>
      <c r="F17" s="50"/>
      <c r="G17" s="50"/>
      <c r="H17" s="50"/>
      <c r="I17" s="50"/>
      <c r="J17" s="50"/>
    </row>
    <row r="18" spans="1:10" ht="18.95" customHeight="1">
      <c r="A18" s="34">
        <f>A16+1</f>
        <v>3</v>
      </c>
      <c r="B18" s="42" t="s">
        <v>116</v>
      </c>
      <c r="C18" s="50">
        <f>SUMIFS('FC CWIP &amp; RWIP B'!$Q$6:$Q$13,'FC CWIP &amp; RWIP B'!$A$6:$A$13,B18)*1000</f>
        <v>447536.07</v>
      </c>
      <c r="D18" s="50">
        <v>0</v>
      </c>
      <c r="E18" s="50">
        <v>0</v>
      </c>
      <c r="F18" s="50">
        <f>SUM(C18:E18)</f>
        <v>447536.07</v>
      </c>
      <c r="G18" s="62">
        <v>1</v>
      </c>
      <c r="H18" s="50">
        <f>F18*G18</f>
        <v>447536.07</v>
      </c>
      <c r="I18" s="50">
        <f>'SCH B-4.1'!E15</f>
        <v>-87064.25</v>
      </c>
      <c r="J18" s="50">
        <f>SUM(H18:I18)</f>
        <v>360471.82</v>
      </c>
    </row>
    <row r="19" spans="1:10" ht="18.95" customHeight="1">
      <c r="A19" s="34"/>
      <c r="B19" s="42"/>
      <c r="C19" s="50"/>
      <c r="D19" s="50"/>
      <c r="E19" s="50"/>
      <c r="F19" s="50"/>
      <c r="G19" s="50"/>
      <c r="H19" s="50"/>
      <c r="I19" s="50"/>
      <c r="J19" s="50"/>
    </row>
    <row r="20" spans="1:10" ht="18.95" customHeight="1">
      <c r="A20" s="34">
        <f>A18+1</f>
        <v>4</v>
      </c>
      <c r="B20" s="42" t="s">
        <v>125</v>
      </c>
      <c r="C20" s="50">
        <f>SUMIFS('FC CWIP &amp; RWIP B'!$Q$6:$Q$13,'FC CWIP &amp; RWIP B'!$A$6:$A$13,B20)*1000</f>
        <v>1391017.76</v>
      </c>
      <c r="D20" s="50">
        <v>0</v>
      </c>
      <c r="E20" s="50">
        <v>0</v>
      </c>
      <c r="F20" s="50">
        <f>SUM(C20:E20)</f>
        <v>1391017.76</v>
      </c>
      <c r="G20" s="62">
        <v>1</v>
      </c>
      <c r="H20" s="50">
        <f>F20*G20</f>
        <v>1391017.76</v>
      </c>
      <c r="I20" s="50">
        <f>'SCH B-4.1'!E16</f>
        <v>0</v>
      </c>
      <c r="J20" s="50">
        <f>SUM(H20:I20)</f>
        <v>1391017.76</v>
      </c>
    </row>
    <row r="21" spans="1:10" ht="18.95" customHeight="1">
      <c r="A21" s="34"/>
      <c r="B21" s="42"/>
      <c r="C21" s="50"/>
      <c r="D21" s="50"/>
      <c r="E21" s="50"/>
      <c r="F21" s="50"/>
      <c r="G21" s="50"/>
      <c r="H21" s="50"/>
      <c r="I21" s="50"/>
      <c r="J21" s="50"/>
    </row>
    <row r="22" spans="1:10" ht="18.95" customHeight="1">
      <c r="A22" s="34">
        <f>A20+1</f>
        <v>5</v>
      </c>
      <c r="B22" s="42" t="s">
        <v>126</v>
      </c>
      <c r="C22" s="50">
        <f>SUMIFS('FC CWIP &amp; RWIP B'!$Q$6:$Q$13,'FC CWIP &amp; RWIP B'!$A$6:$A$13,B22)*1000</f>
        <v>75700</v>
      </c>
      <c r="D22" s="50">
        <v>0</v>
      </c>
      <c r="E22" s="50">
        <v>0</v>
      </c>
      <c r="F22" s="50">
        <f>SUM(C22:E22)</f>
        <v>75700</v>
      </c>
      <c r="G22" s="62">
        <v>1</v>
      </c>
      <c r="H22" s="50">
        <f>F22*G22</f>
        <v>75700</v>
      </c>
      <c r="I22" s="50">
        <v>0</v>
      </c>
      <c r="J22" s="50">
        <f>SUM(H22:I22)</f>
        <v>75700</v>
      </c>
    </row>
    <row r="23" spans="1:10" ht="18.95" customHeight="1">
      <c r="A23" s="34"/>
      <c r="B23" s="42"/>
      <c r="C23" s="50"/>
      <c r="D23" s="50"/>
      <c r="E23" s="50"/>
      <c r="F23" s="50"/>
      <c r="G23" s="50"/>
      <c r="H23" s="50"/>
      <c r="I23" s="50"/>
      <c r="J23" s="50"/>
    </row>
    <row r="24" spans="1:10" ht="18.95" customHeight="1">
      <c r="A24" s="34">
        <f>A22+1</f>
        <v>6</v>
      </c>
      <c r="B24" s="42" t="s">
        <v>503</v>
      </c>
      <c r="C24" s="63">
        <f>SUMIFS('FC CWIP &amp; RWIP B'!$Q$6:$Q$13,'FC CWIP &amp; RWIP B'!$A$6:$A$13,B24)*1000*'PIS B'!$A$4</f>
        <v>4426851.7139999997</v>
      </c>
      <c r="D24" s="63">
        <v>0</v>
      </c>
      <c r="E24" s="63">
        <v>0</v>
      </c>
      <c r="F24" s="63">
        <f>SUM(C24:E24)</f>
        <v>4426851.7139999997</v>
      </c>
      <c r="G24" s="62">
        <v>1</v>
      </c>
      <c r="H24" s="63">
        <f>F24*G24</f>
        <v>4426851.7139999997</v>
      </c>
      <c r="I24" s="63">
        <v>0</v>
      </c>
      <c r="J24" s="63">
        <f>SUM(H24:I24)</f>
        <v>4426851.7139999997</v>
      </c>
    </row>
    <row r="25" spans="1:10" ht="18.95" customHeight="1">
      <c r="A25" s="34"/>
      <c r="B25" s="42"/>
      <c r="C25" s="50"/>
      <c r="D25" s="50"/>
      <c r="E25" s="50"/>
      <c r="F25" s="50"/>
      <c r="G25" s="50"/>
      <c r="H25" s="50"/>
      <c r="I25" s="50"/>
      <c r="J25" s="50"/>
    </row>
    <row r="26" spans="1:10" ht="18.95" customHeight="1" thickBot="1">
      <c r="A26" s="34">
        <f>A24+1</f>
        <v>7</v>
      </c>
      <c r="B26" s="42" t="s">
        <v>625</v>
      </c>
      <c r="C26" s="57">
        <f>SUM(C14:C24)</f>
        <v>6960458.0240000002</v>
      </c>
      <c r="D26" s="57">
        <f>SUM(D14:D24)</f>
        <v>0</v>
      </c>
      <c r="E26" s="57">
        <f>SUM(E14:E24)</f>
        <v>0</v>
      </c>
      <c r="F26" s="57">
        <f>SUM(F14:F24)</f>
        <v>6960458.0240000002</v>
      </c>
      <c r="G26" s="50"/>
      <c r="H26" s="57">
        <f>SUM(H14:H24)</f>
        <v>6960458.0240000002</v>
      </c>
      <c r="I26" s="57">
        <f>SUM(I14:I24)</f>
        <v>-87064.25</v>
      </c>
      <c r="J26" s="57">
        <f>SUM(J14:J24)</f>
        <v>6873393.7740000002</v>
      </c>
    </row>
    <row r="27" spans="1:10" ht="18.95" customHeight="1" thickTop="1">
      <c r="A27" s="34"/>
      <c r="B27" s="42"/>
      <c r="C27" s="50"/>
      <c r="D27" s="50"/>
      <c r="E27" s="50"/>
      <c r="F27" s="50"/>
      <c r="G27" s="50"/>
      <c r="H27" s="50"/>
      <c r="I27" s="50"/>
      <c r="J27" s="50"/>
    </row>
    <row r="28" spans="1:10" ht="18.95" customHeight="1">
      <c r="A28" s="34"/>
      <c r="B28" s="42"/>
      <c r="C28" s="50"/>
      <c r="D28" s="50"/>
      <c r="E28" s="50"/>
      <c r="F28" s="50"/>
      <c r="G28" s="50"/>
      <c r="H28" s="50"/>
      <c r="I28" s="50"/>
      <c r="J28" s="50"/>
    </row>
    <row r="29" spans="1:10" s="32" customFormat="1" ht="20.100000000000001" customHeight="1">
      <c r="A29" s="494" t="str">
        <f>$A$1</f>
        <v>LOUISVILLE GAS AND ELECTRIC COMPANY</v>
      </c>
      <c r="B29" s="494"/>
      <c r="C29" s="494"/>
      <c r="D29" s="494"/>
      <c r="E29" s="494"/>
      <c r="F29" s="494"/>
      <c r="G29" s="494"/>
      <c r="H29" s="494"/>
      <c r="I29" s="133"/>
      <c r="J29" s="133"/>
    </row>
    <row r="30" spans="1:10" s="32" customFormat="1" ht="20.100000000000001" customHeight="1">
      <c r="A30" s="494" t="str">
        <f>$A$2</f>
        <v>CASE NO. 2016-00371 - GAS OPERATIONS</v>
      </c>
      <c r="B30" s="494"/>
      <c r="C30" s="494"/>
      <c r="D30" s="494"/>
      <c r="E30" s="494"/>
      <c r="F30" s="494"/>
      <c r="G30" s="494"/>
      <c r="H30" s="494"/>
      <c r="I30" s="133"/>
      <c r="J30" s="133"/>
    </row>
    <row r="31" spans="1:10" s="32" customFormat="1" ht="20.100000000000001" customHeight="1">
      <c r="A31" s="494" t="str">
        <f>$A$3</f>
        <v>CONSTRUCTION WORK IN PROGRESS</v>
      </c>
      <c r="B31" s="494"/>
      <c r="C31" s="494"/>
      <c r="D31" s="494"/>
      <c r="E31" s="494"/>
      <c r="F31" s="494"/>
      <c r="G31" s="494"/>
      <c r="H31" s="494"/>
      <c r="I31" s="133"/>
      <c r="J31" s="133"/>
    </row>
    <row r="32" spans="1:10" s="32" customFormat="1" ht="20.100000000000001" customHeight="1">
      <c r="A32" s="493" t="str">
        <f>'Rate Case Constants'!C18</f>
        <v>AS OF JUNE 30, 2018</v>
      </c>
      <c r="B32" s="494"/>
      <c r="C32" s="494"/>
      <c r="D32" s="494"/>
      <c r="E32" s="494"/>
      <c r="F32" s="494"/>
      <c r="G32" s="494"/>
      <c r="H32" s="494"/>
      <c r="I32" s="133"/>
      <c r="J32" s="133"/>
    </row>
    <row r="33" spans="1:10" s="32" customFormat="1" ht="20.100000000000001" customHeight="1">
      <c r="A33" s="55"/>
      <c r="B33" s="55"/>
      <c r="C33" s="55"/>
      <c r="D33" s="55"/>
      <c r="E33" s="55"/>
      <c r="F33" s="55"/>
      <c r="G33" s="55"/>
      <c r="H33" s="55"/>
      <c r="I33" s="132"/>
      <c r="J33" s="132"/>
    </row>
    <row r="34" spans="1:10" s="32" customFormat="1" ht="20.100000000000001" customHeight="1">
      <c r="A34" s="31" t="s">
        <v>48</v>
      </c>
      <c r="D34" s="38"/>
      <c r="E34" s="38"/>
      <c r="F34" s="38"/>
      <c r="I34" s="38"/>
      <c r="J34" s="38" t="s">
        <v>166</v>
      </c>
    </row>
    <row r="35" spans="1:10" s="32" customFormat="1" ht="20.100000000000001" customHeight="1">
      <c r="A35" s="31" t="str">
        <f>$A$7</f>
        <v>TYPE OF FILING: __X__ ORIGINAL  _____ UPDATED  _____ REVISED</v>
      </c>
      <c r="D35" s="38"/>
      <c r="E35" s="38"/>
      <c r="F35" s="38"/>
      <c r="I35" s="38"/>
      <c r="J35" s="38" t="s">
        <v>72</v>
      </c>
    </row>
    <row r="36" spans="1:10" s="32" customFormat="1" ht="20.100000000000001" customHeight="1">
      <c r="A36" s="31" t="str">
        <f>$A$8</f>
        <v>WORKPAPER REFERENCE NO(S).:</v>
      </c>
      <c r="D36" s="39"/>
      <c r="E36" s="39"/>
      <c r="F36" s="39"/>
      <c r="I36" s="39"/>
      <c r="J36" s="39" t="str">
        <f>$J$8</f>
        <v>WITNESS:   C. M. GARRETT</v>
      </c>
    </row>
    <row r="37" spans="1:10" s="32" customFormat="1" ht="20.100000000000001" customHeight="1"/>
    <row r="38" spans="1:10" s="32" customFormat="1" ht="20.100000000000001" customHeight="1">
      <c r="A38" s="59"/>
      <c r="B38" s="59"/>
      <c r="C38" s="59"/>
      <c r="D38" s="496" t="s">
        <v>171</v>
      </c>
      <c r="E38" s="496"/>
      <c r="F38" s="59"/>
      <c r="G38" s="59"/>
      <c r="H38" s="59"/>
      <c r="I38" s="59"/>
      <c r="J38" s="59"/>
    </row>
    <row r="39" spans="1:10" ht="39" customHeight="1">
      <c r="A39" s="35" t="s">
        <v>29</v>
      </c>
      <c r="B39" s="42" t="s">
        <v>123</v>
      </c>
      <c r="C39" s="35" t="s">
        <v>172</v>
      </c>
      <c r="D39" s="35" t="s">
        <v>168</v>
      </c>
      <c r="E39" s="35" t="s">
        <v>169</v>
      </c>
      <c r="F39" s="35" t="s">
        <v>173</v>
      </c>
      <c r="G39" s="35" t="s">
        <v>111</v>
      </c>
      <c r="H39" s="35" t="s">
        <v>112</v>
      </c>
      <c r="I39" s="35" t="s">
        <v>113</v>
      </c>
      <c r="J39" s="35" t="s">
        <v>114</v>
      </c>
    </row>
    <row r="40" spans="1:10" ht="23.1" customHeight="1">
      <c r="A40" s="44"/>
      <c r="B40" s="45"/>
      <c r="C40" s="46" t="s">
        <v>40</v>
      </c>
      <c r="D40" s="46" t="s">
        <v>40</v>
      </c>
      <c r="E40" s="46" t="s">
        <v>40</v>
      </c>
      <c r="F40" s="46" t="s">
        <v>40</v>
      </c>
      <c r="G40" s="46"/>
      <c r="H40" s="46" t="s">
        <v>40</v>
      </c>
      <c r="I40" s="46" t="s">
        <v>40</v>
      </c>
      <c r="J40" s="46" t="s">
        <v>40</v>
      </c>
    </row>
    <row r="41" spans="1:10" ht="23.1" customHeight="1">
      <c r="A41" s="37"/>
      <c r="B41" s="42" t="s">
        <v>626</v>
      </c>
      <c r="C41" s="58"/>
      <c r="D41" s="58"/>
      <c r="E41" s="58"/>
      <c r="F41" s="58"/>
      <c r="G41" s="58"/>
      <c r="H41" s="58"/>
      <c r="I41" s="58"/>
      <c r="J41" s="58"/>
    </row>
    <row r="42" spans="1:10" ht="18.95" customHeight="1">
      <c r="A42" s="34">
        <v>1</v>
      </c>
      <c r="B42" s="42" t="s">
        <v>623</v>
      </c>
      <c r="C42" s="50">
        <f>SUMIFS('FC CWIP &amp; RWIP F'!$Q$6:$Q$13,'FC CWIP &amp; RWIP F'!$A$6:$A$13,B42)*1000</f>
        <v>0</v>
      </c>
      <c r="D42" s="50">
        <v>0</v>
      </c>
      <c r="E42" s="50">
        <v>0</v>
      </c>
      <c r="F42" s="50">
        <f>SUM(C42:E42)</f>
        <v>0</v>
      </c>
      <c r="G42" s="62">
        <v>1</v>
      </c>
      <c r="H42" s="50">
        <f>F42*G42</f>
        <v>0</v>
      </c>
      <c r="I42" s="50">
        <v>0</v>
      </c>
      <c r="J42" s="50">
        <f>SUM(H42:I42)</f>
        <v>0</v>
      </c>
    </row>
    <row r="43" spans="1:10" ht="18.95" customHeight="1">
      <c r="A43" s="34"/>
      <c r="B43" s="42"/>
      <c r="C43" s="50"/>
      <c r="D43" s="50"/>
      <c r="E43" s="50"/>
      <c r="F43" s="50"/>
      <c r="G43" s="62"/>
      <c r="H43" s="50"/>
      <c r="I43" s="50"/>
      <c r="J43" s="50"/>
    </row>
    <row r="44" spans="1:10" ht="18.95" customHeight="1">
      <c r="A44" s="34">
        <f>A42+1</f>
        <v>2</v>
      </c>
      <c r="B44" s="32" t="s">
        <v>624</v>
      </c>
      <c r="C44" s="50">
        <f>SUMIFS('FC CWIP &amp; RWIP F'!$Q$6:$Q$13,'FC CWIP &amp; RWIP F'!$A$6:$A$13,B44)*1000</f>
        <v>4450249.751538462</v>
      </c>
      <c r="D44" s="50">
        <v>0</v>
      </c>
      <c r="E44" s="50">
        <v>0</v>
      </c>
      <c r="F44" s="50">
        <f>SUM(C44:E44)</f>
        <v>4450249.751538462</v>
      </c>
      <c r="G44" s="62">
        <v>1</v>
      </c>
      <c r="H44" s="50">
        <f>F44*G44</f>
        <v>4450249.751538462</v>
      </c>
      <c r="I44" s="50">
        <v>0</v>
      </c>
      <c r="J44" s="50">
        <f>SUM(H44:I44)</f>
        <v>4450249.751538462</v>
      </c>
    </row>
    <row r="45" spans="1:10" ht="18.95" customHeight="1">
      <c r="A45" s="34"/>
      <c r="B45" s="42"/>
      <c r="C45" s="50"/>
      <c r="D45" s="50"/>
      <c r="E45" s="50"/>
      <c r="F45" s="50"/>
      <c r="G45" s="50"/>
      <c r="H45" s="50"/>
      <c r="I45" s="50"/>
      <c r="J45" s="50"/>
    </row>
    <row r="46" spans="1:10" ht="18.95" customHeight="1">
      <c r="A46" s="34">
        <f>A44+1</f>
        <v>3</v>
      </c>
      <c r="B46" s="42" t="s">
        <v>116</v>
      </c>
      <c r="C46" s="50">
        <f>SUMIFS('FC CWIP &amp; RWIP F'!$Q$6:$Q$13,'FC CWIP &amp; RWIP F'!$A$6:$A$13,B46)*1000</f>
        <v>11011058.227692304</v>
      </c>
      <c r="D46" s="50">
        <v>0</v>
      </c>
      <c r="E46" s="50">
        <v>0</v>
      </c>
      <c r="F46" s="50">
        <f>SUM(C46:E46)</f>
        <v>11011058.227692304</v>
      </c>
      <c r="G46" s="62">
        <v>1</v>
      </c>
      <c r="H46" s="50">
        <f>F46*G46</f>
        <v>11011058.227692304</v>
      </c>
      <c r="I46" s="50">
        <f>'SCH B-4.1'!E35</f>
        <v>-4134354.1484615379</v>
      </c>
      <c r="J46" s="50">
        <f>SUM(H46:I46)</f>
        <v>6876704.0792307667</v>
      </c>
    </row>
    <row r="47" spans="1:10" ht="18.95" customHeight="1">
      <c r="A47" s="34"/>
      <c r="B47" s="42"/>
      <c r="C47" s="50"/>
      <c r="D47" s="50"/>
      <c r="E47" s="50"/>
      <c r="F47" s="50"/>
      <c r="G47" s="50"/>
      <c r="H47" s="50"/>
      <c r="I47" s="50"/>
      <c r="J47" s="50"/>
    </row>
    <row r="48" spans="1:10" ht="18.95" customHeight="1">
      <c r="A48" s="34">
        <f>A46+1</f>
        <v>4</v>
      </c>
      <c r="B48" s="42" t="s">
        <v>125</v>
      </c>
      <c r="C48" s="50">
        <f>SUMIFS('FC CWIP &amp; RWIP F'!$Q$6:$Q$13,'FC CWIP &amp; RWIP F'!$A$6:$A$13,B48)*1000</f>
        <v>6536787.618461539</v>
      </c>
      <c r="D48" s="50">
        <v>0</v>
      </c>
      <c r="E48" s="50">
        <v>0</v>
      </c>
      <c r="F48" s="50">
        <f>SUM(C48:E48)</f>
        <v>6536787.618461539</v>
      </c>
      <c r="G48" s="62">
        <v>1</v>
      </c>
      <c r="H48" s="50">
        <f>F48*G48</f>
        <v>6536787.618461539</v>
      </c>
      <c r="I48" s="50">
        <f>'SCH B-4.1'!E36</f>
        <v>-882918.77461538452</v>
      </c>
      <c r="J48" s="50">
        <f>SUM(H48:I48)</f>
        <v>5653868.8438461544</v>
      </c>
    </row>
    <row r="49" spans="1:10" ht="18.95" customHeight="1">
      <c r="A49" s="34"/>
      <c r="B49" s="42"/>
      <c r="C49" s="50"/>
      <c r="D49" s="50"/>
      <c r="E49" s="50"/>
      <c r="F49" s="50"/>
      <c r="G49" s="50"/>
      <c r="H49" s="50"/>
      <c r="I49" s="50"/>
      <c r="J49" s="50"/>
    </row>
    <row r="50" spans="1:10" ht="18.95" customHeight="1">
      <c r="A50" s="34">
        <f>A48+1</f>
        <v>5</v>
      </c>
      <c r="B50" s="42" t="s">
        <v>126</v>
      </c>
      <c r="C50" s="50">
        <f>SUMIFS('FC CWIP &amp; RWIP F'!$Q$6:$Q$13,'FC CWIP &amp; RWIP F'!$A$6:$A$13,B50)*1000</f>
        <v>119480.76923076922</v>
      </c>
      <c r="D50" s="50">
        <v>0</v>
      </c>
      <c r="E50" s="50">
        <v>0</v>
      </c>
      <c r="F50" s="50">
        <f>SUM(C50:E50)</f>
        <v>119480.76923076922</v>
      </c>
      <c r="G50" s="62">
        <v>1</v>
      </c>
      <c r="H50" s="50">
        <f>F50*G50</f>
        <v>119480.76923076922</v>
      </c>
      <c r="I50" s="50">
        <v>0</v>
      </c>
      <c r="J50" s="50">
        <f>SUM(H50:I50)</f>
        <v>119480.76923076922</v>
      </c>
    </row>
    <row r="51" spans="1:10" ht="18.95" customHeight="1">
      <c r="A51" s="34"/>
      <c r="B51" s="42"/>
      <c r="C51" s="50"/>
      <c r="D51" s="50"/>
      <c r="E51" s="50"/>
      <c r="F51" s="50"/>
      <c r="G51" s="50"/>
      <c r="H51" s="50"/>
      <c r="I51" s="50"/>
      <c r="J51" s="50"/>
    </row>
    <row r="52" spans="1:10" ht="18.95" customHeight="1">
      <c r="A52" s="34">
        <f>A50+1</f>
        <v>6</v>
      </c>
      <c r="B52" s="42" t="s">
        <v>503</v>
      </c>
      <c r="C52" s="63">
        <f>SUMIFS('FC CWIP &amp; RWIP F'!$Q$6:$Q$13,'FC CWIP &amp; RWIP F'!$A$6:$A$13,B52)*1000*'PIS F'!$A$4</f>
        <v>7805569.5738461548</v>
      </c>
      <c r="D52" s="63">
        <v>0</v>
      </c>
      <c r="E52" s="63">
        <v>0</v>
      </c>
      <c r="F52" s="63">
        <f>SUM(C52:E52)</f>
        <v>7805569.5738461548</v>
      </c>
      <c r="G52" s="62">
        <v>1</v>
      </c>
      <c r="H52" s="63">
        <f>F52*G52</f>
        <v>7805569.5738461548</v>
      </c>
      <c r="I52" s="63">
        <v>0</v>
      </c>
      <c r="J52" s="63">
        <f>SUM(H52:I52)</f>
        <v>7805569.5738461548</v>
      </c>
    </row>
    <row r="53" spans="1:10" ht="18.95" customHeight="1">
      <c r="A53" s="34"/>
      <c r="B53" s="42"/>
      <c r="C53" s="50"/>
      <c r="D53" s="50"/>
      <c r="E53" s="50"/>
      <c r="F53" s="50"/>
      <c r="G53" s="50"/>
      <c r="H53" s="50"/>
      <c r="I53" s="50"/>
      <c r="J53" s="50"/>
    </row>
    <row r="54" spans="1:10" ht="18.95" customHeight="1" thickBot="1">
      <c r="A54" s="34">
        <f>A52+1</f>
        <v>7</v>
      </c>
      <c r="B54" s="42" t="s">
        <v>625</v>
      </c>
      <c r="C54" s="57">
        <f>SUM(C42:C52)</f>
        <v>29923145.940769225</v>
      </c>
      <c r="D54" s="57">
        <f>SUM(D42:D52)</f>
        <v>0</v>
      </c>
      <c r="E54" s="57">
        <f>SUM(E42:E52)</f>
        <v>0</v>
      </c>
      <c r="F54" s="57">
        <f>SUM(F42:F52)</f>
        <v>29923145.940769225</v>
      </c>
      <c r="G54" s="50"/>
      <c r="H54" s="57">
        <f>SUM(H42:H52)</f>
        <v>29923145.940769225</v>
      </c>
      <c r="I54" s="57">
        <f>SUM(I42:I52)</f>
        <v>-5017272.9230769221</v>
      </c>
      <c r="J54" s="57">
        <f>SUM(J42:J52)</f>
        <v>24905873.017692305</v>
      </c>
    </row>
    <row r="55" spans="1:10" ht="18.95" customHeight="1" thickTop="1">
      <c r="B55" s="42"/>
    </row>
    <row r="56" spans="1:10">
      <c r="B56" s="85"/>
    </row>
  </sheetData>
  <mergeCells count="10">
    <mergeCell ref="A31:H31"/>
    <mergeCell ref="A32:H32"/>
    <mergeCell ref="D10:E10"/>
    <mergeCell ref="D38:E38"/>
    <mergeCell ref="A1:H1"/>
    <mergeCell ref="A2:H2"/>
    <mergeCell ref="A3:H3"/>
    <mergeCell ref="A4:H4"/>
    <mergeCell ref="A29:H29"/>
    <mergeCell ref="A30:H30"/>
  </mergeCells>
  <pageMargins left="0.95" right="0.5" top="0.75" bottom="0.75" header="0.3" footer="0.3"/>
  <pageSetup scale="52" fitToHeight="0" orientation="portrait" r:id="rId1"/>
  <rowBreaks count="1" manualBreakCount="1">
    <brk id="2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I48"/>
  <sheetViews>
    <sheetView zoomScaleNormal="100" workbookViewId="0">
      <selection activeCell="C15" sqref="C15"/>
    </sheetView>
  </sheetViews>
  <sheetFormatPr defaultColWidth="9" defaultRowHeight="12.75"/>
  <cols>
    <col min="1" max="1" width="6" style="33" customWidth="1"/>
    <col min="2" max="2" width="29.77734375" style="33" customWidth="1"/>
    <col min="3" max="3" width="14.6640625" style="33" customWidth="1"/>
    <col min="4" max="5" width="16.109375" style="33" customWidth="1"/>
    <col min="6" max="6" width="15.33203125" style="33" customWidth="1"/>
    <col min="7" max="7" width="34.109375" style="33" customWidth="1"/>
    <col min="8" max="8" width="1.6640625" style="33" customWidth="1"/>
    <col min="9" max="16384" width="9" style="33"/>
  </cols>
  <sheetData>
    <row r="1" spans="1:9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  <c r="G1" s="494"/>
    </row>
    <row r="2" spans="1:9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  <c r="G2" s="494"/>
    </row>
    <row r="3" spans="1:9" s="32" customFormat="1" ht="20.100000000000001" customHeight="1">
      <c r="A3" s="494" t="s">
        <v>633</v>
      </c>
      <c r="B3" s="494"/>
      <c r="C3" s="494"/>
      <c r="D3" s="494"/>
      <c r="E3" s="494"/>
      <c r="F3" s="494"/>
      <c r="G3" s="494"/>
      <c r="H3" s="494"/>
    </row>
    <row r="4" spans="1:9" s="32" customFormat="1" ht="20.100000000000001" customHeight="1">
      <c r="A4" s="494" t="str">
        <f>'Rate Case Constants'!C12</f>
        <v>AS OF FEBRUARY 28, 2017</v>
      </c>
      <c r="B4" s="494"/>
      <c r="C4" s="494"/>
      <c r="D4" s="494"/>
      <c r="E4" s="494"/>
      <c r="F4" s="494"/>
      <c r="G4" s="494"/>
    </row>
    <row r="5" spans="1:9" s="32" customFormat="1" ht="20.100000000000001" customHeight="1">
      <c r="A5" s="132"/>
      <c r="B5" s="132"/>
      <c r="C5" s="132"/>
      <c r="D5" s="132"/>
      <c r="E5" s="132"/>
      <c r="F5" s="132"/>
      <c r="G5" s="132"/>
    </row>
    <row r="6" spans="1:9" s="32" customFormat="1" ht="20.100000000000001" customHeight="1">
      <c r="A6" s="31" t="s">
        <v>31</v>
      </c>
      <c r="F6" s="38"/>
      <c r="G6" s="38" t="s">
        <v>174</v>
      </c>
    </row>
    <row r="7" spans="1:9" s="32" customFormat="1" ht="20.100000000000001" customHeight="1">
      <c r="A7" s="32" t="str">
        <f>'Rate Case Constants'!C29</f>
        <v>TYPE OF FILING: __X__ ORIGINAL  _____ UPDATED  _____ REVISED</v>
      </c>
      <c r="F7" s="38"/>
      <c r="G7" s="38" t="s">
        <v>64</v>
      </c>
    </row>
    <row r="8" spans="1:9" s="32" customFormat="1" ht="20.100000000000001" customHeight="1">
      <c r="A8" s="31" t="s">
        <v>151</v>
      </c>
      <c r="E8" s="31"/>
      <c r="F8" s="39"/>
      <c r="G8" s="39" t="str">
        <f>'Rate Case Constants'!C36</f>
        <v>WITNESS:   C. M. GARRETT</v>
      </c>
    </row>
    <row r="9" spans="1:9" s="32" customFormat="1" ht="20.100000000000001" customHeight="1"/>
    <row r="10" spans="1:9" ht="58.5" customHeight="1">
      <c r="A10" s="40" t="s">
        <v>29</v>
      </c>
      <c r="B10" s="40" t="s">
        <v>123</v>
      </c>
      <c r="C10" s="40" t="s">
        <v>103</v>
      </c>
      <c r="D10" s="40" t="s">
        <v>104</v>
      </c>
      <c r="E10" s="40" t="s">
        <v>105</v>
      </c>
      <c r="F10" s="40" t="s">
        <v>106</v>
      </c>
      <c r="G10" s="40" t="s">
        <v>107</v>
      </c>
    </row>
    <row r="11" spans="1:9" ht="23.1" customHeight="1">
      <c r="A11" s="44"/>
      <c r="B11" s="45"/>
      <c r="C11" s="46" t="s">
        <v>40</v>
      </c>
      <c r="D11" s="46"/>
      <c r="E11" s="46" t="s">
        <v>40</v>
      </c>
      <c r="F11" s="46"/>
      <c r="G11" s="46"/>
    </row>
    <row r="12" spans="1:9" ht="23.1" customHeight="1">
      <c r="A12" s="37"/>
      <c r="B12" s="42" t="s">
        <v>626</v>
      </c>
      <c r="C12" s="58"/>
      <c r="D12" s="58"/>
      <c r="E12" s="58"/>
      <c r="F12" s="58"/>
      <c r="G12" s="58"/>
    </row>
    <row r="13" spans="1:9" ht="18.95" customHeight="1">
      <c r="A13" s="134">
        <v>1</v>
      </c>
      <c r="B13" s="32" t="s">
        <v>623</v>
      </c>
      <c r="C13" s="52"/>
      <c r="D13" s="347">
        <v>1</v>
      </c>
      <c r="E13" s="343">
        <f t="shared" ref="E13:E18" si="0">C13*D13</f>
        <v>0</v>
      </c>
    </row>
    <row r="14" spans="1:9" ht="18.95" customHeight="1">
      <c r="A14" s="135">
        <f>A13+1</f>
        <v>2</v>
      </c>
      <c r="B14" s="32" t="s">
        <v>624</v>
      </c>
      <c r="C14" s="52"/>
      <c r="D14" s="347">
        <v>1</v>
      </c>
      <c r="E14" s="343">
        <f t="shared" si="0"/>
        <v>0</v>
      </c>
    </row>
    <row r="15" spans="1:9" ht="18.95" customHeight="1">
      <c r="A15" s="134">
        <f>A14+1</f>
        <v>3</v>
      </c>
      <c r="B15" s="32" t="s">
        <v>116</v>
      </c>
      <c r="C15" s="52">
        <f>SUMIFS('FC CWIP &amp; RWIP B'!$Q$6:$Q$13,'FC CWIP &amp; RWIP B'!$C$6:$C$13,I15,'FC CWIP &amp; RWIP B'!$A$6:$A$13,B15)*-1000</f>
        <v>-87064.25</v>
      </c>
      <c r="D15" s="347">
        <v>1</v>
      </c>
      <c r="E15" s="343">
        <f t="shared" si="0"/>
        <v>-87064.25</v>
      </c>
      <c r="G15" s="32" t="s">
        <v>784</v>
      </c>
      <c r="I15" s="390" t="s">
        <v>1062</v>
      </c>
    </row>
    <row r="16" spans="1:9" ht="18.95" customHeight="1">
      <c r="A16" s="134">
        <f t="shared" ref="A16:A18" si="1">A15+1</f>
        <v>4</v>
      </c>
      <c r="B16" s="32" t="s">
        <v>125</v>
      </c>
      <c r="C16" s="52">
        <f>SUMIFS('FC CWIP &amp; RWIP B'!$Q$6:$Q$13,'FC CWIP &amp; RWIP B'!$C$6:$C$13,I16,'FC CWIP &amp; RWIP B'!$A$6:$A$13,B16)*-1000</f>
        <v>0</v>
      </c>
      <c r="D16" s="347">
        <v>1</v>
      </c>
      <c r="E16" s="343">
        <f t="shared" si="0"/>
        <v>0</v>
      </c>
      <c r="G16" s="32"/>
      <c r="I16" s="390" t="s">
        <v>1062</v>
      </c>
    </row>
    <row r="17" spans="1:7" ht="18.95" customHeight="1">
      <c r="A17" s="134">
        <f t="shared" si="1"/>
        <v>5</v>
      </c>
      <c r="B17" s="32" t="s">
        <v>126</v>
      </c>
      <c r="C17" s="52"/>
      <c r="D17" s="347">
        <v>1</v>
      </c>
      <c r="E17" s="343">
        <f t="shared" si="0"/>
        <v>0</v>
      </c>
      <c r="G17" s="77"/>
    </row>
    <row r="18" spans="1:7" ht="18.95" customHeight="1">
      <c r="A18" s="134">
        <f t="shared" si="1"/>
        <v>6</v>
      </c>
      <c r="B18" s="32" t="s">
        <v>503</v>
      </c>
      <c r="C18" s="52"/>
      <c r="D18" s="347">
        <v>1</v>
      </c>
      <c r="E18" s="343">
        <f t="shared" si="0"/>
        <v>0</v>
      </c>
      <c r="G18" s="77"/>
    </row>
    <row r="19" spans="1:7" ht="18.95" customHeight="1">
      <c r="A19" s="134"/>
      <c r="B19" s="32"/>
      <c r="C19" s="52"/>
      <c r="D19" s="347"/>
      <c r="E19" s="52"/>
      <c r="G19" s="77"/>
    </row>
    <row r="20" spans="1:7" ht="18.95" customHeight="1">
      <c r="A20" s="134"/>
      <c r="B20" s="32"/>
      <c r="C20" s="52"/>
      <c r="D20" s="66"/>
      <c r="E20" s="52"/>
      <c r="G20" s="77"/>
    </row>
    <row r="21" spans="1:7" s="32" customFormat="1" ht="20.100000000000001" customHeight="1">
      <c r="A21" s="494" t="str">
        <f>$A$1</f>
        <v>LOUISVILLE GAS AND ELECTRIC COMPANY</v>
      </c>
      <c r="B21" s="494"/>
      <c r="C21" s="494"/>
      <c r="D21" s="494"/>
      <c r="E21" s="494"/>
      <c r="F21" s="494"/>
      <c r="G21" s="494"/>
    </row>
    <row r="22" spans="1:7" s="32" customFormat="1" ht="20.100000000000001" customHeight="1">
      <c r="A22" s="494" t="str">
        <f>$A$2</f>
        <v>CASE NO. 2016-00371 - GAS OPERATIONS</v>
      </c>
      <c r="B22" s="494"/>
      <c r="C22" s="494"/>
      <c r="D22" s="494"/>
      <c r="E22" s="494"/>
      <c r="F22" s="494"/>
      <c r="G22" s="494"/>
    </row>
    <row r="23" spans="1:7" s="32" customFormat="1" ht="20.100000000000001" customHeight="1">
      <c r="A23" s="494" t="str">
        <f>$A$3</f>
        <v>ADJUSTMENTS TO CONSTRUCTION WORK IN PROGRESS</v>
      </c>
      <c r="B23" s="494"/>
      <c r="C23" s="494"/>
      <c r="D23" s="494"/>
      <c r="E23" s="494"/>
      <c r="F23" s="494"/>
      <c r="G23" s="494"/>
    </row>
    <row r="24" spans="1:7" s="32" customFormat="1" ht="20.100000000000001" customHeight="1">
      <c r="A24" s="494" t="str">
        <f>'Rate Case Constants'!C18</f>
        <v>AS OF JUNE 30, 2018</v>
      </c>
      <c r="B24" s="494"/>
      <c r="C24" s="494"/>
      <c r="D24" s="494"/>
      <c r="E24" s="494"/>
      <c r="F24" s="494"/>
      <c r="G24" s="494"/>
    </row>
    <row r="25" spans="1:7" s="32" customFormat="1" ht="20.100000000000001" customHeight="1">
      <c r="A25" s="132"/>
      <c r="B25" s="132"/>
      <c r="C25" s="132"/>
      <c r="D25" s="132"/>
      <c r="E25" s="132"/>
      <c r="F25" s="132"/>
      <c r="G25" s="132"/>
    </row>
    <row r="26" spans="1:7" s="32" customFormat="1" ht="20.100000000000001" customHeight="1">
      <c r="A26" s="31" t="s">
        <v>48</v>
      </c>
      <c r="F26" s="38"/>
      <c r="G26" s="38" t="s">
        <v>174</v>
      </c>
    </row>
    <row r="27" spans="1:7" s="32" customFormat="1" ht="20.100000000000001" customHeight="1">
      <c r="A27" s="31" t="str">
        <f>$A$7</f>
        <v>TYPE OF FILING: __X__ ORIGINAL  _____ UPDATED  _____ REVISED</v>
      </c>
      <c r="F27" s="38"/>
      <c r="G27" s="38" t="s">
        <v>72</v>
      </c>
    </row>
    <row r="28" spans="1:7" s="32" customFormat="1" ht="20.100000000000001" customHeight="1">
      <c r="A28" s="31" t="str">
        <f>$A$8</f>
        <v>WORKPAPER REFERENCE NO(S).:</v>
      </c>
      <c r="E28" s="31"/>
      <c r="F28" s="39"/>
      <c r="G28" s="39" t="str">
        <f>$G$8</f>
        <v>WITNESS:   C. M. GARRETT</v>
      </c>
    </row>
    <row r="29" spans="1:7" s="32" customFormat="1" ht="20.100000000000001" customHeight="1"/>
    <row r="30" spans="1:7" ht="58.5" customHeight="1">
      <c r="A30" s="40" t="s">
        <v>29</v>
      </c>
      <c r="B30" s="40" t="s">
        <v>123</v>
      </c>
      <c r="C30" s="40" t="s">
        <v>103</v>
      </c>
      <c r="D30" s="40" t="s">
        <v>104</v>
      </c>
      <c r="E30" s="40" t="s">
        <v>105</v>
      </c>
      <c r="F30" s="40" t="s">
        <v>106</v>
      </c>
      <c r="G30" s="40" t="s">
        <v>107</v>
      </c>
    </row>
    <row r="31" spans="1:7" ht="23.1" customHeight="1">
      <c r="A31" s="44"/>
      <c r="B31" s="45"/>
      <c r="C31" s="46" t="s">
        <v>40</v>
      </c>
      <c r="D31" s="46"/>
      <c r="E31" s="46" t="s">
        <v>40</v>
      </c>
      <c r="F31" s="46"/>
      <c r="G31" s="46"/>
    </row>
    <row r="32" spans="1:7" ht="23.1" customHeight="1">
      <c r="A32" s="37"/>
      <c r="B32" s="42" t="s">
        <v>626</v>
      </c>
      <c r="C32" s="58"/>
      <c r="D32" s="58"/>
      <c r="E32" s="58"/>
      <c r="F32" s="58"/>
      <c r="G32" s="58"/>
    </row>
    <row r="33" spans="1:9" ht="18.95" customHeight="1">
      <c r="A33" s="135">
        <v>1</v>
      </c>
      <c r="B33" s="32" t="s">
        <v>623</v>
      </c>
      <c r="C33" s="52"/>
      <c r="D33" s="347">
        <v>1</v>
      </c>
      <c r="E33" s="343">
        <f t="shared" ref="E33:E38" si="2">C33*D33</f>
        <v>0</v>
      </c>
    </row>
    <row r="34" spans="1:9" ht="18.95" customHeight="1">
      <c r="A34" s="135">
        <f>A33+1</f>
        <v>2</v>
      </c>
      <c r="B34" s="32" t="s">
        <v>624</v>
      </c>
      <c r="C34" s="52"/>
      <c r="D34" s="347">
        <v>1</v>
      </c>
      <c r="E34" s="343">
        <f t="shared" si="2"/>
        <v>0</v>
      </c>
    </row>
    <row r="35" spans="1:9" ht="18.95" customHeight="1">
      <c r="A35" s="135">
        <f>A34+1</f>
        <v>3</v>
      </c>
      <c r="B35" s="32" t="s">
        <v>116</v>
      </c>
      <c r="C35" s="52">
        <f>SUMIFS('FC CWIP &amp; RWIP F'!$Q$6:$Q$13,'FC CWIP &amp; RWIP F'!$C$6:$C$13,I35,'FC CWIP &amp; RWIP F'!$A$6:$A$13,B35)*-1000</f>
        <v>-4134354.1484615379</v>
      </c>
      <c r="D35" s="347">
        <v>1</v>
      </c>
      <c r="E35" s="343">
        <f t="shared" si="2"/>
        <v>-4134354.1484615379</v>
      </c>
      <c r="G35" s="32" t="s">
        <v>784</v>
      </c>
      <c r="I35" s="390" t="s">
        <v>1062</v>
      </c>
    </row>
    <row r="36" spans="1:9" ht="18.95" customHeight="1">
      <c r="A36" s="135">
        <f t="shared" ref="A36:A38" si="3">A35+1</f>
        <v>4</v>
      </c>
      <c r="B36" s="32" t="s">
        <v>125</v>
      </c>
      <c r="C36" s="52">
        <f>SUMIFS('FC CWIP &amp; RWIP F'!$Q$6:$Q$13,'FC CWIP &amp; RWIP F'!$C$6:$C$13,I36,'FC CWIP &amp; RWIP F'!$A$6:$A$13,B36)*-1000</f>
        <v>-882918.77461538452</v>
      </c>
      <c r="D36" s="347">
        <v>1</v>
      </c>
      <c r="E36" s="343">
        <f t="shared" si="2"/>
        <v>-882918.77461538452</v>
      </c>
      <c r="G36" s="32" t="s">
        <v>784</v>
      </c>
      <c r="I36" s="390" t="s">
        <v>1062</v>
      </c>
    </row>
    <row r="37" spans="1:9" ht="18.95" customHeight="1">
      <c r="A37" s="135">
        <f t="shared" si="3"/>
        <v>5</v>
      </c>
      <c r="B37" s="32" t="s">
        <v>126</v>
      </c>
      <c r="C37" s="52"/>
      <c r="D37" s="347">
        <v>1</v>
      </c>
      <c r="E37" s="343">
        <f t="shared" si="2"/>
        <v>0</v>
      </c>
      <c r="G37" s="77"/>
    </row>
    <row r="38" spans="1:9" ht="18.95" customHeight="1">
      <c r="A38" s="135">
        <f t="shared" si="3"/>
        <v>6</v>
      </c>
      <c r="B38" s="32" t="s">
        <v>503</v>
      </c>
      <c r="C38" s="52"/>
      <c r="D38" s="347">
        <v>1</v>
      </c>
      <c r="E38" s="343">
        <f t="shared" si="2"/>
        <v>0</v>
      </c>
      <c r="G38" s="77"/>
    </row>
    <row r="39" spans="1:9" ht="18.95" customHeight="1"/>
    <row r="40" spans="1:9" ht="18.95" customHeight="1"/>
    <row r="41" spans="1:9" ht="18.95" customHeight="1"/>
    <row r="42" spans="1:9" ht="18.95" customHeight="1"/>
    <row r="43" spans="1:9" ht="18.95" customHeight="1"/>
    <row r="44" spans="1:9" ht="18.95" customHeight="1"/>
    <row r="45" spans="1:9" ht="18.95" customHeight="1"/>
    <row r="46" spans="1:9" ht="18.95" customHeight="1"/>
    <row r="47" spans="1:9" ht="18.95" customHeight="1"/>
    <row r="48" spans="1:9" ht="18.95" customHeight="1"/>
  </sheetData>
  <mergeCells count="8">
    <mergeCell ref="A23:G23"/>
    <mergeCell ref="A24:G24"/>
    <mergeCell ref="A1:G1"/>
    <mergeCell ref="A2:G2"/>
    <mergeCell ref="A3:H3"/>
    <mergeCell ref="A4:G4"/>
    <mergeCell ref="A21:G21"/>
    <mergeCell ref="A22:G22"/>
  </mergeCells>
  <pageMargins left="0.95" right="0.5" top="0.75" bottom="0.75" header="0.3" footer="0.3"/>
  <pageSetup scale="63" fitToHeight="0" orientation="portrait" r:id="rId1"/>
  <rowBreaks count="1" manualBreakCount="1">
    <brk id="20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P94"/>
  <sheetViews>
    <sheetView view="pageBreakPreview" zoomScale="60" zoomScaleNormal="100" workbookViewId="0">
      <selection sqref="A1:J1"/>
    </sheetView>
  </sheetViews>
  <sheetFormatPr defaultColWidth="9" defaultRowHeight="12.75"/>
  <cols>
    <col min="1" max="1" width="6" style="32" customWidth="1"/>
    <col min="2" max="2" width="13.6640625" style="321" customWidth="1"/>
    <col min="3" max="3" width="34.33203125" style="32" customWidth="1"/>
    <col min="4" max="5" width="14.44140625" style="74" customWidth="1"/>
    <col min="6" max="6" width="10" style="32" customWidth="1"/>
    <col min="7" max="8" width="14.109375" style="32" customWidth="1"/>
    <col min="9" max="9" width="14.44140625" style="32" customWidth="1"/>
    <col min="10" max="10" width="13.77734375" style="32" customWidth="1"/>
    <col min="11" max="11" width="1.6640625" style="32" customWidth="1"/>
    <col min="12" max="14" width="9" style="32"/>
    <col min="15" max="15" width="11.109375" style="32" customWidth="1"/>
    <col min="16" max="16384" width="9" style="32"/>
  </cols>
  <sheetData>
    <row r="1" spans="1:16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  <c r="G1" s="494"/>
      <c r="H1" s="494"/>
      <c r="I1" s="494"/>
      <c r="J1" s="494"/>
    </row>
    <row r="2" spans="1:16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  <c r="G2" s="494"/>
      <c r="H2" s="494"/>
      <c r="I2" s="494"/>
      <c r="J2" s="494"/>
    </row>
    <row r="3" spans="1:16" ht="20.100000000000001" customHeight="1">
      <c r="A3" s="494" t="s">
        <v>175</v>
      </c>
      <c r="B3" s="494"/>
      <c r="C3" s="494"/>
      <c r="D3" s="494"/>
      <c r="E3" s="494"/>
      <c r="F3" s="494"/>
      <c r="G3" s="494"/>
      <c r="H3" s="494"/>
      <c r="I3" s="494"/>
      <c r="J3" s="494"/>
    </row>
    <row r="4" spans="1:16" ht="20.100000000000001" customHeight="1">
      <c r="A4" s="494" t="str">
        <f>'Rate Case Constants'!C12</f>
        <v>AS OF FEBRUARY 28, 2017</v>
      </c>
      <c r="B4" s="494"/>
      <c r="C4" s="494"/>
      <c r="D4" s="494"/>
      <c r="E4" s="494"/>
      <c r="F4" s="494"/>
      <c r="G4" s="494"/>
      <c r="H4" s="494"/>
      <c r="I4" s="494"/>
      <c r="J4" s="494"/>
    </row>
    <row r="5" spans="1:16" ht="20.100000000000001" customHeight="1">
      <c r="A5" s="319"/>
      <c r="B5" s="319"/>
      <c r="C5" s="319"/>
      <c r="D5" s="319"/>
      <c r="E5" s="319"/>
      <c r="F5" s="319"/>
      <c r="G5" s="319"/>
      <c r="H5" s="319"/>
      <c r="I5" s="319"/>
      <c r="J5" s="319"/>
    </row>
    <row r="6" spans="1:16" ht="20.100000000000001" customHeight="1">
      <c r="A6" s="31" t="s">
        <v>31</v>
      </c>
      <c r="B6" s="320"/>
      <c r="G6" s="38"/>
      <c r="H6" s="38"/>
      <c r="I6" s="38"/>
      <c r="J6" s="38" t="s">
        <v>632</v>
      </c>
    </row>
    <row r="7" spans="1:16" ht="20.100000000000001" customHeight="1">
      <c r="A7" s="32" t="str">
        <f>'Rate Case Constants'!C29</f>
        <v>TYPE OF FILING: __X__ ORIGINAL  _____ UPDATED  _____ REVISED</v>
      </c>
      <c r="G7" s="38"/>
      <c r="H7" s="38"/>
      <c r="I7" s="38"/>
      <c r="J7" s="38" t="s">
        <v>1479</v>
      </c>
    </row>
    <row r="8" spans="1:16" ht="20.100000000000001" customHeight="1">
      <c r="A8" s="31" t="s">
        <v>151</v>
      </c>
      <c r="B8" s="320"/>
      <c r="F8" s="31"/>
      <c r="G8" s="39"/>
      <c r="H8" s="39"/>
      <c r="I8" s="39"/>
      <c r="J8" s="39" t="str">
        <f>'Rate Case Constants'!C36</f>
        <v>WITNESS:   C. M. GARRETT</v>
      </c>
    </row>
    <row r="9" spans="1:16" ht="20.100000000000001" customHeight="1">
      <c r="G9" s="324"/>
    </row>
    <row r="10" spans="1:16" ht="58.5" customHeight="1">
      <c r="A10" s="40" t="s">
        <v>29</v>
      </c>
      <c r="B10" s="40" t="s">
        <v>178</v>
      </c>
      <c r="C10" s="40" t="s">
        <v>179</v>
      </c>
      <c r="D10" s="73" t="s">
        <v>181</v>
      </c>
      <c r="E10" s="73" t="s">
        <v>182</v>
      </c>
      <c r="F10" s="40" t="s">
        <v>183</v>
      </c>
      <c r="G10" s="40" t="s">
        <v>184</v>
      </c>
      <c r="H10" s="40" t="s">
        <v>185</v>
      </c>
      <c r="I10" s="40" t="s">
        <v>186</v>
      </c>
      <c r="J10" s="40" t="s">
        <v>187</v>
      </c>
      <c r="M10" s="79" t="s">
        <v>195</v>
      </c>
      <c r="N10" s="79" t="s">
        <v>196</v>
      </c>
      <c r="O10" s="79" t="s">
        <v>197</v>
      </c>
      <c r="P10" s="79" t="s">
        <v>183</v>
      </c>
    </row>
    <row r="11" spans="1:16" ht="23.1" customHeight="1">
      <c r="A11" s="44" t="s">
        <v>176</v>
      </c>
      <c r="B11" s="44" t="s">
        <v>177</v>
      </c>
      <c r="C11" s="44" t="s">
        <v>180</v>
      </c>
      <c r="D11" s="325" t="s">
        <v>188</v>
      </c>
      <c r="E11" s="325" t="s">
        <v>189</v>
      </c>
      <c r="F11" s="326" t="s">
        <v>190</v>
      </c>
      <c r="G11" s="326" t="s">
        <v>191</v>
      </c>
      <c r="H11" s="326" t="s">
        <v>192</v>
      </c>
      <c r="I11" s="326" t="s">
        <v>193</v>
      </c>
      <c r="J11" s="326" t="s">
        <v>194</v>
      </c>
    </row>
    <row r="12" spans="1:16" ht="18.95" customHeight="1">
      <c r="A12" s="70"/>
      <c r="B12" s="71"/>
      <c r="E12" s="76"/>
    </row>
    <row r="13" spans="1:16" ht="18.95" customHeight="1">
      <c r="A13" s="321">
        <f>1</f>
        <v>1</v>
      </c>
      <c r="B13" s="327" t="s">
        <v>1112</v>
      </c>
      <c r="C13" s="324" t="s">
        <v>1113</v>
      </c>
      <c r="D13" s="75">
        <v>42005</v>
      </c>
      <c r="E13" s="76">
        <v>42978</v>
      </c>
      <c r="F13" s="78">
        <f t="shared" ref="F13:F88" si="0">P13</f>
        <v>0.81089414182939368</v>
      </c>
      <c r="G13" s="324">
        <v>284999.99699999997</v>
      </c>
      <c r="H13" s="324">
        <v>494066.82899999997</v>
      </c>
      <c r="I13" s="328">
        <v>393805.74900000001</v>
      </c>
      <c r="J13" s="322">
        <f t="shared" ref="J13:J88" si="1">I13/H13</f>
        <v>0.79706980085481516</v>
      </c>
      <c r="M13" s="38">
        <f t="shared" ref="M13:M88" si="2">E13-D13</f>
        <v>973</v>
      </c>
      <c r="N13" s="76">
        <v>42794</v>
      </c>
      <c r="O13" s="38">
        <f t="shared" ref="O13:O88" si="3">E13-N13</f>
        <v>184</v>
      </c>
      <c r="P13" s="323">
        <f t="shared" ref="P13:P88" si="4">(M13-O13)/M13</f>
        <v>0.81089414182939368</v>
      </c>
    </row>
    <row r="14" spans="1:16" ht="18.95" customHeight="1">
      <c r="A14" s="321">
        <f>A13+1</f>
        <v>2</v>
      </c>
      <c r="B14" s="327" t="s">
        <v>1110</v>
      </c>
      <c r="C14" s="324" t="s">
        <v>1111</v>
      </c>
      <c r="D14" s="75">
        <v>41640</v>
      </c>
      <c r="E14" s="76">
        <v>43100</v>
      </c>
      <c r="F14" s="78">
        <f t="shared" si="0"/>
        <v>0.79041095890410962</v>
      </c>
      <c r="G14" s="324">
        <v>267091.43400000001</v>
      </c>
      <c r="H14" s="324">
        <v>323272.38899999997</v>
      </c>
      <c r="I14" s="328">
        <v>64703.837999999996</v>
      </c>
      <c r="J14" s="322">
        <f t="shared" si="1"/>
        <v>0.20015268919239498</v>
      </c>
      <c r="M14" s="38">
        <f t="shared" si="2"/>
        <v>1460</v>
      </c>
      <c r="N14" s="76">
        <v>42794</v>
      </c>
      <c r="O14" s="38">
        <f t="shared" si="3"/>
        <v>306</v>
      </c>
      <c r="P14" s="323">
        <f t="shared" si="4"/>
        <v>0.79041095890410962</v>
      </c>
    </row>
    <row r="15" spans="1:16" ht="18.95" customHeight="1">
      <c r="A15" s="321">
        <f t="shared" ref="A15:A90" si="5">A14+1</f>
        <v>3</v>
      </c>
      <c r="B15" s="327" t="s">
        <v>1121</v>
      </c>
      <c r="C15" s="324" t="s">
        <v>1122</v>
      </c>
      <c r="D15" s="75">
        <v>42370</v>
      </c>
      <c r="E15" s="76">
        <v>43100</v>
      </c>
      <c r="F15" s="78">
        <f t="shared" si="0"/>
        <v>0.58082191780821912</v>
      </c>
      <c r="G15" s="324">
        <v>45000</v>
      </c>
      <c r="H15" s="324">
        <v>210662.54399999999</v>
      </c>
      <c r="I15" s="328">
        <v>139282.674</v>
      </c>
      <c r="J15" s="322">
        <f t="shared" si="1"/>
        <v>0.66116487228977927</v>
      </c>
      <c r="M15" s="38">
        <f t="shared" si="2"/>
        <v>730</v>
      </c>
      <c r="N15" s="76">
        <v>42794</v>
      </c>
      <c r="O15" s="38">
        <f t="shared" si="3"/>
        <v>306</v>
      </c>
      <c r="P15" s="323">
        <f t="shared" si="4"/>
        <v>0.58082191780821912</v>
      </c>
    </row>
    <row r="16" spans="1:16" ht="18.95" customHeight="1">
      <c r="A16" s="321">
        <f t="shared" si="5"/>
        <v>4</v>
      </c>
      <c r="B16" s="327" t="s">
        <v>1358</v>
      </c>
      <c r="C16" s="324" t="s">
        <v>1117</v>
      </c>
      <c r="D16" s="75">
        <v>42370</v>
      </c>
      <c r="E16" s="76">
        <v>43100</v>
      </c>
      <c r="F16" s="78">
        <f t="shared" si="0"/>
        <v>0.58082191780821912</v>
      </c>
      <c r="G16" s="324">
        <v>354959.18</v>
      </c>
      <c r="H16" s="324">
        <v>567623.42999999993</v>
      </c>
      <c r="I16" s="328">
        <v>385445.07999999996</v>
      </c>
      <c r="J16" s="322">
        <f t="shared" si="1"/>
        <v>0.67905068682594727</v>
      </c>
      <c r="M16" s="38">
        <f t="shared" si="2"/>
        <v>730</v>
      </c>
      <c r="N16" s="76">
        <v>42794</v>
      </c>
      <c r="O16" s="38">
        <f t="shared" si="3"/>
        <v>306</v>
      </c>
      <c r="P16" s="323">
        <f t="shared" si="4"/>
        <v>0.58082191780821912</v>
      </c>
    </row>
    <row r="17" spans="1:16" ht="18.95" customHeight="1">
      <c r="A17" s="321">
        <f t="shared" si="5"/>
        <v>5</v>
      </c>
      <c r="B17" s="327" t="s">
        <v>1366</v>
      </c>
      <c r="C17" s="324" t="s">
        <v>1367</v>
      </c>
      <c r="D17" s="75">
        <v>42370</v>
      </c>
      <c r="E17" s="76">
        <v>42855</v>
      </c>
      <c r="F17" s="78">
        <f t="shared" si="0"/>
        <v>0.87422680412371134</v>
      </c>
      <c r="G17" s="324">
        <v>6450.0119999999997</v>
      </c>
      <c r="H17" s="324">
        <v>67570.5</v>
      </c>
      <c r="I17" s="328">
        <v>63820.5</v>
      </c>
      <c r="J17" s="322">
        <f t="shared" si="1"/>
        <v>0.94450240859546697</v>
      </c>
      <c r="M17" s="38">
        <f t="shared" si="2"/>
        <v>485</v>
      </c>
      <c r="N17" s="76">
        <v>42794</v>
      </c>
      <c r="O17" s="38">
        <f t="shared" si="3"/>
        <v>61</v>
      </c>
      <c r="P17" s="323">
        <f t="shared" si="4"/>
        <v>0.87422680412371134</v>
      </c>
    </row>
    <row r="18" spans="1:16" ht="18.95" customHeight="1">
      <c r="A18" s="321">
        <f t="shared" si="5"/>
        <v>6</v>
      </c>
      <c r="B18" s="327" t="s">
        <v>1359</v>
      </c>
      <c r="C18" s="324" t="s">
        <v>1360</v>
      </c>
      <c r="D18" s="75">
        <v>41821</v>
      </c>
      <c r="E18" s="76">
        <v>43555</v>
      </c>
      <c r="F18" s="78">
        <f t="shared" si="0"/>
        <v>0.56113033448673588</v>
      </c>
      <c r="G18" s="324">
        <v>475211.61</v>
      </c>
      <c r="H18" s="324">
        <v>27863305.379999999</v>
      </c>
      <c r="I18" s="328">
        <v>363345.38</v>
      </c>
      <c r="J18" s="322">
        <f t="shared" si="1"/>
        <v>1.3040282731883119E-2</v>
      </c>
      <c r="M18" s="38">
        <f t="shared" si="2"/>
        <v>1734</v>
      </c>
      <c r="N18" s="76">
        <v>42794</v>
      </c>
      <c r="O18" s="38">
        <f t="shared" si="3"/>
        <v>761</v>
      </c>
      <c r="P18" s="323">
        <f t="shared" si="4"/>
        <v>0.56113033448673588</v>
      </c>
    </row>
    <row r="19" spans="1:16" ht="18.95" customHeight="1">
      <c r="A19" s="321">
        <f t="shared" si="5"/>
        <v>7</v>
      </c>
      <c r="B19" s="327" t="s">
        <v>1356</v>
      </c>
      <c r="C19" s="324" t="s">
        <v>1357</v>
      </c>
      <c r="D19" s="75">
        <v>42005</v>
      </c>
      <c r="E19" s="76">
        <v>43069</v>
      </c>
      <c r="F19" s="78">
        <f t="shared" si="0"/>
        <v>0.74154135338345861</v>
      </c>
      <c r="G19" s="324">
        <v>552416.9</v>
      </c>
      <c r="H19" s="324">
        <v>2962412.2</v>
      </c>
      <c r="I19" s="328">
        <v>714183.00000000012</v>
      </c>
      <c r="J19" s="322">
        <f t="shared" si="1"/>
        <v>0.24108157534592928</v>
      </c>
      <c r="M19" s="38">
        <f t="shared" si="2"/>
        <v>1064</v>
      </c>
      <c r="N19" s="76">
        <v>42794</v>
      </c>
      <c r="O19" s="38">
        <f t="shared" si="3"/>
        <v>275</v>
      </c>
      <c r="P19" s="323">
        <f t="shared" si="4"/>
        <v>0.74154135338345861</v>
      </c>
    </row>
    <row r="20" spans="1:16" ht="18.95" customHeight="1">
      <c r="A20" s="321">
        <f t="shared" si="5"/>
        <v>8</v>
      </c>
      <c r="B20" s="327" t="s">
        <v>1361</v>
      </c>
      <c r="C20" s="324" t="s">
        <v>1118</v>
      </c>
      <c r="D20" s="75">
        <v>42370</v>
      </c>
      <c r="E20" s="76">
        <v>43039</v>
      </c>
      <c r="F20" s="78">
        <f t="shared" si="0"/>
        <v>0.63378176382660689</v>
      </c>
      <c r="G20" s="324">
        <v>125315.43</v>
      </c>
      <c r="H20" s="324">
        <v>656468.37999999989</v>
      </c>
      <c r="I20" s="328">
        <v>128618.44</v>
      </c>
      <c r="J20" s="322">
        <f t="shared" si="1"/>
        <v>0.19592480600512704</v>
      </c>
      <c r="M20" s="38">
        <f t="shared" si="2"/>
        <v>669</v>
      </c>
      <c r="N20" s="76">
        <v>42794</v>
      </c>
      <c r="O20" s="38">
        <f t="shared" si="3"/>
        <v>245</v>
      </c>
      <c r="P20" s="323">
        <f t="shared" si="4"/>
        <v>0.63378176382660689</v>
      </c>
    </row>
    <row r="21" spans="1:16" ht="18.95" customHeight="1">
      <c r="A21" s="321">
        <f t="shared" si="5"/>
        <v>9</v>
      </c>
      <c r="B21" s="327" t="s">
        <v>1444</v>
      </c>
      <c r="C21" s="324" t="s">
        <v>1123</v>
      </c>
      <c r="D21" s="75">
        <v>42005</v>
      </c>
      <c r="E21" s="76">
        <v>44926</v>
      </c>
      <c r="F21" s="78">
        <f t="shared" si="0"/>
        <v>0.27011297500855869</v>
      </c>
      <c r="G21" s="324">
        <v>14700</v>
      </c>
      <c r="H21" s="324">
        <v>20580</v>
      </c>
      <c r="I21" s="328">
        <v>2940</v>
      </c>
      <c r="J21" s="322">
        <f t="shared" si="1"/>
        <v>0.14285714285714285</v>
      </c>
      <c r="M21" s="38">
        <f t="shared" si="2"/>
        <v>2921</v>
      </c>
      <c r="N21" s="76">
        <v>42794</v>
      </c>
      <c r="O21" s="38">
        <f t="shared" si="3"/>
        <v>2132</v>
      </c>
      <c r="P21" s="323">
        <f t="shared" si="4"/>
        <v>0.27011297500855869</v>
      </c>
    </row>
    <row r="22" spans="1:16" ht="18.95" customHeight="1">
      <c r="A22" s="321">
        <f t="shared" si="5"/>
        <v>10</v>
      </c>
      <c r="B22" s="327" t="s">
        <v>1370</v>
      </c>
      <c r="C22" s="324" t="s">
        <v>1371</v>
      </c>
      <c r="D22" s="75">
        <v>42370</v>
      </c>
      <c r="E22" s="76">
        <v>43830</v>
      </c>
      <c r="F22" s="78">
        <f t="shared" si="0"/>
        <v>0.29041095890410956</v>
      </c>
      <c r="G22" s="324">
        <v>238500</v>
      </c>
      <c r="H22" s="324">
        <v>238500</v>
      </c>
      <c r="I22" s="328">
        <v>57000</v>
      </c>
      <c r="J22" s="322">
        <f t="shared" si="1"/>
        <v>0.2389937106918239</v>
      </c>
      <c r="M22" s="38">
        <f t="shared" si="2"/>
        <v>1460</v>
      </c>
      <c r="N22" s="76">
        <v>42794</v>
      </c>
      <c r="O22" s="38">
        <f t="shared" si="3"/>
        <v>1036</v>
      </c>
      <c r="P22" s="323">
        <f t="shared" si="4"/>
        <v>0.29041095890410956</v>
      </c>
    </row>
    <row r="23" spans="1:16" ht="18.95" customHeight="1">
      <c r="A23" s="321">
        <f t="shared" si="5"/>
        <v>11</v>
      </c>
      <c r="B23" s="327" t="s">
        <v>1432</v>
      </c>
      <c r="C23" s="324" t="s">
        <v>1433</v>
      </c>
      <c r="D23" s="75">
        <v>42736</v>
      </c>
      <c r="E23" s="76">
        <v>43100</v>
      </c>
      <c r="F23" s="78">
        <f t="shared" si="0"/>
        <v>0.15934065934065933</v>
      </c>
      <c r="G23" s="324">
        <v>39396.14</v>
      </c>
      <c r="H23" s="324">
        <v>38760</v>
      </c>
      <c r="I23" s="328">
        <v>5700</v>
      </c>
      <c r="J23" s="322">
        <f t="shared" si="1"/>
        <v>0.14705882352941177</v>
      </c>
      <c r="M23" s="38">
        <f t="shared" si="2"/>
        <v>364</v>
      </c>
      <c r="N23" s="76">
        <v>42794</v>
      </c>
      <c r="O23" s="38">
        <f t="shared" si="3"/>
        <v>306</v>
      </c>
      <c r="P23" s="323">
        <f t="shared" si="4"/>
        <v>0.15934065934065933</v>
      </c>
    </row>
    <row r="24" spans="1:16" ht="18.95" customHeight="1">
      <c r="A24" s="321">
        <f t="shared" si="5"/>
        <v>12</v>
      </c>
      <c r="B24" s="327" t="s">
        <v>1364</v>
      </c>
      <c r="C24" s="324" t="s">
        <v>1365</v>
      </c>
      <c r="D24" s="75">
        <v>42583</v>
      </c>
      <c r="E24" s="76">
        <v>42735</v>
      </c>
      <c r="F24" s="78">
        <f t="shared" si="0"/>
        <v>1.388157894736842</v>
      </c>
      <c r="G24" s="324">
        <v>49824.53</v>
      </c>
      <c r="H24" s="324">
        <v>140000.1</v>
      </c>
      <c r="I24" s="328">
        <v>70000</v>
      </c>
      <c r="J24" s="322">
        <f t="shared" si="1"/>
        <v>0.49999964285739795</v>
      </c>
      <c r="M24" s="38">
        <f t="shared" si="2"/>
        <v>152</v>
      </c>
      <c r="N24" s="76">
        <v>42794</v>
      </c>
      <c r="O24" s="38">
        <f t="shared" si="3"/>
        <v>-59</v>
      </c>
      <c r="P24" s="323">
        <f t="shared" si="4"/>
        <v>1.388157894736842</v>
      </c>
    </row>
    <row r="25" spans="1:16" ht="18.95" customHeight="1">
      <c r="A25" s="321">
        <f t="shared" si="5"/>
        <v>13</v>
      </c>
      <c r="B25" s="327" t="s">
        <v>1406</v>
      </c>
      <c r="C25" s="324" t="s">
        <v>1407</v>
      </c>
      <c r="D25" s="75">
        <v>42370</v>
      </c>
      <c r="E25" s="76">
        <v>44561</v>
      </c>
      <c r="F25" s="78">
        <f t="shared" si="0"/>
        <v>0.19351894112277498</v>
      </c>
      <c r="G25" s="324">
        <v>35850</v>
      </c>
      <c r="H25" s="324">
        <v>178315.34100000001</v>
      </c>
      <c r="I25" s="328">
        <v>11515.341</v>
      </c>
      <c r="J25" s="322">
        <f t="shared" si="1"/>
        <v>6.4578521037065448E-2</v>
      </c>
      <c r="M25" s="38">
        <f t="shared" si="2"/>
        <v>2191</v>
      </c>
      <c r="N25" s="76">
        <v>42794</v>
      </c>
      <c r="O25" s="38">
        <f t="shared" si="3"/>
        <v>1767</v>
      </c>
      <c r="P25" s="323">
        <f t="shared" si="4"/>
        <v>0.19351894112277498</v>
      </c>
    </row>
    <row r="26" spans="1:16" ht="18.95" customHeight="1">
      <c r="A26" s="321">
        <f t="shared" si="5"/>
        <v>14</v>
      </c>
      <c r="B26" s="327" t="s">
        <v>1426</v>
      </c>
      <c r="C26" s="324" t="s">
        <v>1427</v>
      </c>
      <c r="D26" s="75">
        <v>42736</v>
      </c>
      <c r="E26" s="76">
        <v>43465</v>
      </c>
      <c r="F26" s="78">
        <f t="shared" si="0"/>
        <v>7.956104252400549E-2</v>
      </c>
      <c r="G26" s="324">
        <v>1128978.8600000001</v>
      </c>
      <c r="H26" s="324">
        <v>1157057.7</v>
      </c>
      <c r="I26" s="328">
        <v>6179.46</v>
      </c>
      <c r="J26" s="322">
        <f t="shared" si="1"/>
        <v>5.3406671076126977E-3</v>
      </c>
      <c r="M26" s="38">
        <f t="shared" si="2"/>
        <v>729</v>
      </c>
      <c r="N26" s="76">
        <v>42794</v>
      </c>
      <c r="O26" s="38">
        <f t="shared" si="3"/>
        <v>671</v>
      </c>
      <c r="P26" s="323">
        <f t="shared" si="4"/>
        <v>7.956104252400549E-2</v>
      </c>
    </row>
    <row r="27" spans="1:16" ht="18.95" customHeight="1">
      <c r="A27" s="321">
        <f t="shared" si="5"/>
        <v>15</v>
      </c>
      <c r="B27" s="327" t="s">
        <v>1388</v>
      </c>
      <c r="C27" s="324" t="s">
        <v>1389</v>
      </c>
      <c r="D27" s="75">
        <v>42736</v>
      </c>
      <c r="E27" s="76">
        <v>43830</v>
      </c>
      <c r="F27" s="78">
        <f t="shared" si="0"/>
        <v>5.3016453382084092E-2</v>
      </c>
      <c r="G27" s="324">
        <v>2542187.66</v>
      </c>
      <c r="H27" s="324">
        <v>1425328.77</v>
      </c>
      <c r="I27" s="328">
        <v>31795.27</v>
      </c>
      <c r="J27" s="322">
        <f t="shared" si="1"/>
        <v>2.2307323523680787E-2</v>
      </c>
      <c r="M27" s="38">
        <f t="shared" si="2"/>
        <v>1094</v>
      </c>
      <c r="N27" s="76">
        <v>42794</v>
      </c>
      <c r="O27" s="38">
        <f t="shared" si="3"/>
        <v>1036</v>
      </c>
      <c r="P27" s="323">
        <f t="shared" si="4"/>
        <v>5.3016453382084092E-2</v>
      </c>
    </row>
    <row r="28" spans="1:16" ht="18.95" customHeight="1">
      <c r="A28" s="321">
        <f t="shared" si="5"/>
        <v>16</v>
      </c>
      <c r="B28" s="327" t="s">
        <v>1408</v>
      </c>
      <c r="C28" s="324" t="s">
        <v>1409</v>
      </c>
      <c r="D28" s="75">
        <v>42736</v>
      </c>
      <c r="E28" s="76">
        <v>43100</v>
      </c>
      <c r="F28" s="78">
        <f t="shared" si="0"/>
        <v>0.15934065934065933</v>
      </c>
      <c r="G28" s="324">
        <v>291810.24</v>
      </c>
      <c r="H28" s="324">
        <v>1560166.88</v>
      </c>
      <c r="I28" s="328">
        <v>11400</v>
      </c>
      <c r="J28" s="322">
        <f t="shared" si="1"/>
        <v>7.3069106556088413E-3</v>
      </c>
      <c r="M28" s="38">
        <f t="shared" si="2"/>
        <v>364</v>
      </c>
      <c r="N28" s="76">
        <v>42794</v>
      </c>
      <c r="O28" s="38">
        <f t="shared" si="3"/>
        <v>306</v>
      </c>
      <c r="P28" s="323">
        <f t="shared" si="4"/>
        <v>0.15934065934065933</v>
      </c>
    </row>
    <row r="29" spans="1:16" ht="18.95" customHeight="1">
      <c r="A29" s="321">
        <f t="shared" si="5"/>
        <v>17</v>
      </c>
      <c r="B29" s="327" t="s">
        <v>1430</v>
      </c>
      <c r="C29" s="324" t="s">
        <v>1431</v>
      </c>
      <c r="D29" s="75">
        <v>42205</v>
      </c>
      <c r="E29" s="76">
        <v>43100</v>
      </c>
      <c r="F29" s="78">
        <f t="shared" si="0"/>
        <v>0.6581005586592179</v>
      </c>
      <c r="G29" s="324">
        <v>36600</v>
      </c>
      <c r="H29" s="324">
        <v>36600</v>
      </c>
      <c r="I29" s="328">
        <v>6000</v>
      </c>
      <c r="J29" s="322">
        <f t="shared" si="1"/>
        <v>0.16393442622950818</v>
      </c>
      <c r="M29" s="38">
        <f t="shared" si="2"/>
        <v>895</v>
      </c>
      <c r="N29" s="76">
        <v>42794</v>
      </c>
      <c r="O29" s="38">
        <f t="shared" si="3"/>
        <v>306</v>
      </c>
      <c r="P29" s="323">
        <f t="shared" si="4"/>
        <v>0.6581005586592179</v>
      </c>
    </row>
    <row r="30" spans="1:16" ht="18.95" customHeight="1">
      <c r="A30" s="321">
        <f t="shared" si="5"/>
        <v>18</v>
      </c>
      <c r="B30" s="327" t="s">
        <v>1428</v>
      </c>
      <c r="C30" s="324" t="s">
        <v>1429</v>
      </c>
      <c r="D30" s="75">
        <v>42767</v>
      </c>
      <c r="E30" s="76">
        <v>42887</v>
      </c>
      <c r="F30" s="78">
        <f t="shared" si="0"/>
        <v>0.22500000000000001</v>
      </c>
      <c r="G30" s="324">
        <v>45000</v>
      </c>
      <c r="H30" s="324">
        <v>21420</v>
      </c>
      <c r="I30" s="328">
        <v>6120</v>
      </c>
      <c r="J30" s="322">
        <f t="shared" si="1"/>
        <v>0.2857142857142857</v>
      </c>
      <c r="M30" s="38">
        <f t="shared" si="2"/>
        <v>120</v>
      </c>
      <c r="N30" s="76">
        <v>42794</v>
      </c>
      <c r="O30" s="38">
        <f t="shared" si="3"/>
        <v>93</v>
      </c>
      <c r="P30" s="323">
        <f t="shared" si="4"/>
        <v>0.22500000000000001</v>
      </c>
    </row>
    <row r="31" spans="1:16" ht="18.95" customHeight="1">
      <c r="A31" s="321">
        <f t="shared" si="5"/>
        <v>19</v>
      </c>
      <c r="B31" s="327" t="s">
        <v>1394</v>
      </c>
      <c r="C31" s="324" t="s">
        <v>1395</v>
      </c>
      <c r="D31" s="75">
        <v>42736</v>
      </c>
      <c r="E31" s="76">
        <v>43830</v>
      </c>
      <c r="F31" s="78">
        <f t="shared" si="0"/>
        <v>5.3016453382084092E-2</v>
      </c>
      <c r="G31" s="324">
        <v>30339.64</v>
      </c>
      <c r="H31" s="324">
        <v>30339.64</v>
      </c>
      <c r="I31" s="328">
        <v>26220</v>
      </c>
      <c r="J31" s="322">
        <f t="shared" si="1"/>
        <v>0.86421592345855125</v>
      </c>
      <c r="M31" s="38">
        <f t="shared" si="2"/>
        <v>1094</v>
      </c>
      <c r="N31" s="76">
        <v>42794</v>
      </c>
      <c r="O31" s="38">
        <f t="shared" si="3"/>
        <v>1036</v>
      </c>
      <c r="P31" s="323">
        <f t="shared" si="4"/>
        <v>5.3016453382084092E-2</v>
      </c>
    </row>
    <row r="32" spans="1:16" ht="18.95" customHeight="1">
      <c r="A32" s="321">
        <f t="shared" si="5"/>
        <v>20</v>
      </c>
      <c r="B32" s="327" t="s">
        <v>1396</v>
      </c>
      <c r="C32" s="324" t="s">
        <v>1397</v>
      </c>
      <c r="D32" s="75">
        <v>42736</v>
      </c>
      <c r="E32" s="76">
        <v>43830</v>
      </c>
      <c r="F32" s="78">
        <f t="shared" si="0"/>
        <v>5.3016453382084092E-2</v>
      </c>
      <c r="G32" s="324">
        <v>29899.279999999999</v>
      </c>
      <c r="H32" s="324">
        <v>29899.279999999999</v>
      </c>
      <c r="I32" s="328">
        <v>25779.64</v>
      </c>
      <c r="J32" s="322">
        <f t="shared" si="1"/>
        <v>0.86221608011965511</v>
      </c>
      <c r="M32" s="38">
        <f t="shared" si="2"/>
        <v>1094</v>
      </c>
      <c r="N32" s="76">
        <v>42794</v>
      </c>
      <c r="O32" s="38">
        <f t="shared" si="3"/>
        <v>1036</v>
      </c>
      <c r="P32" s="323">
        <f t="shared" si="4"/>
        <v>5.3016453382084092E-2</v>
      </c>
    </row>
    <row r="33" spans="1:16" ht="18.95" customHeight="1">
      <c r="A33" s="321">
        <f t="shared" si="5"/>
        <v>21</v>
      </c>
      <c r="B33" s="327" t="s">
        <v>1386</v>
      </c>
      <c r="C33" s="324" t="s">
        <v>1387</v>
      </c>
      <c r="D33" s="75">
        <v>42736</v>
      </c>
      <c r="E33" s="76">
        <v>43830</v>
      </c>
      <c r="F33" s="78">
        <f t="shared" si="0"/>
        <v>5.3016453382084092E-2</v>
      </c>
      <c r="G33" s="324">
        <v>1464604.68</v>
      </c>
      <c r="H33" s="324">
        <v>1464604.68</v>
      </c>
      <c r="I33" s="328">
        <v>32286.34</v>
      </c>
      <c r="J33" s="322">
        <f t="shared" si="1"/>
        <v>2.204440586657145E-2</v>
      </c>
      <c r="M33" s="38">
        <f t="shared" si="2"/>
        <v>1094</v>
      </c>
      <c r="N33" s="76">
        <v>42794</v>
      </c>
      <c r="O33" s="38">
        <f t="shared" si="3"/>
        <v>1036</v>
      </c>
      <c r="P33" s="323">
        <f t="shared" si="4"/>
        <v>5.3016453382084092E-2</v>
      </c>
    </row>
    <row r="34" spans="1:16" ht="18.95" customHeight="1">
      <c r="A34" s="321">
        <f t="shared" si="5"/>
        <v>22</v>
      </c>
      <c r="B34" s="327" t="s">
        <v>1374</v>
      </c>
      <c r="C34" s="324" t="s">
        <v>1375</v>
      </c>
      <c r="D34" s="75">
        <v>42736</v>
      </c>
      <c r="E34" s="76">
        <v>43465</v>
      </c>
      <c r="F34" s="78">
        <f t="shared" si="0"/>
        <v>7.956104252400549E-2</v>
      </c>
      <c r="G34" s="324">
        <v>2999576.48</v>
      </c>
      <c r="H34" s="324">
        <v>2999576.48</v>
      </c>
      <c r="I34" s="328">
        <v>46631.92</v>
      </c>
      <c r="J34" s="322">
        <f t="shared" si="1"/>
        <v>1.5546168037695774E-2</v>
      </c>
      <c r="M34" s="38">
        <f t="shared" si="2"/>
        <v>729</v>
      </c>
      <c r="N34" s="76">
        <v>42794</v>
      </c>
      <c r="O34" s="38">
        <f t="shared" si="3"/>
        <v>671</v>
      </c>
      <c r="P34" s="323">
        <f t="shared" si="4"/>
        <v>7.956104252400549E-2</v>
      </c>
    </row>
    <row r="35" spans="1:16" ht="18.95" customHeight="1">
      <c r="A35" s="321">
        <f t="shared" si="5"/>
        <v>23</v>
      </c>
      <c r="B35" s="327" t="s">
        <v>1376</v>
      </c>
      <c r="C35" s="324" t="s">
        <v>1377</v>
      </c>
      <c r="D35" s="75">
        <v>42736</v>
      </c>
      <c r="E35" s="76">
        <v>43465</v>
      </c>
      <c r="F35" s="78">
        <f t="shared" si="0"/>
        <v>7.956104252400549E-2</v>
      </c>
      <c r="G35" s="324">
        <v>1000016.48</v>
      </c>
      <c r="H35" s="324">
        <v>1000016.48</v>
      </c>
      <c r="I35" s="328">
        <v>42071.92</v>
      </c>
      <c r="J35" s="322">
        <f t="shared" si="1"/>
        <v>4.2071226666184541E-2</v>
      </c>
      <c r="M35" s="38">
        <f t="shared" si="2"/>
        <v>729</v>
      </c>
      <c r="N35" s="76">
        <v>42794</v>
      </c>
      <c r="O35" s="38">
        <f t="shared" si="3"/>
        <v>671</v>
      </c>
      <c r="P35" s="323">
        <f t="shared" si="4"/>
        <v>7.956104252400549E-2</v>
      </c>
    </row>
    <row r="36" spans="1:16" ht="18.95" customHeight="1">
      <c r="A36" s="321">
        <f t="shared" si="5"/>
        <v>24</v>
      </c>
      <c r="B36" s="327" t="s">
        <v>1378</v>
      </c>
      <c r="C36" s="324" t="s">
        <v>1379</v>
      </c>
      <c r="D36" s="75">
        <v>42736</v>
      </c>
      <c r="E36" s="76">
        <v>43100</v>
      </c>
      <c r="F36" s="78">
        <f t="shared" si="0"/>
        <v>0.15934065934065933</v>
      </c>
      <c r="G36" s="324">
        <v>500496.53</v>
      </c>
      <c r="H36" s="324">
        <v>500496.53</v>
      </c>
      <c r="I36" s="328">
        <v>42071.92</v>
      </c>
      <c r="J36" s="322">
        <f t="shared" si="1"/>
        <v>8.4060363015903417E-2</v>
      </c>
      <c r="M36" s="38">
        <f t="shared" si="2"/>
        <v>364</v>
      </c>
      <c r="N36" s="76">
        <v>42794</v>
      </c>
      <c r="O36" s="38">
        <f t="shared" si="3"/>
        <v>306</v>
      </c>
      <c r="P36" s="323">
        <f t="shared" si="4"/>
        <v>0.15934065934065933</v>
      </c>
    </row>
    <row r="37" spans="1:16" ht="18.95" customHeight="1">
      <c r="A37" s="321">
        <f t="shared" si="5"/>
        <v>25</v>
      </c>
      <c r="B37" s="327" t="s">
        <v>1380</v>
      </c>
      <c r="C37" s="324" t="s">
        <v>1381</v>
      </c>
      <c r="D37" s="75">
        <v>42736</v>
      </c>
      <c r="E37" s="76">
        <v>43100</v>
      </c>
      <c r="F37" s="78">
        <f t="shared" si="0"/>
        <v>0.15934065934065933</v>
      </c>
      <c r="G37" s="324">
        <v>650064.02</v>
      </c>
      <c r="H37" s="324">
        <v>650064.02</v>
      </c>
      <c r="I37" s="328">
        <v>42071.92</v>
      </c>
      <c r="J37" s="322">
        <f t="shared" si="1"/>
        <v>6.4719656380920754E-2</v>
      </c>
      <c r="M37" s="38">
        <f t="shared" si="2"/>
        <v>364</v>
      </c>
      <c r="N37" s="76">
        <v>42794</v>
      </c>
      <c r="O37" s="38">
        <f t="shared" si="3"/>
        <v>306</v>
      </c>
      <c r="P37" s="323">
        <f t="shared" si="4"/>
        <v>0.15934065934065933</v>
      </c>
    </row>
    <row r="38" spans="1:16" ht="18.95" customHeight="1">
      <c r="A38" s="321">
        <f t="shared" si="5"/>
        <v>26</v>
      </c>
      <c r="B38" s="327" t="s">
        <v>1382</v>
      </c>
      <c r="C38" s="324" t="s">
        <v>1383</v>
      </c>
      <c r="D38" s="75">
        <v>42736</v>
      </c>
      <c r="E38" s="76">
        <v>43465</v>
      </c>
      <c r="F38" s="78">
        <f t="shared" si="0"/>
        <v>7.956104252400549E-2</v>
      </c>
      <c r="G38" s="324">
        <v>6499571.4700000007</v>
      </c>
      <c r="H38" s="324">
        <v>6499571.4700000007</v>
      </c>
      <c r="I38" s="328">
        <v>40931.919999999998</v>
      </c>
      <c r="J38" s="322">
        <f t="shared" si="1"/>
        <v>6.2976336499920042E-3</v>
      </c>
      <c r="M38" s="38">
        <f t="shared" si="2"/>
        <v>729</v>
      </c>
      <c r="N38" s="76">
        <v>42794</v>
      </c>
      <c r="O38" s="38">
        <f t="shared" si="3"/>
        <v>671</v>
      </c>
      <c r="P38" s="323">
        <f t="shared" si="4"/>
        <v>7.956104252400549E-2</v>
      </c>
    </row>
    <row r="39" spans="1:16" ht="18.95" customHeight="1">
      <c r="A39" s="321">
        <f t="shared" si="5"/>
        <v>27</v>
      </c>
      <c r="B39" s="327" t="s">
        <v>1372</v>
      </c>
      <c r="C39" s="324" t="s">
        <v>1373</v>
      </c>
      <c r="D39" s="75">
        <v>42736</v>
      </c>
      <c r="E39" s="76">
        <v>43830</v>
      </c>
      <c r="F39" s="78">
        <f t="shared" si="0"/>
        <v>5.3016453382084092E-2</v>
      </c>
      <c r="G39" s="324">
        <v>3476446.67</v>
      </c>
      <c r="H39" s="324">
        <v>3476446.67</v>
      </c>
      <c r="I39" s="328">
        <v>52090.080000000002</v>
      </c>
      <c r="J39" s="322">
        <f t="shared" si="1"/>
        <v>1.4983713240738425E-2</v>
      </c>
      <c r="M39" s="38">
        <f t="shared" si="2"/>
        <v>1094</v>
      </c>
      <c r="N39" s="76">
        <v>42794</v>
      </c>
      <c r="O39" s="38">
        <f t="shared" si="3"/>
        <v>1036</v>
      </c>
      <c r="P39" s="323">
        <f t="shared" si="4"/>
        <v>5.3016453382084092E-2</v>
      </c>
    </row>
    <row r="40" spans="1:16" ht="18.95" customHeight="1">
      <c r="A40" s="321">
        <f t="shared" si="5"/>
        <v>28</v>
      </c>
      <c r="B40" s="327" t="s">
        <v>1124</v>
      </c>
      <c r="C40" s="324" t="s">
        <v>1125</v>
      </c>
      <c r="D40" s="75">
        <v>42370</v>
      </c>
      <c r="E40" s="76">
        <v>43100</v>
      </c>
      <c r="F40" s="78">
        <f t="shared" si="0"/>
        <v>0.58082191780821912</v>
      </c>
      <c r="G40" s="324">
        <v>15000</v>
      </c>
      <c r="H40" s="324">
        <v>17104.316999999999</v>
      </c>
      <c r="I40" s="328">
        <v>1837.5</v>
      </c>
      <c r="J40" s="322">
        <f t="shared" si="1"/>
        <v>0.10742901923531938</v>
      </c>
      <c r="M40" s="38">
        <f t="shared" si="2"/>
        <v>730</v>
      </c>
      <c r="N40" s="76">
        <v>42794</v>
      </c>
      <c r="O40" s="38">
        <f t="shared" si="3"/>
        <v>306</v>
      </c>
      <c r="P40" s="323">
        <f t="shared" si="4"/>
        <v>0.58082191780821912</v>
      </c>
    </row>
    <row r="41" spans="1:16" ht="18.95" customHeight="1">
      <c r="A41" s="321">
        <f t="shared" si="5"/>
        <v>29</v>
      </c>
      <c r="B41" s="327" t="s">
        <v>1119</v>
      </c>
      <c r="C41" s="324" t="s">
        <v>1120</v>
      </c>
      <c r="D41" s="75">
        <v>42370</v>
      </c>
      <c r="E41" s="76">
        <v>42947</v>
      </c>
      <c r="F41" s="78">
        <f t="shared" si="0"/>
        <v>0.73483535528596189</v>
      </c>
      <c r="G41" s="324">
        <v>187957.5</v>
      </c>
      <c r="H41" s="324">
        <v>188394.47699999998</v>
      </c>
      <c r="I41" s="328">
        <v>133123.46699999998</v>
      </c>
      <c r="J41" s="322">
        <f t="shared" si="1"/>
        <v>0.70662085810509179</v>
      </c>
      <c r="M41" s="38">
        <f t="shared" si="2"/>
        <v>577</v>
      </c>
      <c r="N41" s="76">
        <v>42794</v>
      </c>
      <c r="O41" s="38">
        <f t="shared" si="3"/>
        <v>153</v>
      </c>
      <c r="P41" s="323">
        <f t="shared" si="4"/>
        <v>0.73483535528596189</v>
      </c>
    </row>
    <row r="42" spans="1:16" ht="18.95" customHeight="1">
      <c r="A42" s="321">
        <f t="shared" si="5"/>
        <v>30</v>
      </c>
      <c r="B42" s="327" t="s">
        <v>1115</v>
      </c>
      <c r="C42" s="324" t="s">
        <v>1116</v>
      </c>
      <c r="D42" s="75">
        <v>42278</v>
      </c>
      <c r="E42" s="76">
        <v>42978</v>
      </c>
      <c r="F42" s="78">
        <f t="shared" si="0"/>
        <v>0.7371428571428571</v>
      </c>
      <c r="G42" s="324">
        <v>3036000.0359999998</v>
      </c>
      <c r="H42" s="324">
        <v>3564268.9079999998</v>
      </c>
      <c r="I42" s="328">
        <v>2752068.03</v>
      </c>
      <c r="J42" s="322">
        <f t="shared" si="1"/>
        <v>0.77212693571547997</v>
      </c>
      <c r="M42" s="38">
        <f t="shared" si="2"/>
        <v>700</v>
      </c>
      <c r="N42" s="76">
        <v>42794</v>
      </c>
      <c r="O42" s="38">
        <f t="shared" si="3"/>
        <v>184</v>
      </c>
      <c r="P42" s="323">
        <f t="shared" si="4"/>
        <v>0.7371428571428571</v>
      </c>
    </row>
    <row r="43" spans="1:16" ht="18.95" customHeight="1">
      <c r="A43" s="321">
        <f t="shared" si="5"/>
        <v>31</v>
      </c>
      <c r="B43" s="327" t="s">
        <v>1398</v>
      </c>
      <c r="C43" s="324" t="s">
        <v>1399</v>
      </c>
      <c r="D43" s="75">
        <v>42736</v>
      </c>
      <c r="E43" s="76">
        <v>42886</v>
      </c>
      <c r="F43" s="78">
        <f t="shared" si="0"/>
        <v>0.38666666666666666</v>
      </c>
      <c r="G43" s="324">
        <v>39600</v>
      </c>
      <c r="H43" s="324">
        <v>39600</v>
      </c>
      <c r="I43" s="328">
        <v>15840</v>
      </c>
      <c r="J43" s="322">
        <f t="shared" si="1"/>
        <v>0.4</v>
      </c>
      <c r="M43" s="38">
        <f t="shared" si="2"/>
        <v>150</v>
      </c>
      <c r="N43" s="76">
        <v>42794</v>
      </c>
      <c r="O43" s="38">
        <f t="shared" si="3"/>
        <v>92</v>
      </c>
      <c r="P43" s="323">
        <f t="shared" si="4"/>
        <v>0.38666666666666666</v>
      </c>
    </row>
    <row r="44" spans="1:16" ht="18.95" customHeight="1">
      <c r="A44" s="321">
        <f t="shared" si="5"/>
        <v>32</v>
      </c>
      <c r="B44" s="327" t="s">
        <v>1434</v>
      </c>
      <c r="C44" s="324" t="s">
        <v>1435</v>
      </c>
      <c r="D44" s="75">
        <v>42736</v>
      </c>
      <c r="E44" s="76">
        <v>43069</v>
      </c>
      <c r="F44" s="78">
        <f t="shared" si="0"/>
        <v>0.17417417417417416</v>
      </c>
      <c r="G44" s="324">
        <v>43091.805</v>
      </c>
      <c r="H44" s="324">
        <v>43091.805</v>
      </c>
      <c r="I44" s="328">
        <v>5669.9939999999997</v>
      </c>
      <c r="J44" s="322">
        <f t="shared" si="1"/>
        <v>0.13157940355480582</v>
      </c>
      <c r="M44" s="38">
        <f t="shared" si="2"/>
        <v>333</v>
      </c>
      <c r="N44" s="76">
        <v>42794</v>
      </c>
      <c r="O44" s="38">
        <f t="shared" si="3"/>
        <v>275</v>
      </c>
      <c r="P44" s="323">
        <f t="shared" si="4"/>
        <v>0.17417417417417416</v>
      </c>
    </row>
    <row r="45" spans="1:16" ht="18.95" customHeight="1">
      <c r="A45" s="321">
        <f t="shared" si="5"/>
        <v>33</v>
      </c>
      <c r="B45" s="327" t="s">
        <v>1418</v>
      </c>
      <c r="C45" s="324" t="s">
        <v>1419</v>
      </c>
      <c r="D45" s="75">
        <v>42767</v>
      </c>
      <c r="E45" s="76">
        <v>42855</v>
      </c>
      <c r="F45" s="78">
        <f t="shared" si="0"/>
        <v>0.30681818181818182</v>
      </c>
      <c r="G45" s="324">
        <v>19800</v>
      </c>
      <c r="H45" s="324">
        <v>19800</v>
      </c>
      <c r="I45" s="328">
        <v>6600</v>
      </c>
      <c r="J45" s="322">
        <f t="shared" si="1"/>
        <v>0.33333333333333331</v>
      </c>
      <c r="M45" s="38">
        <f t="shared" si="2"/>
        <v>88</v>
      </c>
      <c r="N45" s="76">
        <v>42794</v>
      </c>
      <c r="O45" s="38">
        <f t="shared" si="3"/>
        <v>61</v>
      </c>
      <c r="P45" s="323">
        <f t="shared" si="4"/>
        <v>0.30681818181818182</v>
      </c>
    </row>
    <row r="46" spans="1:16" ht="18.95" customHeight="1">
      <c r="A46" s="321">
        <f t="shared" si="5"/>
        <v>34</v>
      </c>
      <c r="B46" s="327" t="s">
        <v>1451</v>
      </c>
      <c r="C46" s="324" t="s">
        <v>1452</v>
      </c>
      <c r="D46" s="75">
        <v>42736</v>
      </c>
      <c r="E46" s="76">
        <v>43039</v>
      </c>
      <c r="F46" s="78">
        <f t="shared" si="0"/>
        <v>0.19141914191419143</v>
      </c>
      <c r="G46" s="324">
        <v>20249.798999999999</v>
      </c>
      <c r="H46" s="324">
        <v>20249.798999999999</v>
      </c>
      <c r="I46" s="328">
        <v>2429.9789999999998</v>
      </c>
      <c r="J46" s="322">
        <f t="shared" si="1"/>
        <v>0.12000015407560341</v>
      </c>
      <c r="M46" s="38">
        <f t="shared" si="2"/>
        <v>303</v>
      </c>
      <c r="N46" s="76">
        <v>42794</v>
      </c>
      <c r="O46" s="38">
        <f t="shared" si="3"/>
        <v>245</v>
      </c>
      <c r="P46" s="323">
        <f t="shared" si="4"/>
        <v>0.19141914191419143</v>
      </c>
    </row>
    <row r="47" spans="1:16" ht="18.95" customHeight="1">
      <c r="A47" s="321">
        <f t="shared" si="5"/>
        <v>35</v>
      </c>
      <c r="B47" s="327" t="s">
        <v>1384</v>
      </c>
      <c r="C47" s="324" t="s">
        <v>1385</v>
      </c>
      <c r="D47" s="75">
        <v>42736</v>
      </c>
      <c r="E47" s="76">
        <v>43100</v>
      </c>
      <c r="F47" s="78">
        <f t="shared" si="0"/>
        <v>0.15934065934065933</v>
      </c>
      <c r="G47" s="324">
        <v>65999.982000000004</v>
      </c>
      <c r="H47" s="324">
        <v>65999.982000000004</v>
      </c>
      <c r="I47" s="328">
        <v>33000</v>
      </c>
      <c r="J47" s="322">
        <f t="shared" si="1"/>
        <v>0.50000013636367358</v>
      </c>
      <c r="M47" s="38">
        <f t="shared" si="2"/>
        <v>364</v>
      </c>
      <c r="N47" s="76">
        <v>42794</v>
      </c>
      <c r="O47" s="38">
        <f t="shared" si="3"/>
        <v>306</v>
      </c>
      <c r="P47" s="323">
        <f t="shared" si="4"/>
        <v>0.15934065934065933</v>
      </c>
    </row>
    <row r="48" spans="1:16" ht="18.95" customHeight="1">
      <c r="A48" s="321">
        <f t="shared" si="5"/>
        <v>36</v>
      </c>
      <c r="B48" s="327" t="s">
        <v>1414</v>
      </c>
      <c r="C48" s="324" t="s">
        <v>1415</v>
      </c>
      <c r="D48" s="75">
        <v>42736</v>
      </c>
      <c r="E48" s="76">
        <v>43100</v>
      </c>
      <c r="F48" s="78">
        <f t="shared" si="0"/>
        <v>0.15934065934065933</v>
      </c>
      <c r="G48" s="324">
        <v>40499.972999999998</v>
      </c>
      <c r="H48" s="324">
        <v>40499.972999999998</v>
      </c>
      <c r="I48" s="328">
        <v>7128</v>
      </c>
      <c r="J48" s="322">
        <f t="shared" si="1"/>
        <v>0.17600011733341156</v>
      </c>
      <c r="M48" s="38">
        <f t="shared" si="2"/>
        <v>364</v>
      </c>
      <c r="N48" s="76">
        <v>42794</v>
      </c>
      <c r="O48" s="38">
        <f t="shared" si="3"/>
        <v>306</v>
      </c>
      <c r="P48" s="323">
        <f t="shared" si="4"/>
        <v>0.15934065934065933</v>
      </c>
    </row>
    <row r="49" spans="1:16" ht="18.95" customHeight="1">
      <c r="A49" s="321">
        <f t="shared" si="5"/>
        <v>37</v>
      </c>
      <c r="B49" s="327" t="s">
        <v>1400</v>
      </c>
      <c r="C49" s="324" t="s">
        <v>1401</v>
      </c>
      <c r="D49" s="75">
        <v>42736</v>
      </c>
      <c r="E49" s="76">
        <v>43100</v>
      </c>
      <c r="F49" s="78">
        <f t="shared" si="0"/>
        <v>0.15934065934065933</v>
      </c>
      <c r="G49" s="324">
        <v>81000.06</v>
      </c>
      <c r="H49" s="324">
        <v>81000.06</v>
      </c>
      <c r="I49" s="328">
        <v>14580.005999999999</v>
      </c>
      <c r="J49" s="322">
        <f t="shared" si="1"/>
        <v>0.17999994074078463</v>
      </c>
      <c r="M49" s="38">
        <f t="shared" si="2"/>
        <v>364</v>
      </c>
      <c r="N49" s="76">
        <v>42794</v>
      </c>
      <c r="O49" s="38">
        <f t="shared" si="3"/>
        <v>306</v>
      </c>
      <c r="P49" s="323">
        <f t="shared" si="4"/>
        <v>0.15934065934065933</v>
      </c>
    </row>
    <row r="50" spans="1:16" ht="18.95" customHeight="1">
      <c r="A50" s="321">
        <f t="shared" si="5"/>
        <v>38</v>
      </c>
      <c r="B50" s="327" t="s">
        <v>1420</v>
      </c>
      <c r="C50" s="324" t="s">
        <v>1421</v>
      </c>
      <c r="D50" s="75">
        <v>42736</v>
      </c>
      <c r="E50" s="76">
        <v>43039</v>
      </c>
      <c r="F50" s="78">
        <f t="shared" si="0"/>
        <v>0.19141914191419143</v>
      </c>
      <c r="G50" s="324">
        <v>46200</v>
      </c>
      <c r="H50" s="324">
        <v>46200</v>
      </c>
      <c r="I50" s="328">
        <v>6600</v>
      </c>
      <c r="J50" s="322">
        <f t="shared" si="1"/>
        <v>0.14285714285714285</v>
      </c>
      <c r="M50" s="38">
        <f t="shared" si="2"/>
        <v>303</v>
      </c>
      <c r="N50" s="76">
        <v>42794</v>
      </c>
      <c r="O50" s="38">
        <f t="shared" si="3"/>
        <v>245</v>
      </c>
      <c r="P50" s="323">
        <f t="shared" si="4"/>
        <v>0.19141914191419143</v>
      </c>
    </row>
    <row r="51" spans="1:16" ht="18.95" customHeight="1">
      <c r="A51" s="321">
        <f t="shared" si="5"/>
        <v>39</v>
      </c>
      <c r="B51" s="327" t="s">
        <v>1402</v>
      </c>
      <c r="C51" s="324" t="s">
        <v>1403</v>
      </c>
      <c r="D51" s="75">
        <v>42736</v>
      </c>
      <c r="E51" s="76">
        <v>42886</v>
      </c>
      <c r="F51" s="78">
        <f t="shared" si="0"/>
        <v>0.38666666666666666</v>
      </c>
      <c r="G51" s="324">
        <v>33000.017999999996</v>
      </c>
      <c r="H51" s="324">
        <v>33000.017999999996</v>
      </c>
      <c r="I51" s="328">
        <v>13200.017999999998</v>
      </c>
      <c r="J51" s="322">
        <f t="shared" si="1"/>
        <v>0.40000032727254875</v>
      </c>
      <c r="M51" s="38">
        <f t="shared" si="2"/>
        <v>150</v>
      </c>
      <c r="N51" s="76">
        <v>42794</v>
      </c>
      <c r="O51" s="38">
        <f t="shared" si="3"/>
        <v>92</v>
      </c>
      <c r="P51" s="323">
        <f t="shared" si="4"/>
        <v>0.38666666666666666</v>
      </c>
    </row>
    <row r="52" spans="1:16" ht="18.95" customHeight="1">
      <c r="A52" s="321">
        <f t="shared" si="5"/>
        <v>40</v>
      </c>
      <c r="B52" s="327" t="s">
        <v>1422</v>
      </c>
      <c r="C52" s="324" t="s">
        <v>1423</v>
      </c>
      <c r="D52" s="75">
        <v>42736</v>
      </c>
      <c r="E52" s="76">
        <v>42855</v>
      </c>
      <c r="F52" s="78">
        <f t="shared" si="0"/>
        <v>0.48739495798319327</v>
      </c>
      <c r="G52" s="324">
        <v>13200</v>
      </c>
      <c r="H52" s="324">
        <v>13200</v>
      </c>
      <c r="I52" s="328">
        <v>6600</v>
      </c>
      <c r="J52" s="322">
        <f t="shared" si="1"/>
        <v>0.5</v>
      </c>
      <c r="M52" s="38">
        <f t="shared" si="2"/>
        <v>119</v>
      </c>
      <c r="N52" s="76">
        <v>42794</v>
      </c>
      <c r="O52" s="38">
        <f t="shared" si="3"/>
        <v>61</v>
      </c>
      <c r="P52" s="323">
        <f t="shared" si="4"/>
        <v>0.48739495798319327</v>
      </c>
    </row>
    <row r="53" spans="1:16" ht="18.95" customHeight="1">
      <c r="A53" s="321">
        <f t="shared" si="5"/>
        <v>41</v>
      </c>
      <c r="B53" s="327" t="s">
        <v>1461</v>
      </c>
      <c r="C53" s="324" t="s">
        <v>1462</v>
      </c>
      <c r="D53" s="75">
        <v>42767</v>
      </c>
      <c r="E53" s="76">
        <v>43100</v>
      </c>
      <c r="F53" s="78">
        <f t="shared" si="0"/>
        <v>8.1081081081081086E-2</v>
      </c>
      <c r="G53" s="324">
        <v>8100</v>
      </c>
      <c r="H53" s="324">
        <v>8100</v>
      </c>
      <c r="I53" s="328">
        <v>1349.7839999999999</v>
      </c>
      <c r="J53" s="322">
        <f t="shared" si="1"/>
        <v>0.16663999999999998</v>
      </c>
      <c r="M53" s="38">
        <f t="shared" si="2"/>
        <v>333</v>
      </c>
      <c r="N53" s="76">
        <v>42794</v>
      </c>
      <c r="O53" s="38">
        <f t="shared" si="3"/>
        <v>306</v>
      </c>
      <c r="P53" s="323">
        <f t="shared" si="4"/>
        <v>8.1081081081081086E-2</v>
      </c>
    </row>
    <row r="54" spans="1:16" ht="18.95" customHeight="1">
      <c r="A54" s="321">
        <f t="shared" si="5"/>
        <v>42</v>
      </c>
      <c r="B54" s="327" t="s">
        <v>1453</v>
      </c>
      <c r="C54" s="324" t="s">
        <v>1454</v>
      </c>
      <c r="D54" s="75">
        <v>42767</v>
      </c>
      <c r="E54" s="76">
        <v>43100</v>
      </c>
      <c r="F54" s="78">
        <f t="shared" si="0"/>
        <v>8.1081081081081086E-2</v>
      </c>
      <c r="G54" s="324">
        <v>72899.937000000005</v>
      </c>
      <c r="H54" s="324">
        <v>72899.937000000005</v>
      </c>
      <c r="I54" s="328">
        <v>2186.9939999999997</v>
      </c>
      <c r="J54" s="322">
        <f t="shared" si="1"/>
        <v>2.9999943621350448E-2</v>
      </c>
      <c r="M54" s="38">
        <f t="shared" si="2"/>
        <v>333</v>
      </c>
      <c r="N54" s="76">
        <v>42794</v>
      </c>
      <c r="O54" s="38">
        <f t="shared" si="3"/>
        <v>306</v>
      </c>
      <c r="P54" s="323">
        <f t="shared" si="4"/>
        <v>8.1081081081081086E-2</v>
      </c>
    </row>
    <row r="55" spans="1:16" ht="18.95" customHeight="1">
      <c r="A55" s="321">
        <f t="shared" si="5"/>
        <v>43</v>
      </c>
      <c r="B55" s="327" t="s">
        <v>1410</v>
      </c>
      <c r="C55" s="324" t="s">
        <v>1411</v>
      </c>
      <c r="D55" s="75">
        <v>42736</v>
      </c>
      <c r="E55" s="76">
        <v>43100</v>
      </c>
      <c r="F55" s="78">
        <f t="shared" si="0"/>
        <v>0.15934065934065933</v>
      </c>
      <c r="G55" s="324">
        <v>76949.913</v>
      </c>
      <c r="H55" s="324">
        <v>76949.913</v>
      </c>
      <c r="I55" s="328">
        <v>8909.982</v>
      </c>
      <c r="J55" s="322">
        <f t="shared" si="1"/>
        <v>0.11578937067804092</v>
      </c>
      <c r="M55" s="38">
        <f t="shared" si="2"/>
        <v>364</v>
      </c>
      <c r="N55" s="76">
        <v>42794</v>
      </c>
      <c r="O55" s="38">
        <f t="shared" si="3"/>
        <v>306</v>
      </c>
      <c r="P55" s="323">
        <f t="shared" si="4"/>
        <v>0.15934065934065933</v>
      </c>
    </row>
    <row r="56" spans="1:16" ht="18.95" customHeight="1">
      <c r="A56" s="321">
        <f t="shared" si="5"/>
        <v>44</v>
      </c>
      <c r="B56" s="327" t="s">
        <v>1457</v>
      </c>
      <c r="C56" s="324" t="s">
        <v>1458</v>
      </c>
      <c r="D56" s="75">
        <v>42767</v>
      </c>
      <c r="E56" s="76">
        <v>43039</v>
      </c>
      <c r="F56" s="78">
        <f t="shared" si="0"/>
        <v>9.9264705882352935E-2</v>
      </c>
      <c r="G56" s="324">
        <v>8100</v>
      </c>
      <c r="H56" s="324">
        <v>8100</v>
      </c>
      <c r="I56" s="328">
        <v>1620</v>
      </c>
      <c r="J56" s="322">
        <f t="shared" si="1"/>
        <v>0.2</v>
      </c>
      <c r="M56" s="38">
        <f t="shared" si="2"/>
        <v>272</v>
      </c>
      <c r="N56" s="76">
        <v>42794</v>
      </c>
      <c r="O56" s="38">
        <f t="shared" si="3"/>
        <v>245</v>
      </c>
      <c r="P56" s="323">
        <f t="shared" si="4"/>
        <v>9.9264705882352935E-2</v>
      </c>
    </row>
    <row r="57" spans="1:16" s="329" customFormat="1" ht="20.100000000000001" customHeight="1">
      <c r="A57" s="494" t="str">
        <f>$A$1</f>
        <v>LOUISVILLE GAS AND ELECTRIC COMPANY</v>
      </c>
      <c r="B57" s="494"/>
      <c r="C57" s="494"/>
      <c r="D57" s="494"/>
      <c r="E57" s="494"/>
      <c r="F57" s="494"/>
      <c r="G57" s="494"/>
      <c r="H57" s="494"/>
      <c r="I57" s="494"/>
      <c r="J57" s="494"/>
    </row>
    <row r="58" spans="1:16" s="329" customFormat="1" ht="20.100000000000001" customHeight="1">
      <c r="A58" s="494" t="str">
        <f>$A$2</f>
        <v>CASE NO. 2016-00371 - GAS OPERATIONS</v>
      </c>
      <c r="B58" s="494"/>
      <c r="C58" s="494"/>
      <c r="D58" s="494"/>
      <c r="E58" s="494"/>
      <c r="F58" s="494"/>
      <c r="G58" s="494"/>
      <c r="H58" s="494"/>
      <c r="I58" s="494"/>
      <c r="J58" s="494"/>
    </row>
    <row r="59" spans="1:16" s="329" customFormat="1" ht="20.100000000000001" customHeight="1">
      <c r="A59" s="494" t="s">
        <v>175</v>
      </c>
      <c r="B59" s="494"/>
      <c r="C59" s="494"/>
      <c r="D59" s="494"/>
      <c r="E59" s="494"/>
      <c r="F59" s="494"/>
      <c r="G59" s="494"/>
      <c r="H59" s="494"/>
      <c r="I59" s="494"/>
      <c r="J59" s="494"/>
    </row>
    <row r="60" spans="1:16" s="329" customFormat="1" ht="20.100000000000001" customHeight="1">
      <c r="A60" s="494" t="str">
        <f>$A$4</f>
        <v>AS OF FEBRUARY 28, 2017</v>
      </c>
      <c r="B60" s="494"/>
      <c r="C60" s="494"/>
      <c r="D60" s="494"/>
      <c r="E60" s="494"/>
      <c r="F60" s="494"/>
      <c r="G60" s="494"/>
      <c r="H60" s="494"/>
      <c r="I60" s="494"/>
      <c r="J60" s="494"/>
    </row>
    <row r="61" spans="1:16" s="329" customFormat="1" ht="20.100000000000001" customHeight="1">
      <c r="A61" s="319"/>
      <c r="B61" s="319"/>
      <c r="C61" s="319"/>
      <c r="D61" s="319"/>
      <c r="E61" s="319"/>
      <c r="F61" s="319"/>
      <c r="G61" s="319"/>
      <c r="H61" s="319"/>
      <c r="I61" s="319"/>
      <c r="J61" s="319"/>
    </row>
    <row r="62" spans="1:16" s="329" customFormat="1" ht="20.100000000000001" customHeight="1">
      <c r="A62" s="31" t="str">
        <f>$A$6</f>
        <v>DATA:__X__BASE  PERIOD____FORECASTED  PERIOD</v>
      </c>
      <c r="B62" s="320"/>
      <c r="C62" s="32"/>
      <c r="D62" s="74"/>
      <c r="E62" s="74"/>
      <c r="F62" s="32"/>
      <c r="G62" s="38"/>
      <c r="H62" s="38"/>
      <c r="I62" s="38"/>
      <c r="J62" s="38" t="s">
        <v>632</v>
      </c>
    </row>
    <row r="63" spans="1:16" s="329" customFormat="1" ht="20.100000000000001" customHeight="1">
      <c r="A63" s="31" t="str">
        <f>$A$7</f>
        <v>TYPE OF FILING: __X__ ORIGINAL  _____ UPDATED  _____ REVISED</v>
      </c>
      <c r="B63" s="321"/>
      <c r="C63" s="32"/>
      <c r="D63" s="74"/>
      <c r="E63" s="74"/>
      <c r="F63" s="32"/>
      <c r="G63" s="38"/>
      <c r="H63" s="38"/>
      <c r="I63" s="38"/>
      <c r="J63" s="38" t="s">
        <v>1480</v>
      </c>
    </row>
    <row r="64" spans="1:16" s="329" customFormat="1" ht="20.100000000000001" customHeight="1">
      <c r="A64" s="31" t="str">
        <f>$A$8</f>
        <v>WORKPAPER REFERENCE NO(S).:</v>
      </c>
      <c r="B64" s="320"/>
      <c r="C64" s="32"/>
      <c r="D64" s="74"/>
      <c r="E64" s="74"/>
      <c r="F64" s="31"/>
      <c r="G64" s="39"/>
      <c r="H64" s="39"/>
      <c r="I64" s="39"/>
      <c r="J64" s="39" t="str">
        <f>$J$8</f>
        <v>WITNESS:   C. M. GARRETT</v>
      </c>
    </row>
    <row r="65" spans="1:16" s="329" customFormat="1" ht="20.100000000000001" customHeight="1">
      <c r="A65" s="32"/>
      <c r="B65" s="321"/>
      <c r="C65" s="32"/>
      <c r="D65" s="74"/>
      <c r="E65" s="74"/>
      <c r="F65" s="32"/>
      <c r="G65" s="32"/>
      <c r="H65" s="32"/>
      <c r="I65" s="32"/>
      <c r="J65" s="32"/>
    </row>
    <row r="66" spans="1:16" s="329" customFormat="1" ht="58.5" customHeight="1">
      <c r="A66" s="40" t="s">
        <v>29</v>
      </c>
      <c r="B66" s="40" t="s">
        <v>178</v>
      </c>
      <c r="C66" s="40" t="s">
        <v>179</v>
      </c>
      <c r="D66" s="73" t="s">
        <v>181</v>
      </c>
      <c r="E66" s="73" t="s">
        <v>182</v>
      </c>
      <c r="F66" s="40" t="s">
        <v>183</v>
      </c>
      <c r="G66" s="40" t="s">
        <v>184</v>
      </c>
      <c r="H66" s="40" t="s">
        <v>185</v>
      </c>
      <c r="I66" s="40" t="s">
        <v>186</v>
      </c>
      <c r="J66" s="40" t="s">
        <v>187</v>
      </c>
      <c r="M66" s="330" t="s">
        <v>195</v>
      </c>
      <c r="N66" s="330" t="s">
        <v>196</v>
      </c>
      <c r="O66" s="330" t="s">
        <v>197</v>
      </c>
      <c r="P66" s="330" t="s">
        <v>183</v>
      </c>
    </row>
    <row r="67" spans="1:16" s="329" customFormat="1" ht="23.1" customHeight="1">
      <c r="A67" s="44" t="s">
        <v>176</v>
      </c>
      <c r="B67" s="44" t="s">
        <v>177</v>
      </c>
      <c r="C67" s="44" t="s">
        <v>180</v>
      </c>
      <c r="D67" s="325" t="s">
        <v>188</v>
      </c>
      <c r="E67" s="325" t="s">
        <v>189</v>
      </c>
      <c r="F67" s="326" t="s">
        <v>190</v>
      </c>
      <c r="G67" s="326" t="s">
        <v>191</v>
      </c>
      <c r="H67" s="326" t="s">
        <v>192</v>
      </c>
      <c r="I67" s="326" t="s">
        <v>193</v>
      </c>
      <c r="J67" s="326" t="s">
        <v>194</v>
      </c>
    </row>
    <row r="68" spans="1:16" s="329" customFormat="1" ht="18.95" customHeight="1">
      <c r="A68" s="37"/>
      <c r="B68" s="37"/>
      <c r="C68" s="37"/>
      <c r="D68" s="331"/>
      <c r="E68" s="331"/>
      <c r="F68" s="332"/>
      <c r="G68" s="332"/>
      <c r="H68" s="332"/>
      <c r="I68" s="332"/>
      <c r="J68" s="332"/>
    </row>
    <row r="69" spans="1:16" ht="18.95" customHeight="1">
      <c r="A69" s="321">
        <f>A56+1</f>
        <v>45</v>
      </c>
      <c r="B69" s="327" t="s">
        <v>1463</v>
      </c>
      <c r="C69" s="324" t="s">
        <v>1464</v>
      </c>
      <c r="D69" s="75">
        <v>42736</v>
      </c>
      <c r="E69" s="76">
        <v>42978</v>
      </c>
      <c r="F69" s="78">
        <f t="shared" si="0"/>
        <v>0.23966942148760331</v>
      </c>
      <c r="G69" s="324">
        <v>9072</v>
      </c>
      <c r="H69" s="324">
        <v>9072</v>
      </c>
      <c r="I69" s="328">
        <v>1296</v>
      </c>
      <c r="J69" s="322">
        <f t="shared" si="1"/>
        <v>0.14285714285714285</v>
      </c>
      <c r="M69" s="38">
        <f t="shared" si="2"/>
        <v>242</v>
      </c>
      <c r="N69" s="76">
        <v>42794</v>
      </c>
      <c r="O69" s="38">
        <f t="shared" si="3"/>
        <v>184</v>
      </c>
      <c r="P69" s="323">
        <f t="shared" si="4"/>
        <v>0.23966942148760331</v>
      </c>
    </row>
    <row r="70" spans="1:16" ht="18.95" customHeight="1">
      <c r="A70" s="321">
        <f t="shared" si="5"/>
        <v>46</v>
      </c>
      <c r="B70" s="327" t="s">
        <v>1442</v>
      </c>
      <c r="C70" s="324" t="s">
        <v>1443</v>
      </c>
      <c r="D70" s="75">
        <v>42736</v>
      </c>
      <c r="E70" s="76">
        <v>43069</v>
      </c>
      <c r="F70" s="78">
        <f t="shared" si="0"/>
        <v>0.17417417417417416</v>
      </c>
      <c r="G70" s="324">
        <v>17658.005999999998</v>
      </c>
      <c r="H70" s="324">
        <v>17658.005999999998</v>
      </c>
      <c r="I70" s="328">
        <v>3078.0059999999999</v>
      </c>
      <c r="J70" s="322">
        <f t="shared" si="1"/>
        <v>0.17431220716540702</v>
      </c>
      <c r="M70" s="38">
        <f t="shared" si="2"/>
        <v>333</v>
      </c>
      <c r="N70" s="76">
        <v>42794</v>
      </c>
      <c r="O70" s="38">
        <f t="shared" si="3"/>
        <v>275</v>
      </c>
      <c r="P70" s="323">
        <f t="shared" si="4"/>
        <v>0.17417417417417416</v>
      </c>
    </row>
    <row r="71" spans="1:16" ht="18.95" customHeight="1">
      <c r="A71" s="321">
        <f t="shared" si="5"/>
        <v>47</v>
      </c>
      <c r="B71" s="327" t="s">
        <v>1390</v>
      </c>
      <c r="C71" s="324" t="s">
        <v>1391</v>
      </c>
      <c r="D71" s="75">
        <v>42736</v>
      </c>
      <c r="E71" s="76">
        <v>43039</v>
      </c>
      <c r="F71" s="78">
        <f t="shared" si="0"/>
        <v>0.19141914191419143</v>
      </c>
      <c r="G71" s="324">
        <v>151800.003</v>
      </c>
      <c r="H71" s="324">
        <v>151800.003</v>
      </c>
      <c r="I71" s="328">
        <v>30360.006000000001</v>
      </c>
      <c r="J71" s="322">
        <f t="shared" si="1"/>
        <v>0.20000003557312185</v>
      </c>
      <c r="M71" s="38">
        <f t="shared" si="2"/>
        <v>303</v>
      </c>
      <c r="N71" s="76">
        <v>42794</v>
      </c>
      <c r="O71" s="38">
        <f t="shared" si="3"/>
        <v>245</v>
      </c>
      <c r="P71" s="323">
        <f t="shared" si="4"/>
        <v>0.19141914191419143</v>
      </c>
    </row>
    <row r="72" spans="1:16" ht="18.95" customHeight="1">
      <c r="A72" s="321">
        <f t="shared" si="5"/>
        <v>48</v>
      </c>
      <c r="B72" s="327" t="s">
        <v>1412</v>
      </c>
      <c r="C72" s="324" t="s">
        <v>1413</v>
      </c>
      <c r="D72" s="75">
        <v>42736</v>
      </c>
      <c r="E72" s="76">
        <v>43100</v>
      </c>
      <c r="F72" s="78">
        <f t="shared" si="0"/>
        <v>0.15934065934065933</v>
      </c>
      <c r="G72" s="324">
        <v>46200</v>
      </c>
      <c r="H72" s="324">
        <v>46200</v>
      </c>
      <c r="I72" s="328">
        <v>7920</v>
      </c>
      <c r="J72" s="322">
        <f t="shared" si="1"/>
        <v>0.17142857142857143</v>
      </c>
      <c r="M72" s="38">
        <f t="shared" si="2"/>
        <v>364</v>
      </c>
      <c r="N72" s="76">
        <v>42794</v>
      </c>
      <c r="O72" s="38">
        <f t="shared" si="3"/>
        <v>306</v>
      </c>
      <c r="P72" s="323">
        <f t="shared" si="4"/>
        <v>0.15934065934065933</v>
      </c>
    </row>
    <row r="73" spans="1:16" ht="18.95" customHeight="1">
      <c r="A73" s="321">
        <f t="shared" si="5"/>
        <v>49</v>
      </c>
      <c r="B73" s="327" t="s">
        <v>1455</v>
      </c>
      <c r="C73" s="324" t="s">
        <v>1456</v>
      </c>
      <c r="D73" s="75">
        <v>42736</v>
      </c>
      <c r="E73" s="76">
        <v>43069</v>
      </c>
      <c r="F73" s="78">
        <f t="shared" si="0"/>
        <v>0.17417417417417416</v>
      </c>
      <c r="G73" s="324">
        <v>32399.874</v>
      </c>
      <c r="H73" s="324">
        <v>32399.874</v>
      </c>
      <c r="I73" s="328">
        <v>1620.0060000000001</v>
      </c>
      <c r="J73" s="322">
        <f t="shared" si="1"/>
        <v>5.0000379631105978E-2</v>
      </c>
      <c r="M73" s="38">
        <f t="shared" si="2"/>
        <v>333</v>
      </c>
      <c r="N73" s="76">
        <v>42794</v>
      </c>
      <c r="O73" s="38">
        <f t="shared" si="3"/>
        <v>275</v>
      </c>
      <c r="P73" s="323">
        <f t="shared" si="4"/>
        <v>0.17417417417417416</v>
      </c>
    </row>
    <row r="74" spans="1:16" ht="18.95" customHeight="1">
      <c r="A74" s="321">
        <f t="shared" si="5"/>
        <v>50</v>
      </c>
      <c r="B74" s="327" t="s">
        <v>1467</v>
      </c>
      <c r="C74" s="324" t="s">
        <v>1468</v>
      </c>
      <c r="D74" s="75">
        <v>42736</v>
      </c>
      <c r="E74" s="76">
        <v>43100</v>
      </c>
      <c r="F74" s="78">
        <f t="shared" si="0"/>
        <v>0.15934065934065933</v>
      </c>
      <c r="G74" s="324">
        <v>17172</v>
      </c>
      <c r="H74" s="324">
        <v>17172</v>
      </c>
      <c r="I74" s="328">
        <v>1134</v>
      </c>
      <c r="J74" s="322">
        <f t="shared" si="1"/>
        <v>6.6037735849056603E-2</v>
      </c>
      <c r="M74" s="38">
        <f t="shared" si="2"/>
        <v>364</v>
      </c>
      <c r="N74" s="76">
        <v>42794</v>
      </c>
      <c r="O74" s="38">
        <f t="shared" si="3"/>
        <v>306</v>
      </c>
      <c r="P74" s="323">
        <f t="shared" si="4"/>
        <v>0.15934065934065933</v>
      </c>
    </row>
    <row r="75" spans="1:16" ht="18.95" customHeight="1">
      <c r="A75" s="321">
        <f t="shared" si="5"/>
        <v>51</v>
      </c>
      <c r="B75" s="327" t="s">
        <v>1473</v>
      </c>
      <c r="C75" s="324" t="s">
        <v>1474</v>
      </c>
      <c r="D75" s="75">
        <v>42767</v>
      </c>
      <c r="E75" s="76">
        <v>43100</v>
      </c>
      <c r="F75" s="78">
        <f t="shared" si="0"/>
        <v>8.1081081081081086E-2</v>
      </c>
      <c r="G75" s="324">
        <v>24299.784</v>
      </c>
      <c r="H75" s="324">
        <v>24299.784</v>
      </c>
      <c r="I75" s="328">
        <v>728.976</v>
      </c>
      <c r="J75" s="322">
        <f t="shared" si="1"/>
        <v>2.9999279005936845E-2</v>
      </c>
      <c r="M75" s="38">
        <f t="shared" si="2"/>
        <v>333</v>
      </c>
      <c r="N75" s="76">
        <v>42794</v>
      </c>
      <c r="O75" s="38">
        <f t="shared" si="3"/>
        <v>306</v>
      </c>
      <c r="P75" s="323">
        <f t="shared" si="4"/>
        <v>8.1081081081081086E-2</v>
      </c>
    </row>
    <row r="76" spans="1:16" ht="18.95" customHeight="1">
      <c r="A76" s="321">
        <f t="shared" si="5"/>
        <v>52</v>
      </c>
      <c r="B76" s="327" t="s">
        <v>1469</v>
      </c>
      <c r="C76" s="324" t="s">
        <v>1470</v>
      </c>
      <c r="D76" s="75">
        <v>42736</v>
      </c>
      <c r="E76" s="76">
        <v>43039</v>
      </c>
      <c r="F76" s="78">
        <f t="shared" si="0"/>
        <v>0.19141914191419143</v>
      </c>
      <c r="G76" s="324">
        <v>16200</v>
      </c>
      <c r="H76" s="324">
        <v>16200</v>
      </c>
      <c r="I76" s="328">
        <v>972</v>
      </c>
      <c r="J76" s="322">
        <f t="shared" si="1"/>
        <v>0.06</v>
      </c>
      <c r="M76" s="38">
        <f t="shared" si="2"/>
        <v>303</v>
      </c>
      <c r="N76" s="76">
        <v>42794</v>
      </c>
      <c r="O76" s="38">
        <f t="shared" si="3"/>
        <v>245</v>
      </c>
      <c r="P76" s="323">
        <f t="shared" si="4"/>
        <v>0.19141914191419143</v>
      </c>
    </row>
    <row r="77" spans="1:16" ht="18.95" customHeight="1">
      <c r="A77" s="321">
        <f t="shared" si="5"/>
        <v>53</v>
      </c>
      <c r="B77" s="327" t="s">
        <v>1438</v>
      </c>
      <c r="C77" s="324" t="s">
        <v>1439</v>
      </c>
      <c r="D77" s="75">
        <v>42736</v>
      </c>
      <c r="E77" s="76">
        <v>42947</v>
      </c>
      <c r="F77" s="78">
        <f t="shared" si="0"/>
        <v>0.27488151658767773</v>
      </c>
      <c r="G77" s="324">
        <v>22050</v>
      </c>
      <c r="H77" s="324">
        <v>22050</v>
      </c>
      <c r="I77" s="328">
        <v>5145</v>
      </c>
      <c r="J77" s="322">
        <f t="shared" si="1"/>
        <v>0.23333333333333334</v>
      </c>
      <c r="M77" s="38">
        <f t="shared" si="2"/>
        <v>211</v>
      </c>
      <c r="N77" s="76">
        <v>42794</v>
      </c>
      <c r="O77" s="38">
        <f t="shared" si="3"/>
        <v>153</v>
      </c>
      <c r="P77" s="323">
        <f t="shared" si="4"/>
        <v>0.27488151658767773</v>
      </c>
    </row>
    <row r="78" spans="1:16" ht="18.95" customHeight="1">
      <c r="A78" s="321">
        <f t="shared" si="5"/>
        <v>54</v>
      </c>
      <c r="B78" s="327" t="s">
        <v>1440</v>
      </c>
      <c r="C78" s="324" t="s">
        <v>1441</v>
      </c>
      <c r="D78" s="75">
        <v>42767</v>
      </c>
      <c r="E78" s="76">
        <v>42886</v>
      </c>
      <c r="F78" s="78">
        <f t="shared" si="0"/>
        <v>0.22689075630252101</v>
      </c>
      <c r="G78" s="324">
        <v>24300</v>
      </c>
      <c r="H78" s="324">
        <v>24300</v>
      </c>
      <c r="I78" s="328">
        <v>4050</v>
      </c>
      <c r="J78" s="322">
        <f t="shared" si="1"/>
        <v>0.16666666666666666</v>
      </c>
      <c r="M78" s="38">
        <f t="shared" si="2"/>
        <v>119</v>
      </c>
      <c r="N78" s="76">
        <v>42794</v>
      </c>
      <c r="O78" s="38">
        <f t="shared" si="3"/>
        <v>92</v>
      </c>
      <c r="P78" s="323">
        <f t="shared" si="4"/>
        <v>0.22689075630252101</v>
      </c>
    </row>
    <row r="79" spans="1:16" ht="18.95" customHeight="1">
      <c r="A79" s="321">
        <f t="shared" si="5"/>
        <v>55</v>
      </c>
      <c r="B79" s="327" t="s">
        <v>1368</v>
      </c>
      <c r="C79" s="324" t="s">
        <v>1369</v>
      </c>
      <c r="D79" s="75">
        <v>42644</v>
      </c>
      <c r="E79" s="76">
        <v>43404</v>
      </c>
      <c r="F79" s="78">
        <f t="shared" si="0"/>
        <v>0.19736842105263158</v>
      </c>
      <c r="G79" s="324">
        <v>164999.997</v>
      </c>
      <c r="H79" s="324">
        <v>164999.997</v>
      </c>
      <c r="I79" s="328">
        <v>59400.000000000007</v>
      </c>
      <c r="J79" s="322">
        <f t="shared" si="1"/>
        <v>0.36000000654545472</v>
      </c>
      <c r="M79" s="38">
        <f t="shared" si="2"/>
        <v>760</v>
      </c>
      <c r="N79" s="76">
        <v>42794</v>
      </c>
      <c r="O79" s="38">
        <f t="shared" si="3"/>
        <v>610</v>
      </c>
      <c r="P79" s="323">
        <f t="shared" si="4"/>
        <v>0.19736842105263158</v>
      </c>
    </row>
    <row r="80" spans="1:16" ht="18.95" customHeight="1">
      <c r="A80" s="321">
        <f t="shared" si="5"/>
        <v>56</v>
      </c>
      <c r="B80" s="327" t="s">
        <v>1449</v>
      </c>
      <c r="C80" s="324" t="s">
        <v>1450</v>
      </c>
      <c r="D80" s="75">
        <v>42736</v>
      </c>
      <c r="E80" s="76">
        <v>43100</v>
      </c>
      <c r="F80" s="78">
        <f t="shared" si="0"/>
        <v>0.15934065934065933</v>
      </c>
      <c r="G80" s="324">
        <v>32399.834999999999</v>
      </c>
      <c r="H80" s="324">
        <v>32399.834999999999</v>
      </c>
      <c r="I80" s="328">
        <v>2429.9849999999997</v>
      </c>
      <c r="J80" s="322">
        <f t="shared" si="1"/>
        <v>7.4999918981068878E-2</v>
      </c>
      <c r="M80" s="38">
        <f t="shared" si="2"/>
        <v>364</v>
      </c>
      <c r="N80" s="76">
        <v>42794</v>
      </c>
      <c r="O80" s="38">
        <f t="shared" si="3"/>
        <v>306</v>
      </c>
      <c r="P80" s="323">
        <f t="shared" si="4"/>
        <v>0.15934065934065933</v>
      </c>
    </row>
    <row r="81" spans="1:16" ht="18.95" customHeight="1">
      <c r="A81" s="321">
        <f t="shared" si="5"/>
        <v>57</v>
      </c>
      <c r="B81" s="327" t="s">
        <v>1465</v>
      </c>
      <c r="C81" s="324" t="s">
        <v>1466</v>
      </c>
      <c r="D81" s="75">
        <v>42736</v>
      </c>
      <c r="E81" s="76">
        <v>42978</v>
      </c>
      <c r="F81" s="78">
        <f t="shared" si="0"/>
        <v>0.23966942148760331</v>
      </c>
      <c r="G81" s="324">
        <v>35478.002999999997</v>
      </c>
      <c r="H81" s="324">
        <v>35478.002999999997</v>
      </c>
      <c r="I81" s="328">
        <v>1215.0060000000001</v>
      </c>
      <c r="J81" s="322">
        <f t="shared" si="1"/>
        <v>3.4246741565470869E-2</v>
      </c>
      <c r="M81" s="38">
        <f t="shared" si="2"/>
        <v>242</v>
      </c>
      <c r="N81" s="76">
        <v>42794</v>
      </c>
      <c r="O81" s="38">
        <f t="shared" si="3"/>
        <v>184</v>
      </c>
      <c r="P81" s="323">
        <f t="shared" si="4"/>
        <v>0.23966942148760331</v>
      </c>
    </row>
    <row r="82" spans="1:16" ht="18.95" customHeight="1">
      <c r="A82" s="321">
        <f t="shared" si="5"/>
        <v>58</v>
      </c>
      <c r="B82" s="327" t="s">
        <v>1436</v>
      </c>
      <c r="C82" s="324" t="s">
        <v>1437</v>
      </c>
      <c r="D82" s="75">
        <v>42736</v>
      </c>
      <c r="E82" s="76">
        <v>43100</v>
      </c>
      <c r="F82" s="78">
        <f t="shared" si="0"/>
        <v>0.15934065934065933</v>
      </c>
      <c r="G82" s="324">
        <v>39600</v>
      </c>
      <c r="H82" s="324">
        <v>39600</v>
      </c>
      <c r="I82" s="328">
        <v>5280</v>
      </c>
      <c r="J82" s="322">
        <f t="shared" si="1"/>
        <v>0.13333333333333333</v>
      </c>
      <c r="M82" s="38">
        <f t="shared" si="2"/>
        <v>364</v>
      </c>
      <c r="N82" s="76">
        <v>42794</v>
      </c>
      <c r="O82" s="38">
        <f t="shared" si="3"/>
        <v>306</v>
      </c>
      <c r="P82" s="323">
        <f t="shared" si="4"/>
        <v>0.15934065934065933</v>
      </c>
    </row>
    <row r="83" spans="1:16" ht="18.95" customHeight="1">
      <c r="A83" s="321">
        <f t="shared" si="5"/>
        <v>59</v>
      </c>
      <c r="B83" s="327" t="s">
        <v>1459</v>
      </c>
      <c r="C83" s="324" t="s">
        <v>1460</v>
      </c>
      <c r="D83" s="75">
        <v>42767</v>
      </c>
      <c r="E83" s="76">
        <v>43069</v>
      </c>
      <c r="F83" s="78">
        <f t="shared" si="0"/>
        <v>8.9403973509933773E-2</v>
      </c>
      <c r="G83" s="324">
        <v>137538.01799999998</v>
      </c>
      <c r="H83" s="324">
        <v>137538.01799999998</v>
      </c>
      <c r="I83" s="328">
        <v>1620</v>
      </c>
      <c r="J83" s="322">
        <f t="shared" si="1"/>
        <v>1.1778561473817372E-2</v>
      </c>
      <c r="M83" s="38">
        <f t="shared" si="2"/>
        <v>302</v>
      </c>
      <c r="N83" s="76">
        <v>42794</v>
      </c>
      <c r="O83" s="38">
        <f t="shared" si="3"/>
        <v>275</v>
      </c>
      <c r="P83" s="323">
        <f t="shared" si="4"/>
        <v>8.9403973509933773E-2</v>
      </c>
    </row>
    <row r="84" spans="1:16" ht="18.95" customHeight="1">
      <c r="A84" s="321">
        <f t="shared" si="5"/>
        <v>60</v>
      </c>
      <c r="B84" s="327" t="s">
        <v>1362</v>
      </c>
      <c r="C84" s="324" t="s">
        <v>1363</v>
      </c>
      <c r="D84" s="75">
        <v>42736</v>
      </c>
      <c r="E84" s="76">
        <v>43769</v>
      </c>
      <c r="F84" s="78">
        <f t="shared" si="0"/>
        <v>5.6147144240077447E-2</v>
      </c>
      <c r="G84" s="324">
        <v>1871835.1439999999</v>
      </c>
      <c r="H84" s="324">
        <v>1871835.1439999999</v>
      </c>
      <c r="I84" s="328">
        <v>72600.077999999994</v>
      </c>
      <c r="J84" s="322">
        <f t="shared" si="1"/>
        <v>3.8785508559721751E-2</v>
      </c>
      <c r="M84" s="38">
        <f t="shared" si="2"/>
        <v>1033</v>
      </c>
      <c r="N84" s="76">
        <v>42794</v>
      </c>
      <c r="O84" s="38">
        <f t="shared" si="3"/>
        <v>975</v>
      </c>
      <c r="P84" s="323">
        <f t="shared" si="4"/>
        <v>5.6147144240077447E-2</v>
      </c>
    </row>
    <row r="85" spans="1:16" ht="18.95" customHeight="1">
      <c r="A85" s="321">
        <f t="shared" si="5"/>
        <v>61</v>
      </c>
      <c r="B85" s="327" t="s">
        <v>1424</v>
      </c>
      <c r="C85" s="324" t="s">
        <v>1425</v>
      </c>
      <c r="D85" s="75">
        <v>42736</v>
      </c>
      <c r="E85" s="76">
        <v>42825</v>
      </c>
      <c r="F85" s="78">
        <f t="shared" si="0"/>
        <v>0.651685393258427</v>
      </c>
      <c r="G85" s="324">
        <v>9900</v>
      </c>
      <c r="H85" s="324">
        <v>9900</v>
      </c>
      <c r="I85" s="328">
        <v>6600</v>
      </c>
      <c r="J85" s="322">
        <f t="shared" si="1"/>
        <v>0.66666666666666663</v>
      </c>
      <c r="M85" s="38">
        <f t="shared" si="2"/>
        <v>89</v>
      </c>
      <c r="N85" s="76">
        <v>42794</v>
      </c>
      <c r="O85" s="38">
        <f t="shared" si="3"/>
        <v>31</v>
      </c>
      <c r="P85" s="323">
        <f t="shared" si="4"/>
        <v>0.651685393258427</v>
      </c>
    </row>
    <row r="86" spans="1:16" ht="18.95" customHeight="1">
      <c r="A86" s="321">
        <f t="shared" si="5"/>
        <v>62</v>
      </c>
      <c r="B86" s="327" t="s">
        <v>1392</v>
      </c>
      <c r="C86" s="324" t="s">
        <v>1393</v>
      </c>
      <c r="D86" s="75">
        <v>42736</v>
      </c>
      <c r="E86" s="76">
        <v>43100</v>
      </c>
      <c r="F86" s="78">
        <f t="shared" si="0"/>
        <v>0.15934065934065933</v>
      </c>
      <c r="G86" s="324">
        <v>474621.84299999999</v>
      </c>
      <c r="H86" s="324">
        <v>474621.84299999999</v>
      </c>
      <c r="I86" s="328">
        <v>28836.006000000001</v>
      </c>
      <c r="J86" s="322">
        <f t="shared" si="1"/>
        <v>6.0755749920258097E-2</v>
      </c>
      <c r="M86" s="38">
        <f t="shared" si="2"/>
        <v>364</v>
      </c>
      <c r="N86" s="76">
        <v>42794</v>
      </c>
      <c r="O86" s="38">
        <f t="shared" si="3"/>
        <v>306</v>
      </c>
      <c r="P86" s="323">
        <f t="shared" si="4"/>
        <v>0.15934065934065933</v>
      </c>
    </row>
    <row r="87" spans="1:16" ht="18.95" customHeight="1">
      <c r="A87" s="321">
        <f t="shared" si="5"/>
        <v>63</v>
      </c>
      <c r="B87" s="327" t="s">
        <v>1475</v>
      </c>
      <c r="C87" s="324" t="s">
        <v>1476</v>
      </c>
      <c r="D87" s="75">
        <v>42767</v>
      </c>
      <c r="E87" s="76">
        <v>43100</v>
      </c>
      <c r="F87" s="78">
        <f t="shared" si="0"/>
        <v>8.1081081081081086E-2</v>
      </c>
      <c r="G87" s="324">
        <v>16199.846999999998</v>
      </c>
      <c r="H87" s="324">
        <v>16199.846999999998</v>
      </c>
      <c r="I87" s="328">
        <v>485.976</v>
      </c>
      <c r="J87" s="322">
        <f t="shared" si="1"/>
        <v>2.9998801840535907E-2</v>
      </c>
      <c r="M87" s="38">
        <f t="shared" si="2"/>
        <v>333</v>
      </c>
      <c r="N87" s="76">
        <v>42794</v>
      </c>
      <c r="O87" s="38">
        <f t="shared" si="3"/>
        <v>306</v>
      </c>
      <c r="P87" s="323">
        <f t="shared" si="4"/>
        <v>8.1081081081081086E-2</v>
      </c>
    </row>
    <row r="88" spans="1:16" ht="18.95" customHeight="1">
      <c r="A88" s="321">
        <f t="shared" si="5"/>
        <v>64</v>
      </c>
      <c r="B88" s="327" t="s">
        <v>1445</v>
      </c>
      <c r="C88" s="324" t="s">
        <v>1446</v>
      </c>
      <c r="D88" s="75">
        <v>42767</v>
      </c>
      <c r="E88" s="76">
        <v>43100</v>
      </c>
      <c r="F88" s="78">
        <f t="shared" si="0"/>
        <v>8.1081081081081086E-2</v>
      </c>
      <c r="G88" s="324">
        <v>90000.029999999984</v>
      </c>
      <c r="H88" s="324">
        <v>90000.029999999984</v>
      </c>
      <c r="I88" s="328">
        <v>2700</v>
      </c>
      <c r="J88" s="322">
        <f t="shared" si="1"/>
        <v>2.9999990000003338E-2</v>
      </c>
      <c r="M88" s="38">
        <f t="shared" si="2"/>
        <v>333</v>
      </c>
      <c r="N88" s="76">
        <v>42794</v>
      </c>
      <c r="O88" s="38">
        <f t="shared" si="3"/>
        <v>306</v>
      </c>
      <c r="P88" s="323">
        <f t="shared" si="4"/>
        <v>8.1081081081081086E-2</v>
      </c>
    </row>
    <row r="89" spans="1:16" ht="18.95" customHeight="1">
      <c r="A89" s="321">
        <f t="shared" si="5"/>
        <v>65</v>
      </c>
      <c r="B89" s="327" t="s">
        <v>1404</v>
      </c>
      <c r="C89" s="324" t="s">
        <v>1405</v>
      </c>
      <c r="D89" s="75">
        <v>42736</v>
      </c>
      <c r="E89" s="76">
        <v>42825</v>
      </c>
      <c r="F89" s="78">
        <f t="shared" ref="F89:F94" si="6">P89</f>
        <v>0.651685393258427</v>
      </c>
      <c r="G89" s="324">
        <v>18150</v>
      </c>
      <c r="H89" s="324">
        <v>18150</v>
      </c>
      <c r="I89" s="328">
        <v>13200</v>
      </c>
      <c r="J89" s="322">
        <f t="shared" ref="J89:J94" si="7">I89/H89</f>
        <v>0.72727272727272729</v>
      </c>
      <c r="M89" s="38">
        <f t="shared" ref="M89:M94" si="8">E89-D89</f>
        <v>89</v>
      </c>
      <c r="N89" s="76">
        <v>42794</v>
      </c>
      <c r="O89" s="38">
        <f t="shared" ref="O89:O94" si="9">E89-N89</f>
        <v>31</v>
      </c>
      <c r="P89" s="323">
        <f t="shared" ref="P89:P94" si="10">(M89-O89)/M89</f>
        <v>0.651685393258427</v>
      </c>
    </row>
    <row r="90" spans="1:16" ht="18.95" customHeight="1">
      <c r="A90" s="321">
        <f t="shared" si="5"/>
        <v>66</v>
      </c>
      <c r="B90" s="327" t="s">
        <v>1416</v>
      </c>
      <c r="C90" s="324" t="s">
        <v>1417</v>
      </c>
      <c r="D90" s="75">
        <v>42736</v>
      </c>
      <c r="E90" s="76">
        <v>42947</v>
      </c>
      <c r="F90" s="78">
        <f t="shared" si="6"/>
        <v>0.27488151658767773</v>
      </c>
      <c r="G90" s="324">
        <v>23099.993999999999</v>
      </c>
      <c r="H90" s="324">
        <v>23099.993999999999</v>
      </c>
      <c r="I90" s="328">
        <v>6600.0060000000003</v>
      </c>
      <c r="J90" s="322">
        <f t="shared" si="7"/>
        <v>0.28571461966613498</v>
      </c>
      <c r="M90" s="38">
        <f t="shared" si="8"/>
        <v>211</v>
      </c>
      <c r="N90" s="76">
        <v>42794</v>
      </c>
      <c r="O90" s="38">
        <f t="shared" si="9"/>
        <v>153</v>
      </c>
      <c r="P90" s="323">
        <f t="shared" si="10"/>
        <v>0.27488151658767773</v>
      </c>
    </row>
    <row r="91" spans="1:16" ht="18.95" customHeight="1">
      <c r="A91" s="321">
        <f t="shared" ref="A91:A94" si="11">A90+1</f>
        <v>67</v>
      </c>
      <c r="B91" s="327" t="s">
        <v>1477</v>
      </c>
      <c r="C91" s="324" t="s">
        <v>1478</v>
      </c>
      <c r="D91" s="75">
        <v>42767</v>
      </c>
      <c r="E91" s="76">
        <v>43069</v>
      </c>
      <c r="F91" s="78">
        <f t="shared" si="6"/>
        <v>8.9403973509933773E-2</v>
      </c>
      <c r="G91" s="324">
        <v>24300</v>
      </c>
      <c r="H91" s="324">
        <v>24300</v>
      </c>
      <c r="I91" s="328">
        <v>259.2</v>
      </c>
      <c r="J91" s="322">
        <f t="shared" si="7"/>
        <v>1.0666666666666666E-2</v>
      </c>
      <c r="M91" s="38">
        <f t="shared" si="8"/>
        <v>302</v>
      </c>
      <c r="N91" s="76">
        <v>42794</v>
      </c>
      <c r="O91" s="38">
        <f t="shared" si="9"/>
        <v>275</v>
      </c>
      <c r="P91" s="323">
        <f t="shared" si="10"/>
        <v>8.9403973509933773E-2</v>
      </c>
    </row>
    <row r="92" spans="1:16" ht="18.95" customHeight="1">
      <c r="A92" s="321">
        <f t="shared" si="11"/>
        <v>68</v>
      </c>
      <c r="B92" s="327" t="s">
        <v>1471</v>
      </c>
      <c r="C92" s="324" t="s">
        <v>1472</v>
      </c>
      <c r="D92" s="75">
        <v>42767</v>
      </c>
      <c r="E92" s="76">
        <v>43100</v>
      </c>
      <c r="F92" s="78">
        <f t="shared" si="6"/>
        <v>8.1081081081081086E-2</v>
      </c>
      <c r="G92" s="324">
        <v>17738.996999999999</v>
      </c>
      <c r="H92" s="324">
        <v>17738.996999999999</v>
      </c>
      <c r="I92" s="328">
        <v>810</v>
      </c>
      <c r="J92" s="322">
        <f t="shared" si="7"/>
        <v>4.566210817894608E-2</v>
      </c>
      <c r="M92" s="38">
        <f t="shared" si="8"/>
        <v>333</v>
      </c>
      <c r="N92" s="76">
        <v>42794</v>
      </c>
      <c r="O92" s="38">
        <f t="shared" si="9"/>
        <v>306</v>
      </c>
      <c r="P92" s="323">
        <f t="shared" si="10"/>
        <v>8.1081081081081086E-2</v>
      </c>
    </row>
    <row r="93" spans="1:16" ht="18.95" customHeight="1">
      <c r="A93" s="321">
        <f t="shared" si="11"/>
        <v>69</v>
      </c>
      <c r="B93" s="327" t="s">
        <v>1447</v>
      </c>
      <c r="C93" s="324" t="s">
        <v>1448</v>
      </c>
      <c r="D93" s="75">
        <v>42736</v>
      </c>
      <c r="E93" s="76">
        <v>43039</v>
      </c>
      <c r="F93" s="78">
        <f t="shared" si="6"/>
        <v>0.19141914191419143</v>
      </c>
      <c r="G93" s="324">
        <v>12959.97</v>
      </c>
      <c r="H93" s="324">
        <v>12959.97</v>
      </c>
      <c r="I93" s="328">
        <v>2592</v>
      </c>
      <c r="J93" s="322">
        <f t="shared" si="7"/>
        <v>0.20000046296403465</v>
      </c>
      <c r="M93" s="38">
        <f t="shared" si="8"/>
        <v>303</v>
      </c>
      <c r="N93" s="76">
        <v>42794</v>
      </c>
      <c r="O93" s="38">
        <f t="shared" si="9"/>
        <v>245</v>
      </c>
      <c r="P93" s="323">
        <f t="shared" si="10"/>
        <v>0.19141914191419143</v>
      </c>
    </row>
    <row r="94" spans="1:16" ht="18.95" customHeight="1">
      <c r="A94" s="321">
        <f t="shared" si="11"/>
        <v>70</v>
      </c>
      <c r="B94" s="327" t="s">
        <v>1517</v>
      </c>
      <c r="C94" s="324" t="s">
        <v>1518</v>
      </c>
      <c r="D94" s="75">
        <v>42552</v>
      </c>
      <c r="E94" s="76">
        <v>43465</v>
      </c>
      <c r="F94" s="78">
        <f t="shared" si="6"/>
        <v>0.26506024096385544</v>
      </c>
      <c r="G94" s="324">
        <v>318532.43399999995</v>
      </c>
      <c r="H94" s="324">
        <v>318532.43399999995</v>
      </c>
      <c r="I94" s="328">
        <v>1306.1189999999999</v>
      </c>
      <c r="J94" s="322">
        <f t="shared" si="7"/>
        <v>4.1004270227627754E-3</v>
      </c>
      <c r="M94" s="38">
        <f t="shared" si="8"/>
        <v>913</v>
      </c>
      <c r="N94" s="76">
        <v>42794</v>
      </c>
      <c r="O94" s="38">
        <f t="shared" si="9"/>
        <v>671</v>
      </c>
      <c r="P94" s="323">
        <f t="shared" si="10"/>
        <v>0.26506024096385544</v>
      </c>
    </row>
  </sheetData>
  <mergeCells count="8">
    <mergeCell ref="A58:J58"/>
    <mergeCell ref="A59:J59"/>
    <mergeCell ref="A60:J60"/>
    <mergeCell ref="A1:J1"/>
    <mergeCell ref="A2:J2"/>
    <mergeCell ref="A3:J3"/>
    <mergeCell ref="A4:J4"/>
    <mergeCell ref="A57:J57"/>
  </mergeCells>
  <pageMargins left="0.95" right="0.5" top="0.75" bottom="0.75" header="0.3" footer="0.3"/>
  <pageSetup scale="61" fitToHeight="0" orientation="portrait" r:id="rId1"/>
  <rowBreaks count="1" manualBreakCount="1">
    <brk id="56" max="9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P153"/>
  <sheetViews>
    <sheetView view="pageBreakPreview" zoomScale="60" zoomScaleNormal="100" workbookViewId="0">
      <selection sqref="A1:J1"/>
    </sheetView>
  </sheetViews>
  <sheetFormatPr defaultColWidth="9" defaultRowHeight="12.75"/>
  <cols>
    <col min="1" max="1" width="6" style="32" customWidth="1"/>
    <col min="2" max="2" width="13.6640625" style="321" customWidth="1"/>
    <col min="3" max="3" width="34.33203125" style="32" customWidth="1"/>
    <col min="4" max="5" width="14.44140625" style="74" customWidth="1"/>
    <col min="6" max="6" width="10" style="32" customWidth="1"/>
    <col min="7" max="8" width="14.109375" style="32" customWidth="1"/>
    <col min="9" max="9" width="14.44140625" style="32" customWidth="1"/>
    <col min="10" max="10" width="13.77734375" style="32" customWidth="1"/>
    <col min="11" max="11" width="1.6640625" style="32" customWidth="1"/>
    <col min="12" max="14" width="9" style="32"/>
    <col min="15" max="15" width="11.109375" style="32" customWidth="1"/>
    <col min="16" max="16384" width="9" style="32"/>
  </cols>
  <sheetData>
    <row r="1" spans="1:16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  <c r="G1" s="494"/>
      <c r="H1" s="494"/>
      <c r="I1" s="494"/>
      <c r="J1" s="494"/>
    </row>
    <row r="2" spans="1:16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  <c r="G2" s="494"/>
      <c r="H2" s="494"/>
      <c r="I2" s="494"/>
      <c r="J2" s="494"/>
    </row>
    <row r="3" spans="1:16" ht="20.100000000000001" customHeight="1">
      <c r="A3" s="494" t="s">
        <v>175</v>
      </c>
      <c r="B3" s="494"/>
      <c r="C3" s="494"/>
      <c r="D3" s="494"/>
      <c r="E3" s="494"/>
      <c r="F3" s="494"/>
      <c r="G3" s="494"/>
      <c r="H3" s="494"/>
      <c r="I3" s="494"/>
      <c r="J3" s="494"/>
    </row>
    <row r="4" spans="1:16" ht="20.100000000000001" customHeight="1">
      <c r="A4" s="494" t="str">
        <f>'Rate Case Constants'!C18</f>
        <v>AS OF JUNE 30, 2018</v>
      </c>
      <c r="B4" s="494"/>
      <c r="C4" s="494"/>
      <c r="D4" s="494"/>
      <c r="E4" s="494"/>
      <c r="F4" s="494"/>
      <c r="G4" s="494"/>
      <c r="H4" s="494"/>
      <c r="I4" s="494"/>
      <c r="J4" s="494"/>
    </row>
    <row r="5" spans="1:16" ht="20.100000000000001" customHeight="1">
      <c r="A5" s="319"/>
      <c r="B5" s="319"/>
      <c r="C5" s="319"/>
      <c r="D5" s="319"/>
      <c r="E5" s="319"/>
      <c r="F5" s="319"/>
      <c r="G5" s="319"/>
      <c r="H5" s="319"/>
      <c r="I5" s="319"/>
      <c r="J5" s="319"/>
    </row>
    <row r="6" spans="1:16" ht="20.100000000000001" customHeight="1">
      <c r="A6" s="31" t="s">
        <v>48</v>
      </c>
      <c r="B6" s="320"/>
      <c r="G6" s="38"/>
      <c r="H6" s="38"/>
      <c r="I6" s="38"/>
      <c r="J6" s="38" t="s">
        <v>632</v>
      </c>
    </row>
    <row r="7" spans="1:16" ht="20.100000000000001" customHeight="1">
      <c r="A7" s="32" t="str">
        <f>'Rate Case Constants'!C29</f>
        <v>TYPE OF FILING: __X__ ORIGINAL  _____ UPDATED  _____ REVISED</v>
      </c>
      <c r="G7" s="38"/>
      <c r="H7" s="38"/>
      <c r="I7" s="38"/>
      <c r="J7" s="38" t="s">
        <v>1481</v>
      </c>
    </row>
    <row r="8" spans="1:16" ht="20.100000000000001" customHeight="1">
      <c r="A8" s="31" t="s">
        <v>151</v>
      </c>
      <c r="B8" s="320"/>
      <c r="F8" s="31"/>
      <c r="G8" s="39"/>
      <c r="H8" s="39"/>
      <c r="I8" s="39"/>
      <c r="J8" s="39" t="str">
        <f>'Rate Case Constants'!C36</f>
        <v>WITNESS:   C. M. GARRETT</v>
      </c>
    </row>
    <row r="9" spans="1:16" ht="20.100000000000001" customHeight="1">
      <c r="G9" s="324"/>
    </row>
    <row r="10" spans="1:16" ht="58.5" customHeight="1">
      <c r="A10" s="40" t="s">
        <v>29</v>
      </c>
      <c r="B10" s="40" t="s">
        <v>178</v>
      </c>
      <c r="C10" s="40" t="s">
        <v>179</v>
      </c>
      <c r="D10" s="73" t="s">
        <v>181</v>
      </c>
      <c r="E10" s="73" t="s">
        <v>182</v>
      </c>
      <c r="F10" s="40" t="s">
        <v>183</v>
      </c>
      <c r="G10" s="40" t="s">
        <v>184</v>
      </c>
      <c r="H10" s="40" t="s">
        <v>185</v>
      </c>
      <c r="I10" s="40" t="s">
        <v>186</v>
      </c>
      <c r="J10" s="40" t="s">
        <v>187</v>
      </c>
      <c r="M10" s="79" t="s">
        <v>195</v>
      </c>
      <c r="N10" s="79" t="s">
        <v>196</v>
      </c>
      <c r="O10" s="79" t="s">
        <v>197</v>
      </c>
      <c r="P10" s="79" t="s">
        <v>183</v>
      </c>
    </row>
    <row r="11" spans="1:16" ht="23.1" customHeight="1">
      <c r="A11" s="44" t="s">
        <v>176</v>
      </c>
      <c r="B11" s="44" t="s">
        <v>177</v>
      </c>
      <c r="C11" s="44" t="s">
        <v>180</v>
      </c>
      <c r="D11" s="325" t="s">
        <v>188</v>
      </c>
      <c r="E11" s="325" t="s">
        <v>189</v>
      </c>
      <c r="F11" s="326" t="s">
        <v>190</v>
      </c>
      <c r="G11" s="326" t="s">
        <v>191</v>
      </c>
      <c r="H11" s="326" t="s">
        <v>192</v>
      </c>
      <c r="I11" s="326" t="s">
        <v>193</v>
      </c>
      <c r="J11" s="326" t="s">
        <v>194</v>
      </c>
    </row>
    <row r="12" spans="1:16" ht="18.95" customHeight="1">
      <c r="A12" s="70"/>
      <c r="B12" s="71"/>
      <c r="E12" s="76"/>
    </row>
    <row r="13" spans="1:16" ht="18.95" customHeight="1">
      <c r="A13" s="321">
        <v>1</v>
      </c>
      <c r="B13" s="327" t="s">
        <v>1494</v>
      </c>
      <c r="C13" s="324" t="s">
        <v>1109</v>
      </c>
      <c r="D13" s="75">
        <v>41640</v>
      </c>
      <c r="E13" s="76">
        <v>43708</v>
      </c>
      <c r="F13" s="78">
        <f t="shared" ref="F13:F88" si="0">P13</f>
        <v>0.79352030947775631</v>
      </c>
      <c r="G13" s="324">
        <v>560001.73</v>
      </c>
      <c r="H13" s="324">
        <v>1464546.35</v>
      </c>
      <c r="I13" s="328">
        <v>486426.35</v>
      </c>
      <c r="J13" s="322">
        <f t="shared" ref="J13:J88" si="1">I13/H13</f>
        <v>0.33213448655960937</v>
      </c>
      <c r="M13" s="38">
        <f t="shared" ref="M13:M88" si="2">E13-D13</f>
        <v>2068</v>
      </c>
      <c r="N13" s="76">
        <v>43281</v>
      </c>
      <c r="O13" s="38">
        <f t="shared" ref="O13:O88" si="3">E13-N13</f>
        <v>427</v>
      </c>
      <c r="P13" s="323">
        <f t="shared" ref="P13:P88" si="4">(M13-O13)/M13</f>
        <v>0.79352030947775631</v>
      </c>
    </row>
    <row r="14" spans="1:16" ht="18.95" customHeight="1">
      <c r="A14" s="321">
        <f>A13+1</f>
        <v>2</v>
      </c>
      <c r="B14" s="327" t="s">
        <v>1811</v>
      </c>
      <c r="C14" s="324" t="s">
        <v>1812</v>
      </c>
      <c r="D14" s="75">
        <v>43160</v>
      </c>
      <c r="E14" s="76">
        <v>43465</v>
      </c>
      <c r="F14" s="78">
        <f t="shared" si="0"/>
        <v>0.39672131147540984</v>
      </c>
      <c r="G14" s="324">
        <v>0</v>
      </c>
      <c r="H14" s="324">
        <v>28800</v>
      </c>
      <c r="I14" s="328">
        <v>27648</v>
      </c>
      <c r="J14" s="322">
        <f t="shared" si="1"/>
        <v>0.96</v>
      </c>
      <c r="M14" s="38">
        <f t="shared" si="2"/>
        <v>305</v>
      </c>
      <c r="N14" s="76">
        <v>43281</v>
      </c>
      <c r="O14" s="38">
        <f t="shared" si="3"/>
        <v>184</v>
      </c>
      <c r="P14" s="323">
        <f t="shared" si="4"/>
        <v>0.39672131147540984</v>
      </c>
    </row>
    <row r="15" spans="1:16" ht="18.95" customHeight="1">
      <c r="A15" s="321">
        <f t="shared" ref="A15:A90" si="5">A14+1</f>
        <v>3</v>
      </c>
      <c r="B15" s="327" t="s">
        <v>1359</v>
      </c>
      <c r="C15" s="324" t="s">
        <v>1360</v>
      </c>
      <c r="D15" s="75">
        <v>41821</v>
      </c>
      <c r="E15" s="76">
        <v>43555</v>
      </c>
      <c r="F15" s="78">
        <f t="shared" si="0"/>
        <v>0.84198385236447515</v>
      </c>
      <c r="G15" s="324">
        <v>475211.61</v>
      </c>
      <c r="H15" s="324">
        <v>27863305.379999999</v>
      </c>
      <c r="I15" s="328">
        <v>15762205.380000001</v>
      </c>
      <c r="J15" s="322">
        <f t="shared" si="1"/>
        <v>0.56569761430077692</v>
      </c>
      <c r="M15" s="38">
        <f t="shared" si="2"/>
        <v>1734</v>
      </c>
      <c r="N15" s="76">
        <v>43281</v>
      </c>
      <c r="O15" s="38">
        <f t="shared" si="3"/>
        <v>274</v>
      </c>
      <c r="P15" s="323">
        <f t="shared" si="4"/>
        <v>0.84198385236447515</v>
      </c>
    </row>
    <row r="16" spans="1:16" ht="18.95" customHeight="1">
      <c r="A16" s="321">
        <f t="shared" si="5"/>
        <v>4</v>
      </c>
      <c r="B16" s="327" t="s">
        <v>1624</v>
      </c>
      <c r="C16" s="324" t="s">
        <v>1114</v>
      </c>
      <c r="D16" s="75">
        <v>42005</v>
      </c>
      <c r="E16" s="76">
        <v>44561</v>
      </c>
      <c r="F16" s="78">
        <f t="shared" si="0"/>
        <v>0.49921752738654146</v>
      </c>
      <c r="G16" s="324">
        <v>54000</v>
      </c>
      <c r="H16" s="324">
        <v>26250</v>
      </c>
      <c r="I16" s="328">
        <v>10500</v>
      </c>
      <c r="J16" s="322">
        <f t="shared" si="1"/>
        <v>0.4</v>
      </c>
      <c r="M16" s="38">
        <f t="shared" si="2"/>
        <v>2556</v>
      </c>
      <c r="N16" s="76">
        <v>43281</v>
      </c>
      <c r="O16" s="38">
        <f t="shared" si="3"/>
        <v>1280</v>
      </c>
      <c r="P16" s="323">
        <f t="shared" si="4"/>
        <v>0.49921752738654146</v>
      </c>
    </row>
    <row r="17" spans="1:16" ht="18.95" customHeight="1">
      <c r="A17" s="321">
        <f t="shared" si="5"/>
        <v>5</v>
      </c>
      <c r="B17" s="327" t="s">
        <v>1813</v>
      </c>
      <c r="C17" s="324" t="s">
        <v>1814</v>
      </c>
      <c r="D17" s="75">
        <v>43132</v>
      </c>
      <c r="E17" s="76">
        <v>43343</v>
      </c>
      <c r="F17" s="78">
        <f t="shared" si="0"/>
        <v>0.70616113744075826</v>
      </c>
      <c r="G17" s="324">
        <v>15000</v>
      </c>
      <c r="H17" s="324">
        <v>24021</v>
      </c>
      <c r="I17" s="328">
        <v>10557</v>
      </c>
      <c r="J17" s="322">
        <f t="shared" si="1"/>
        <v>0.43949044585987262</v>
      </c>
      <c r="M17" s="38">
        <f t="shared" si="2"/>
        <v>211</v>
      </c>
      <c r="N17" s="76">
        <v>43281</v>
      </c>
      <c r="O17" s="38">
        <f t="shared" si="3"/>
        <v>62</v>
      </c>
      <c r="P17" s="323">
        <f t="shared" si="4"/>
        <v>0.70616113744075826</v>
      </c>
    </row>
    <row r="18" spans="1:16" ht="18.95" customHeight="1">
      <c r="A18" s="321">
        <f t="shared" si="5"/>
        <v>6</v>
      </c>
      <c r="B18" s="327" t="s">
        <v>1627</v>
      </c>
      <c r="C18" s="324" t="s">
        <v>1628</v>
      </c>
      <c r="D18" s="75">
        <v>43101</v>
      </c>
      <c r="E18" s="76">
        <v>43465</v>
      </c>
      <c r="F18" s="78">
        <f t="shared" si="0"/>
        <v>0.49450549450549453</v>
      </c>
      <c r="G18" s="324">
        <v>39600</v>
      </c>
      <c r="H18" s="324">
        <v>33000</v>
      </c>
      <c r="I18" s="328">
        <v>9900</v>
      </c>
      <c r="J18" s="322">
        <f t="shared" si="1"/>
        <v>0.3</v>
      </c>
      <c r="M18" s="38">
        <f t="shared" si="2"/>
        <v>364</v>
      </c>
      <c r="N18" s="76">
        <v>43281</v>
      </c>
      <c r="O18" s="38">
        <f t="shared" si="3"/>
        <v>184</v>
      </c>
      <c r="P18" s="323">
        <f t="shared" si="4"/>
        <v>0.49450549450549453</v>
      </c>
    </row>
    <row r="19" spans="1:16" ht="18.95" customHeight="1">
      <c r="A19" s="321">
        <f t="shared" si="5"/>
        <v>7</v>
      </c>
      <c r="B19" s="327" t="s">
        <v>1672</v>
      </c>
      <c r="C19" s="324" t="s">
        <v>1673</v>
      </c>
      <c r="D19" s="75">
        <v>42370</v>
      </c>
      <c r="E19" s="76">
        <v>43465</v>
      </c>
      <c r="F19" s="78">
        <f t="shared" si="0"/>
        <v>0.83196347031963469</v>
      </c>
      <c r="G19" s="324">
        <v>200089.62</v>
      </c>
      <c r="H19" s="324">
        <v>213928.56</v>
      </c>
      <c r="I19" s="328">
        <v>4168.5600000000004</v>
      </c>
      <c r="J19" s="322">
        <f t="shared" si="1"/>
        <v>1.9485757301409407E-2</v>
      </c>
      <c r="M19" s="38">
        <f t="shared" si="2"/>
        <v>1095</v>
      </c>
      <c r="N19" s="76">
        <v>43281</v>
      </c>
      <c r="O19" s="38">
        <f t="shared" si="3"/>
        <v>184</v>
      </c>
      <c r="P19" s="323">
        <f t="shared" si="4"/>
        <v>0.83196347031963469</v>
      </c>
    </row>
    <row r="20" spans="1:16" ht="18.95" customHeight="1">
      <c r="A20" s="321">
        <f t="shared" si="5"/>
        <v>8</v>
      </c>
      <c r="B20" s="327" t="s">
        <v>1501</v>
      </c>
      <c r="C20" s="324" t="s">
        <v>1502</v>
      </c>
      <c r="D20" s="75">
        <v>42370</v>
      </c>
      <c r="E20" s="76">
        <v>44135</v>
      </c>
      <c r="F20" s="78">
        <f t="shared" si="0"/>
        <v>0.51614730878186965</v>
      </c>
      <c r="G20" s="324">
        <v>249999.35999999999</v>
      </c>
      <c r="H20" s="324">
        <v>4262299.92</v>
      </c>
      <c r="I20" s="328">
        <v>338357.28</v>
      </c>
      <c r="J20" s="322">
        <f t="shared" si="1"/>
        <v>7.9383733277971685E-2</v>
      </c>
      <c r="M20" s="38">
        <f t="shared" si="2"/>
        <v>1765</v>
      </c>
      <c r="N20" s="76">
        <v>43281</v>
      </c>
      <c r="O20" s="38">
        <f t="shared" si="3"/>
        <v>854</v>
      </c>
      <c r="P20" s="323">
        <f t="shared" si="4"/>
        <v>0.51614730878186965</v>
      </c>
    </row>
    <row r="21" spans="1:16" ht="18.95" customHeight="1">
      <c r="A21" s="321">
        <f t="shared" si="5"/>
        <v>9</v>
      </c>
      <c r="B21" s="327" t="s">
        <v>1592</v>
      </c>
      <c r="C21" s="324" t="s">
        <v>1593</v>
      </c>
      <c r="D21" s="75">
        <v>43101</v>
      </c>
      <c r="E21" s="76">
        <v>43373</v>
      </c>
      <c r="F21" s="78">
        <f t="shared" si="0"/>
        <v>0.66176470588235292</v>
      </c>
      <c r="G21" s="324">
        <v>15000</v>
      </c>
      <c r="H21" s="324">
        <v>22500</v>
      </c>
      <c r="I21" s="328">
        <v>16500</v>
      </c>
      <c r="J21" s="322">
        <f t="shared" si="1"/>
        <v>0.73333333333333328</v>
      </c>
      <c r="M21" s="38">
        <f t="shared" si="2"/>
        <v>272</v>
      </c>
      <c r="N21" s="76">
        <v>43281</v>
      </c>
      <c r="O21" s="38">
        <f t="shared" si="3"/>
        <v>92</v>
      </c>
      <c r="P21" s="323">
        <f t="shared" si="4"/>
        <v>0.66176470588235292</v>
      </c>
    </row>
    <row r="22" spans="1:16" ht="18.95" customHeight="1">
      <c r="A22" s="321">
        <f t="shared" si="5"/>
        <v>10</v>
      </c>
      <c r="B22" s="327" t="s">
        <v>1444</v>
      </c>
      <c r="C22" s="324" t="s">
        <v>1123</v>
      </c>
      <c r="D22" s="75">
        <v>42005</v>
      </c>
      <c r="E22" s="76">
        <v>44926</v>
      </c>
      <c r="F22" s="78">
        <f t="shared" si="0"/>
        <v>0.43683669976035605</v>
      </c>
      <c r="G22" s="324">
        <v>14700</v>
      </c>
      <c r="H22" s="324">
        <v>20580</v>
      </c>
      <c r="I22" s="328">
        <v>8820</v>
      </c>
      <c r="J22" s="322">
        <f t="shared" si="1"/>
        <v>0.42857142857142855</v>
      </c>
      <c r="M22" s="38">
        <f t="shared" si="2"/>
        <v>2921</v>
      </c>
      <c r="N22" s="76">
        <v>43281</v>
      </c>
      <c r="O22" s="38">
        <f t="shared" si="3"/>
        <v>1645</v>
      </c>
      <c r="P22" s="323">
        <f t="shared" si="4"/>
        <v>0.43683669976035605</v>
      </c>
    </row>
    <row r="23" spans="1:16" ht="18.95" customHeight="1">
      <c r="A23" s="321">
        <f t="shared" si="5"/>
        <v>11</v>
      </c>
      <c r="B23" s="327" t="s">
        <v>1370</v>
      </c>
      <c r="C23" s="324" t="s">
        <v>1371</v>
      </c>
      <c r="D23" s="75">
        <v>42370</v>
      </c>
      <c r="E23" s="76">
        <v>43830</v>
      </c>
      <c r="F23" s="78">
        <f t="shared" si="0"/>
        <v>0.62397260273972599</v>
      </c>
      <c r="G23" s="324">
        <v>238500</v>
      </c>
      <c r="H23" s="324">
        <v>238500</v>
      </c>
      <c r="I23" s="328">
        <v>115800</v>
      </c>
      <c r="J23" s="322">
        <f t="shared" si="1"/>
        <v>0.48553459119496856</v>
      </c>
      <c r="M23" s="38">
        <f t="shared" si="2"/>
        <v>1460</v>
      </c>
      <c r="N23" s="76">
        <v>43281</v>
      </c>
      <c r="O23" s="38">
        <f t="shared" si="3"/>
        <v>549</v>
      </c>
      <c r="P23" s="323">
        <f t="shared" si="4"/>
        <v>0.62397260273972599</v>
      </c>
    </row>
    <row r="24" spans="1:16" ht="18.95" customHeight="1">
      <c r="A24" s="321">
        <f t="shared" si="5"/>
        <v>12</v>
      </c>
      <c r="B24" s="327" t="s">
        <v>1486</v>
      </c>
      <c r="C24" s="324" t="s">
        <v>1487</v>
      </c>
      <c r="D24" s="75">
        <v>43101</v>
      </c>
      <c r="E24" s="76">
        <v>44926</v>
      </c>
      <c r="F24" s="78">
        <f t="shared" si="0"/>
        <v>9.8630136986301367E-2</v>
      </c>
      <c r="G24" s="324">
        <v>6326162.8100000005</v>
      </c>
      <c r="H24" s="324">
        <v>14000470.67</v>
      </c>
      <c r="I24" s="328">
        <v>795589.92000000016</v>
      </c>
      <c r="J24" s="322">
        <f t="shared" si="1"/>
        <v>5.6825940981025613E-2</v>
      </c>
      <c r="M24" s="38">
        <f t="shared" si="2"/>
        <v>1825</v>
      </c>
      <c r="N24" s="76">
        <v>43281</v>
      </c>
      <c r="O24" s="38">
        <f t="shared" si="3"/>
        <v>1645</v>
      </c>
      <c r="P24" s="323">
        <f t="shared" si="4"/>
        <v>9.8630136986301367E-2</v>
      </c>
    </row>
    <row r="25" spans="1:16" ht="18.95" customHeight="1">
      <c r="A25" s="321">
        <f t="shared" si="5"/>
        <v>13</v>
      </c>
      <c r="B25" s="327" t="s">
        <v>1509</v>
      </c>
      <c r="C25" s="324" t="s">
        <v>1510</v>
      </c>
      <c r="D25" s="75">
        <v>43101</v>
      </c>
      <c r="E25" s="76">
        <v>43465</v>
      </c>
      <c r="F25" s="78">
        <f t="shared" si="0"/>
        <v>0.49450549450549453</v>
      </c>
      <c r="G25" s="324">
        <v>299708.89</v>
      </c>
      <c r="H25" s="324">
        <v>300362.46000000002</v>
      </c>
      <c r="I25" s="328">
        <v>154000.44</v>
      </c>
      <c r="J25" s="322">
        <f t="shared" si="1"/>
        <v>0.51271533732943853</v>
      </c>
      <c r="M25" s="38">
        <f t="shared" si="2"/>
        <v>364</v>
      </c>
      <c r="N25" s="76">
        <v>43281</v>
      </c>
      <c r="O25" s="38">
        <f t="shared" si="3"/>
        <v>184</v>
      </c>
      <c r="P25" s="323">
        <f t="shared" si="4"/>
        <v>0.49450549450549453</v>
      </c>
    </row>
    <row r="26" spans="1:16" ht="18.95" customHeight="1">
      <c r="A26" s="321">
        <f t="shared" si="5"/>
        <v>14</v>
      </c>
      <c r="B26" s="327" t="s">
        <v>1535</v>
      </c>
      <c r="C26" s="324" t="s">
        <v>1536</v>
      </c>
      <c r="D26" s="75">
        <v>43101</v>
      </c>
      <c r="E26" s="76">
        <v>43465</v>
      </c>
      <c r="F26" s="78">
        <f t="shared" si="0"/>
        <v>0.49450549450549453</v>
      </c>
      <c r="G26" s="324">
        <v>133251.65</v>
      </c>
      <c r="H26" s="324">
        <v>133380</v>
      </c>
      <c r="I26" s="328">
        <v>67260</v>
      </c>
      <c r="J26" s="322">
        <f t="shared" si="1"/>
        <v>0.50427350427350426</v>
      </c>
      <c r="M26" s="38">
        <f t="shared" si="2"/>
        <v>364</v>
      </c>
      <c r="N26" s="76">
        <v>43281</v>
      </c>
      <c r="O26" s="38">
        <f t="shared" si="3"/>
        <v>184</v>
      </c>
      <c r="P26" s="323">
        <f t="shared" si="4"/>
        <v>0.49450549450549453</v>
      </c>
    </row>
    <row r="27" spans="1:16" ht="18.95" customHeight="1">
      <c r="A27" s="321">
        <f t="shared" si="5"/>
        <v>15</v>
      </c>
      <c r="B27" s="327" t="s">
        <v>1584</v>
      </c>
      <c r="C27" s="324" t="s">
        <v>1585</v>
      </c>
      <c r="D27" s="75">
        <v>43101</v>
      </c>
      <c r="E27" s="76">
        <v>43465</v>
      </c>
      <c r="F27" s="78">
        <f t="shared" si="0"/>
        <v>0.49450549450549453</v>
      </c>
      <c r="G27" s="324">
        <v>315316.8</v>
      </c>
      <c r="H27" s="324">
        <v>312351.32</v>
      </c>
      <c r="I27" s="328">
        <v>22408.560000000001</v>
      </c>
      <c r="J27" s="322">
        <f t="shared" si="1"/>
        <v>7.1741524895748796E-2</v>
      </c>
      <c r="M27" s="38">
        <f t="shared" si="2"/>
        <v>364</v>
      </c>
      <c r="N27" s="76">
        <v>43281</v>
      </c>
      <c r="O27" s="38">
        <f t="shared" si="3"/>
        <v>184</v>
      </c>
      <c r="P27" s="323">
        <f t="shared" si="4"/>
        <v>0.49450549450549453</v>
      </c>
    </row>
    <row r="28" spans="1:16" ht="18.95" customHeight="1">
      <c r="A28" s="321">
        <f t="shared" si="5"/>
        <v>16</v>
      </c>
      <c r="B28" s="327" t="s">
        <v>1499</v>
      </c>
      <c r="C28" s="324" t="s">
        <v>1500</v>
      </c>
      <c r="D28" s="75">
        <v>43101</v>
      </c>
      <c r="E28" s="76">
        <v>43465</v>
      </c>
      <c r="F28" s="78">
        <f t="shared" si="0"/>
        <v>0.49450549450549453</v>
      </c>
      <c r="G28" s="324">
        <v>246805.23</v>
      </c>
      <c r="H28" s="324">
        <v>464080.74</v>
      </c>
      <c r="I28" s="328">
        <v>390207.36</v>
      </c>
      <c r="J28" s="322">
        <f t="shared" si="1"/>
        <v>0.8408178283804667</v>
      </c>
      <c r="M28" s="38">
        <f t="shared" si="2"/>
        <v>364</v>
      </c>
      <c r="N28" s="76">
        <v>43281</v>
      </c>
      <c r="O28" s="38">
        <f t="shared" si="3"/>
        <v>184</v>
      </c>
      <c r="P28" s="323">
        <f t="shared" si="4"/>
        <v>0.49450549450549453</v>
      </c>
    </row>
    <row r="29" spans="1:16" ht="18.95" customHeight="1">
      <c r="A29" s="321">
        <f t="shared" si="5"/>
        <v>17</v>
      </c>
      <c r="B29" s="327" t="s">
        <v>1497</v>
      </c>
      <c r="C29" s="324" t="s">
        <v>1498</v>
      </c>
      <c r="D29" s="75">
        <v>43101</v>
      </c>
      <c r="E29" s="76">
        <v>43465</v>
      </c>
      <c r="F29" s="78">
        <f t="shared" si="0"/>
        <v>0.49450549450549453</v>
      </c>
      <c r="G29" s="324">
        <v>780825.61</v>
      </c>
      <c r="H29" s="324">
        <v>665533.31999999995</v>
      </c>
      <c r="I29" s="328">
        <v>413912.52</v>
      </c>
      <c r="J29" s="322">
        <f t="shared" si="1"/>
        <v>0.6219260667519998</v>
      </c>
      <c r="M29" s="38">
        <f t="shared" si="2"/>
        <v>364</v>
      </c>
      <c r="N29" s="76">
        <v>43281</v>
      </c>
      <c r="O29" s="38">
        <f t="shared" si="3"/>
        <v>184</v>
      </c>
      <c r="P29" s="323">
        <f t="shared" si="4"/>
        <v>0.49450549450549453</v>
      </c>
    </row>
    <row r="30" spans="1:16" ht="18.95" customHeight="1">
      <c r="A30" s="321">
        <f t="shared" si="5"/>
        <v>18</v>
      </c>
      <c r="B30" s="327" t="s">
        <v>1488</v>
      </c>
      <c r="C30" s="324" t="s">
        <v>1489</v>
      </c>
      <c r="D30" s="75">
        <v>43101</v>
      </c>
      <c r="E30" s="76">
        <v>43465</v>
      </c>
      <c r="F30" s="78">
        <f t="shared" si="0"/>
        <v>0.49450549450549453</v>
      </c>
      <c r="G30" s="324">
        <v>1145122</v>
      </c>
      <c r="H30" s="324">
        <v>944038.04</v>
      </c>
      <c r="I30" s="328">
        <v>562957.22</v>
      </c>
      <c r="J30" s="322">
        <f t="shared" si="1"/>
        <v>0.59632895725261237</v>
      </c>
      <c r="M30" s="38">
        <f t="shared" si="2"/>
        <v>364</v>
      </c>
      <c r="N30" s="76">
        <v>43281</v>
      </c>
      <c r="O30" s="38">
        <f t="shared" si="3"/>
        <v>184</v>
      </c>
      <c r="P30" s="323">
        <f t="shared" si="4"/>
        <v>0.49450549450549453</v>
      </c>
    </row>
    <row r="31" spans="1:16" ht="18.95" customHeight="1">
      <c r="A31" s="321">
        <f t="shared" si="5"/>
        <v>19</v>
      </c>
      <c r="B31" s="327" t="s">
        <v>1495</v>
      </c>
      <c r="C31" s="324" t="s">
        <v>1496</v>
      </c>
      <c r="D31" s="75">
        <v>43101</v>
      </c>
      <c r="E31" s="76">
        <v>43465</v>
      </c>
      <c r="F31" s="78">
        <f t="shared" si="0"/>
        <v>0.49450549450549453</v>
      </c>
      <c r="G31" s="324">
        <v>786270.54</v>
      </c>
      <c r="H31" s="324">
        <v>526824.24</v>
      </c>
      <c r="I31" s="328">
        <v>422657.04000000004</v>
      </c>
      <c r="J31" s="322">
        <f t="shared" si="1"/>
        <v>0.80227333503105336</v>
      </c>
      <c r="M31" s="38">
        <f t="shared" si="2"/>
        <v>364</v>
      </c>
      <c r="N31" s="76">
        <v>43281</v>
      </c>
      <c r="O31" s="38">
        <f t="shared" si="3"/>
        <v>184</v>
      </c>
      <c r="P31" s="323">
        <f t="shared" si="4"/>
        <v>0.49450549450549453</v>
      </c>
    </row>
    <row r="32" spans="1:16" ht="18.95" customHeight="1">
      <c r="A32" s="321">
        <f t="shared" si="5"/>
        <v>20</v>
      </c>
      <c r="B32" s="327" t="s">
        <v>1550</v>
      </c>
      <c r="C32" s="324" t="s">
        <v>1551</v>
      </c>
      <c r="D32" s="75">
        <v>43101</v>
      </c>
      <c r="E32" s="76">
        <v>43465</v>
      </c>
      <c r="F32" s="78">
        <f t="shared" si="0"/>
        <v>0.49450549450549453</v>
      </c>
      <c r="G32" s="324">
        <v>50478.3</v>
      </c>
      <c r="H32" s="324">
        <v>55224.15</v>
      </c>
      <c r="I32" s="328">
        <v>38545.35</v>
      </c>
      <c r="J32" s="322">
        <f t="shared" si="1"/>
        <v>0.6979799598545201</v>
      </c>
      <c r="M32" s="38">
        <f t="shared" si="2"/>
        <v>364</v>
      </c>
      <c r="N32" s="76">
        <v>43281</v>
      </c>
      <c r="O32" s="38">
        <f t="shared" si="3"/>
        <v>184</v>
      </c>
      <c r="P32" s="323">
        <f t="shared" si="4"/>
        <v>0.49450549450549453</v>
      </c>
    </row>
    <row r="33" spans="1:16" ht="18.95" customHeight="1">
      <c r="A33" s="321">
        <f t="shared" si="5"/>
        <v>21</v>
      </c>
      <c r="B33" s="327" t="s">
        <v>1529</v>
      </c>
      <c r="C33" s="324" t="s">
        <v>1530</v>
      </c>
      <c r="D33" s="75">
        <v>42736</v>
      </c>
      <c r="E33" s="76">
        <v>43465</v>
      </c>
      <c r="F33" s="78">
        <f t="shared" si="0"/>
        <v>0.74759945130315497</v>
      </c>
      <c r="G33" s="324">
        <v>99499.5</v>
      </c>
      <c r="H33" s="324">
        <v>99680.78</v>
      </c>
      <c r="I33" s="328">
        <v>73626.98000000001</v>
      </c>
      <c r="J33" s="322">
        <f t="shared" si="1"/>
        <v>0.73862764717531315</v>
      </c>
      <c r="M33" s="38">
        <f t="shared" si="2"/>
        <v>729</v>
      </c>
      <c r="N33" s="76">
        <v>43281</v>
      </c>
      <c r="O33" s="38">
        <f t="shared" si="3"/>
        <v>184</v>
      </c>
      <c r="P33" s="323">
        <f t="shared" si="4"/>
        <v>0.74759945130315497</v>
      </c>
    </row>
    <row r="34" spans="1:16" ht="18.95" customHeight="1">
      <c r="A34" s="321">
        <f t="shared" si="5"/>
        <v>22</v>
      </c>
      <c r="B34" s="327" t="s">
        <v>1521</v>
      </c>
      <c r="C34" s="324" t="s">
        <v>1522</v>
      </c>
      <c r="D34" s="75">
        <v>43101</v>
      </c>
      <c r="E34" s="76">
        <v>43465</v>
      </c>
      <c r="F34" s="78">
        <f t="shared" si="0"/>
        <v>0.49450549450549453</v>
      </c>
      <c r="G34" s="324">
        <v>92522.48</v>
      </c>
      <c r="H34" s="324">
        <v>93106.8</v>
      </c>
      <c r="I34" s="328">
        <v>89686.8</v>
      </c>
      <c r="J34" s="322">
        <f t="shared" si="1"/>
        <v>0.96326798901906197</v>
      </c>
      <c r="M34" s="38">
        <f t="shared" si="2"/>
        <v>364</v>
      </c>
      <c r="N34" s="76">
        <v>43281</v>
      </c>
      <c r="O34" s="38">
        <f t="shared" si="3"/>
        <v>184</v>
      </c>
      <c r="P34" s="323">
        <f t="shared" si="4"/>
        <v>0.49450549450549453</v>
      </c>
    </row>
    <row r="35" spans="1:16" ht="18.95" customHeight="1">
      <c r="A35" s="321">
        <f t="shared" si="5"/>
        <v>23</v>
      </c>
      <c r="B35" s="327" t="s">
        <v>1662</v>
      </c>
      <c r="C35" s="324" t="s">
        <v>1663</v>
      </c>
      <c r="D35" s="75">
        <v>43101</v>
      </c>
      <c r="E35" s="76">
        <v>43465</v>
      </c>
      <c r="F35" s="78">
        <f t="shared" si="0"/>
        <v>0.49450549450549453</v>
      </c>
      <c r="G35" s="324">
        <v>49824.53</v>
      </c>
      <c r="H35" s="324">
        <v>50160</v>
      </c>
      <c r="I35" s="328">
        <v>5700</v>
      </c>
      <c r="J35" s="322">
        <f t="shared" si="1"/>
        <v>0.11363636363636363</v>
      </c>
      <c r="M35" s="38">
        <f t="shared" si="2"/>
        <v>364</v>
      </c>
      <c r="N35" s="76">
        <v>43281</v>
      </c>
      <c r="O35" s="38">
        <f t="shared" si="3"/>
        <v>184</v>
      </c>
      <c r="P35" s="323">
        <f t="shared" si="4"/>
        <v>0.49450549450549453</v>
      </c>
    </row>
    <row r="36" spans="1:16" ht="18.95" customHeight="1">
      <c r="A36" s="321">
        <f t="shared" si="5"/>
        <v>24</v>
      </c>
      <c r="B36" s="327" t="s">
        <v>1543</v>
      </c>
      <c r="C36" s="324" t="s">
        <v>1544</v>
      </c>
      <c r="D36" s="75">
        <v>43101</v>
      </c>
      <c r="E36" s="76">
        <v>43465</v>
      </c>
      <c r="F36" s="78">
        <f t="shared" si="0"/>
        <v>0.49450549450549453</v>
      </c>
      <c r="G36" s="324">
        <v>59903.12</v>
      </c>
      <c r="H36" s="324">
        <v>60046.8</v>
      </c>
      <c r="I36" s="328">
        <v>46740</v>
      </c>
      <c r="J36" s="322">
        <f t="shared" si="1"/>
        <v>0.77839285357421206</v>
      </c>
      <c r="M36" s="38">
        <f t="shared" si="2"/>
        <v>364</v>
      </c>
      <c r="N36" s="76">
        <v>43281</v>
      </c>
      <c r="O36" s="38">
        <f t="shared" si="3"/>
        <v>184</v>
      </c>
      <c r="P36" s="323">
        <f t="shared" si="4"/>
        <v>0.49450549450549453</v>
      </c>
    </row>
    <row r="37" spans="1:16" ht="18.95" customHeight="1">
      <c r="A37" s="321">
        <f t="shared" si="5"/>
        <v>25</v>
      </c>
      <c r="B37" s="327" t="s">
        <v>1492</v>
      </c>
      <c r="C37" s="324" t="s">
        <v>1493</v>
      </c>
      <c r="D37" s="75">
        <v>43101</v>
      </c>
      <c r="E37" s="76">
        <v>43465</v>
      </c>
      <c r="F37" s="78">
        <f t="shared" si="0"/>
        <v>0.49450549450549453</v>
      </c>
      <c r="G37" s="324">
        <v>699558.82</v>
      </c>
      <c r="H37" s="324">
        <v>700389.84</v>
      </c>
      <c r="I37" s="328">
        <v>532417.38</v>
      </c>
      <c r="J37" s="322">
        <f t="shared" si="1"/>
        <v>0.76017290599189735</v>
      </c>
      <c r="M37" s="38">
        <f t="shared" si="2"/>
        <v>364</v>
      </c>
      <c r="N37" s="76">
        <v>43281</v>
      </c>
      <c r="O37" s="38">
        <f t="shared" si="3"/>
        <v>184</v>
      </c>
      <c r="P37" s="323">
        <f t="shared" si="4"/>
        <v>0.49450549450549453</v>
      </c>
    </row>
    <row r="38" spans="1:16" ht="18.95" customHeight="1">
      <c r="A38" s="321">
        <f t="shared" si="5"/>
        <v>26</v>
      </c>
      <c r="B38" s="327" t="s">
        <v>1633</v>
      </c>
      <c r="C38" s="324" t="s">
        <v>1634</v>
      </c>
      <c r="D38" s="75">
        <v>43101</v>
      </c>
      <c r="E38" s="76">
        <v>43465</v>
      </c>
      <c r="F38" s="78">
        <f t="shared" si="0"/>
        <v>0.49450549450549453</v>
      </c>
      <c r="G38" s="324">
        <v>40554.85</v>
      </c>
      <c r="H38" s="324">
        <v>41040</v>
      </c>
      <c r="I38" s="328">
        <v>9120</v>
      </c>
      <c r="J38" s="322">
        <f t="shared" si="1"/>
        <v>0.22222222222222221</v>
      </c>
      <c r="M38" s="38">
        <f t="shared" si="2"/>
        <v>364</v>
      </c>
      <c r="N38" s="76">
        <v>43281</v>
      </c>
      <c r="O38" s="38">
        <f t="shared" si="3"/>
        <v>184</v>
      </c>
      <c r="P38" s="323">
        <f t="shared" si="4"/>
        <v>0.49450549450549453</v>
      </c>
    </row>
    <row r="39" spans="1:16" ht="18.95" customHeight="1">
      <c r="A39" s="321">
        <f t="shared" si="5"/>
        <v>27</v>
      </c>
      <c r="B39" s="327" t="s">
        <v>1406</v>
      </c>
      <c r="C39" s="324" t="s">
        <v>1407</v>
      </c>
      <c r="D39" s="75">
        <v>42370</v>
      </c>
      <c r="E39" s="76">
        <v>44561</v>
      </c>
      <c r="F39" s="78">
        <f t="shared" si="0"/>
        <v>0.4157918758557736</v>
      </c>
      <c r="G39" s="324">
        <v>35850</v>
      </c>
      <c r="H39" s="324">
        <v>178315.34100000001</v>
      </c>
      <c r="I39" s="328">
        <v>97315.340999999986</v>
      </c>
      <c r="J39" s="322">
        <f t="shared" si="1"/>
        <v>0.5457485623741144</v>
      </c>
      <c r="M39" s="38">
        <f t="shared" si="2"/>
        <v>2191</v>
      </c>
      <c r="N39" s="76">
        <v>43281</v>
      </c>
      <c r="O39" s="38">
        <f t="shared" si="3"/>
        <v>1280</v>
      </c>
      <c r="P39" s="323">
        <f t="shared" si="4"/>
        <v>0.4157918758557736</v>
      </c>
    </row>
    <row r="40" spans="1:16" ht="18.95" customHeight="1">
      <c r="A40" s="321">
        <f t="shared" si="5"/>
        <v>28</v>
      </c>
      <c r="B40" s="327" t="s">
        <v>1426</v>
      </c>
      <c r="C40" s="324" t="s">
        <v>1427</v>
      </c>
      <c r="D40" s="75">
        <v>42736</v>
      </c>
      <c r="E40" s="76">
        <v>43465</v>
      </c>
      <c r="F40" s="78">
        <f t="shared" si="0"/>
        <v>0.74759945130315497</v>
      </c>
      <c r="G40" s="324">
        <v>1128978.8600000001</v>
      </c>
      <c r="H40" s="324">
        <v>1157057.7</v>
      </c>
      <c r="I40" s="328">
        <v>382018.44</v>
      </c>
      <c r="J40" s="322">
        <f t="shared" si="1"/>
        <v>0.33016369019453395</v>
      </c>
      <c r="M40" s="38">
        <f t="shared" si="2"/>
        <v>729</v>
      </c>
      <c r="N40" s="76">
        <v>43281</v>
      </c>
      <c r="O40" s="38">
        <f t="shared" si="3"/>
        <v>184</v>
      </c>
      <c r="P40" s="323">
        <f t="shared" si="4"/>
        <v>0.74759945130315497</v>
      </c>
    </row>
    <row r="41" spans="1:16" ht="18.95" customHeight="1">
      <c r="A41" s="321">
        <f t="shared" si="5"/>
        <v>29</v>
      </c>
      <c r="B41" s="327" t="s">
        <v>1388</v>
      </c>
      <c r="C41" s="324" t="s">
        <v>1389</v>
      </c>
      <c r="D41" s="75">
        <v>42736</v>
      </c>
      <c r="E41" s="76">
        <v>43830</v>
      </c>
      <c r="F41" s="78">
        <f t="shared" si="0"/>
        <v>0.49817184643510054</v>
      </c>
      <c r="G41" s="324">
        <v>2542187.66</v>
      </c>
      <c r="H41" s="324">
        <v>1425328.77</v>
      </c>
      <c r="I41" s="328">
        <v>238198.83000000002</v>
      </c>
      <c r="J41" s="322">
        <f t="shared" si="1"/>
        <v>0.16711851680367051</v>
      </c>
      <c r="M41" s="38">
        <f t="shared" si="2"/>
        <v>1094</v>
      </c>
      <c r="N41" s="76">
        <v>43281</v>
      </c>
      <c r="O41" s="38">
        <f t="shared" si="3"/>
        <v>549</v>
      </c>
      <c r="P41" s="323">
        <f t="shared" si="4"/>
        <v>0.49817184643510054</v>
      </c>
    </row>
    <row r="42" spans="1:16" ht="18.95" customHeight="1">
      <c r="A42" s="321">
        <f t="shared" si="5"/>
        <v>30</v>
      </c>
      <c r="B42" s="327" t="s">
        <v>1684</v>
      </c>
      <c r="C42" s="324" t="s">
        <v>1685</v>
      </c>
      <c r="D42" s="75">
        <v>43101</v>
      </c>
      <c r="E42" s="76">
        <v>43465</v>
      </c>
      <c r="F42" s="78">
        <f t="shared" si="0"/>
        <v>0.49450549450549453</v>
      </c>
      <c r="G42" s="324">
        <v>68889.7</v>
      </c>
      <c r="H42" s="324">
        <v>69703.679999999993</v>
      </c>
      <c r="I42" s="328">
        <v>2084.2800000000002</v>
      </c>
      <c r="J42" s="322">
        <f t="shared" si="1"/>
        <v>2.9902008043190841E-2</v>
      </c>
      <c r="M42" s="38">
        <f t="shared" si="2"/>
        <v>364</v>
      </c>
      <c r="N42" s="76">
        <v>43281</v>
      </c>
      <c r="O42" s="38">
        <f t="shared" si="3"/>
        <v>184</v>
      </c>
      <c r="P42" s="323">
        <f t="shared" si="4"/>
        <v>0.49450549450549453</v>
      </c>
    </row>
    <row r="43" spans="1:16" ht="18.95" customHeight="1">
      <c r="A43" s="321">
        <f t="shared" si="5"/>
        <v>31</v>
      </c>
      <c r="B43" s="327" t="s">
        <v>1572</v>
      </c>
      <c r="C43" s="324" t="s">
        <v>1573</v>
      </c>
      <c r="D43" s="75">
        <v>43101</v>
      </c>
      <c r="E43" s="76">
        <v>43465</v>
      </c>
      <c r="F43" s="78">
        <f t="shared" si="0"/>
        <v>0.49450549450549453</v>
      </c>
      <c r="G43" s="324">
        <v>96603.199999999997</v>
      </c>
      <c r="H43" s="324">
        <v>97171.199999999997</v>
      </c>
      <c r="I43" s="328">
        <v>25080</v>
      </c>
      <c r="J43" s="322">
        <f t="shared" si="1"/>
        <v>0.25810116577751435</v>
      </c>
      <c r="M43" s="38">
        <f t="shared" si="2"/>
        <v>364</v>
      </c>
      <c r="N43" s="76">
        <v>43281</v>
      </c>
      <c r="O43" s="38">
        <f t="shared" si="3"/>
        <v>184</v>
      </c>
      <c r="P43" s="323">
        <f t="shared" si="4"/>
        <v>0.49450549450549453</v>
      </c>
    </row>
    <row r="44" spans="1:16" ht="18.95" customHeight="1">
      <c r="A44" s="321">
        <f t="shared" si="5"/>
        <v>32</v>
      </c>
      <c r="B44" s="327" t="s">
        <v>1503</v>
      </c>
      <c r="C44" s="324" t="s">
        <v>1504</v>
      </c>
      <c r="D44" s="75">
        <v>43101</v>
      </c>
      <c r="E44" s="76">
        <v>43465</v>
      </c>
      <c r="F44" s="78">
        <f t="shared" si="0"/>
        <v>0.49450549450549453</v>
      </c>
      <c r="G44" s="324">
        <v>291868.76</v>
      </c>
      <c r="H44" s="324">
        <v>811345.92000000004</v>
      </c>
      <c r="I44" s="328">
        <v>304268.64</v>
      </c>
      <c r="J44" s="322">
        <f t="shared" si="1"/>
        <v>0.37501715667714208</v>
      </c>
      <c r="M44" s="38">
        <f t="shared" si="2"/>
        <v>364</v>
      </c>
      <c r="N44" s="76">
        <v>43281</v>
      </c>
      <c r="O44" s="38">
        <f t="shared" si="3"/>
        <v>184</v>
      </c>
      <c r="P44" s="323">
        <f t="shared" si="4"/>
        <v>0.49450549450549453</v>
      </c>
    </row>
    <row r="45" spans="1:16" ht="18.95" customHeight="1">
      <c r="A45" s="321">
        <f t="shared" si="5"/>
        <v>33</v>
      </c>
      <c r="B45" s="327" t="s">
        <v>1625</v>
      </c>
      <c r="C45" s="324" t="s">
        <v>1626</v>
      </c>
      <c r="D45" s="75">
        <v>43101</v>
      </c>
      <c r="E45" s="76">
        <v>43465</v>
      </c>
      <c r="F45" s="78">
        <f t="shared" si="0"/>
        <v>0.49450549450549453</v>
      </c>
      <c r="G45" s="324">
        <v>30126.46</v>
      </c>
      <c r="H45" s="324">
        <v>29640</v>
      </c>
      <c r="I45" s="328">
        <v>10260</v>
      </c>
      <c r="J45" s="322">
        <f t="shared" si="1"/>
        <v>0.34615384615384615</v>
      </c>
      <c r="M45" s="38">
        <f t="shared" si="2"/>
        <v>364</v>
      </c>
      <c r="N45" s="76">
        <v>43281</v>
      </c>
      <c r="O45" s="38">
        <f t="shared" si="3"/>
        <v>184</v>
      </c>
      <c r="P45" s="323">
        <f t="shared" si="4"/>
        <v>0.49450549450549453</v>
      </c>
    </row>
    <row r="46" spans="1:16" ht="18.95" customHeight="1">
      <c r="A46" s="321">
        <f t="shared" si="5"/>
        <v>34</v>
      </c>
      <c r="B46" s="327" t="s">
        <v>1644</v>
      </c>
      <c r="C46" s="324" t="s">
        <v>1645</v>
      </c>
      <c r="D46" s="75">
        <v>43101</v>
      </c>
      <c r="E46" s="76">
        <v>43465</v>
      </c>
      <c r="F46" s="78">
        <f t="shared" si="0"/>
        <v>0.49450549450549453</v>
      </c>
      <c r="G46" s="324">
        <v>28388.400000000001</v>
      </c>
      <c r="H46" s="324">
        <v>29640</v>
      </c>
      <c r="I46" s="328">
        <v>7980</v>
      </c>
      <c r="J46" s="322">
        <f t="shared" si="1"/>
        <v>0.26923076923076922</v>
      </c>
      <c r="M46" s="38">
        <f t="shared" si="2"/>
        <v>364</v>
      </c>
      <c r="N46" s="76">
        <v>43281</v>
      </c>
      <c r="O46" s="38">
        <f t="shared" si="3"/>
        <v>184</v>
      </c>
      <c r="P46" s="323">
        <f t="shared" si="4"/>
        <v>0.49450549450549453</v>
      </c>
    </row>
    <row r="47" spans="1:16" ht="18.95" customHeight="1">
      <c r="A47" s="321">
        <f t="shared" si="5"/>
        <v>35</v>
      </c>
      <c r="B47" s="327" t="s">
        <v>1600</v>
      </c>
      <c r="C47" s="324" t="s">
        <v>1601</v>
      </c>
      <c r="D47" s="75">
        <v>42205</v>
      </c>
      <c r="E47" s="76">
        <v>43465</v>
      </c>
      <c r="F47" s="78">
        <f t="shared" si="0"/>
        <v>0.85396825396825393</v>
      </c>
      <c r="G47" s="324">
        <v>31200</v>
      </c>
      <c r="H47" s="324">
        <v>31200</v>
      </c>
      <c r="I47" s="328">
        <v>15600</v>
      </c>
      <c r="J47" s="322">
        <f t="shared" si="1"/>
        <v>0.5</v>
      </c>
      <c r="M47" s="38">
        <f t="shared" si="2"/>
        <v>1260</v>
      </c>
      <c r="N47" s="76">
        <v>43281</v>
      </c>
      <c r="O47" s="38">
        <f t="shared" si="3"/>
        <v>184</v>
      </c>
      <c r="P47" s="323">
        <f t="shared" si="4"/>
        <v>0.85396825396825393</v>
      </c>
    </row>
    <row r="48" spans="1:16" ht="18.95" customHeight="1">
      <c r="A48" s="321">
        <f t="shared" si="5"/>
        <v>36</v>
      </c>
      <c r="B48" s="327" t="s">
        <v>1586</v>
      </c>
      <c r="C48" s="324" t="s">
        <v>1587</v>
      </c>
      <c r="D48" s="75">
        <v>42205</v>
      </c>
      <c r="E48" s="76">
        <v>43465</v>
      </c>
      <c r="F48" s="78">
        <f t="shared" si="0"/>
        <v>0.85396825396825393</v>
      </c>
      <c r="G48" s="324">
        <v>37200</v>
      </c>
      <c r="H48" s="324">
        <v>37200</v>
      </c>
      <c r="I48" s="328">
        <v>22200</v>
      </c>
      <c r="J48" s="322">
        <f t="shared" si="1"/>
        <v>0.59677419354838712</v>
      </c>
      <c r="M48" s="38">
        <f t="shared" si="2"/>
        <v>1260</v>
      </c>
      <c r="N48" s="76">
        <v>43281</v>
      </c>
      <c r="O48" s="38">
        <f t="shared" si="3"/>
        <v>184</v>
      </c>
      <c r="P48" s="323">
        <f t="shared" si="4"/>
        <v>0.85396825396825393</v>
      </c>
    </row>
    <row r="49" spans="1:16" ht="18.95" customHeight="1">
      <c r="A49" s="321">
        <f t="shared" si="5"/>
        <v>37</v>
      </c>
      <c r="B49" s="327" t="s">
        <v>1660</v>
      </c>
      <c r="C49" s="324" t="s">
        <v>1661</v>
      </c>
      <c r="D49" s="75">
        <v>42205</v>
      </c>
      <c r="E49" s="76">
        <v>43465</v>
      </c>
      <c r="F49" s="78">
        <f t="shared" si="0"/>
        <v>0.85396825396825393</v>
      </c>
      <c r="G49" s="324">
        <v>14100</v>
      </c>
      <c r="H49" s="324">
        <v>14100</v>
      </c>
      <c r="I49" s="328">
        <v>6000</v>
      </c>
      <c r="J49" s="322">
        <f t="shared" si="1"/>
        <v>0.42553191489361702</v>
      </c>
      <c r="M49" s="38">
        <f t="shared" si="2"/>
        <v>1260</v>
      </c>
      <c r="N49" s="76">
        <v>43281</v>
      </c>
      <c r="O49" s="38">
        <f t="shared" si="3"/>
        <v>184</v>
      </c>
      <c r="P49" s="323">
        <f t="shared" si="4"/>
        <v>0.85396825396825393</v>
      </c>
    </row>
    <row r="50" spans="1:16" ht="18.95" customHeight="1">
      <c r="A50" s="321">
        <f t="shared" si="5"/>
        <v>38</v>
      </c>
      <c r="B50" s="327" t="s">
        <v>1602</v>
      </c>
      <c r="C50" s="324" t="s">
        <v>1603</v>
      </c>
      <c r="D50" s="75">
        <v>42205</v>
      </c>
      <c r="E50" s="76">
        <v>43465</v>
      </c>
      <c r="F50" s="78">
        <f t="shared" si="0"/>
        <v>0.85396825396825393</v>
      </c>
      <c r="G50" s="324">
        <v>30000</v>
      </c>
      <c r="H50" s="324">
        <v>30600</v>
      </c>
      <c r="I50" s="328">
        <v>15300</v>
      </c>
      <c r="J50" s="322">
        <f t="shared" si="1"/>
        <v>0.5</v>
      </c>
      <c r="M50" s="38">
        <f t="shared" si="2"/>
        <v>1260</v>
      </c>
      <c r="N50" s="76">
        <v>43281</v>
      </c>
      <c r="O50" s="38">
        <f t="shared" si="3"/>
        <v>184</v>
      </c>
      <c r="P50" s="323">
        <f t="shared" si="4"/>
        <v>0.85396825396825393</v>
      </c>
    </row>
    <row r="51" spans="1:16" ht="18.95" customHeight="1">
      <c r="A51" s="321">
        <f t="shared" si="5"/>
        <v>39</v>
      </c>
      <c r="B51" s="327" t="s">
        <v>1515</v>
      </c>
      <c r="C51" s="324" t="s">
        <v>1516</v>
      </c>
      <c r="D51" s="75">
        <v>43101</v>
      </c>
      <c r="E51" s="76">
        <v>43465</v>
      </c>
      <c r="F51" s="78">
        <f t="shared" si="0"/>
        <v>0.49450549450549453</v>
      </c>
      <c r="G51" s="324">
        <v>163574.37</v>
      </c>
      <c r="H51" s="324">
        <v>163574.37</v>
      </c>
      <c r="I51" s="328">
        <v>135660</v>
      </c>
      <c r="J51" s="322">
        <f t="shared" si="1"/>
        <v>0.8293475316456973</v>
      </c>
      <c r="M51" s="38">
        <f t="shared" si="2"/>
        <v>364</v>
      </c>
      <c r="N51" s="76">
        <v>43281</v>
      </c>
      <c r="O51" s="38">
        <f t="shared" si="3"/>
        <v>184</v>
      </c>
      <c r="P51" s="323">
        <f t="shared" si="4"/>
        <v>0.49450549450549453</v>
      </c>
    </row>
    <row r="52" spans="1:16" ht="18.95" customHeight="1">
      <c r="A52" s="321">
        <f t="shared" si="5"/>
        <v>40</v>
      </c>
      <c r="B52" s="327" t="s">
        <v>1547</v>
      </c>
      <c r="C52" s="324" t="s">
        <v>1548</v>
      </c>
      <c r="D52" s="75">
        <v>43101</v>
      </c>
      <c r="E52" s="76">
        <v>43465</v>
      </c>
      <c r="F52" s="78">
        <f t="shared" si="0"/>
        <v>0.49450549450549453</v>
      </c>
      <c r="G52" s="324">
        <v>53580</v>
      </c>
      <c r="H52" s="324">
        <v>53580</v>
      </c>
      <c r="I52" s="328">
        <v>39900</v>
      </c>
      <c r="J52" s="322">
        <f t="shared" si="1"/>
        <v>0.74468085106382975</v>
      </c>
      <c r="M52" s="38">
        <f t="shared" si="2"/>
        <v>364</v>
      </c>
      <c r="N52" s="76">
        <v>43281</v>
      </c>
      <c r="O52" s="38">
        <f t="shared" si="3"/>
        <v>184</v>
      </c>
      <c r="P52" s="323">
        <f t="shared" si="4"/>
        <v>0.49450549450549453</v>
      </c>
    </row>
    <row r="53" spans="1:16" ht="18.95" customHeight="1">
      <c r="A53" s="321">
        <f t="shared" si="5"/>
        <v>41</v>
      </c>
      <c r="B53" s="327" t="s">
        <v>1618</v>
      </c>
      <c r="C53" s="324" t="s">
        <v>1619</v>
      </c>
      <c r="D53" s="75">
        <v>43101</v>
      </c>
      <c r="E53" s="76">
        <v>43465</v>
      </c>
      <c r="F53" s="78">
        <f t="shared" si="0"/>
        <v>0.49450549450549453</v>
      </c>
      <c r="G53" s="324">
        <v>20520</v>
      </c>
      <c r="H53" s="324">
        <v>20520</v>
      </c>
      <c r="I53" s="328">
        <v>11400</v>
      </c>
      <c r="J53" s="322">
        <f t="shared" si="1"/>
        <v>0.55555555555555558</v>
      </c>
      <c r="M53" s="38">
        <f t="shared" si="2"/>
        <v>364</v>
      </c>
      <c r="N53" s="76">
        <v>43281</v>
      </c>
      <c r="O53" s="38">
        <f t="shared" si="3"/>
        <v>184</v>
      </c>
      <c r="P53" s="323">
        <f t="shared" si="4"/>
        <v>0.49450549450549453</v>
      </c>
    </row>
    <row r="54" spans="1:16" ht="18.95" customHeight="1">
      <c r="A54" s="321">
        <f t="shared" si="5"/>
        <v>42</v>
      </c>
      <c r="B54" s="327" t="s">
        <v>1490</v>
      </c>
      <c r="C54" s="324" t="s">
        <v>1491</v>
      </c>
      <c r="D54" s="75">
        <v>43101</v>
      </c>
      <c r="E54" s="76">
        <v>43465</v>
      </c>
      <c r="F54" s="78">
        <f t="shared" si="0"/>
        <v>0.49450549450549453</v>
      </c>
      <c r="G54" s="324">
        <v>1389077.31</v>
      </c>
      <c r="H54" s="324">
        <v>1389077.31</v>
      </c>
      <c r="I54" s="328">
        <v>535932.78</v>
      </c>
      <c r="J54" s="322">
        <f t="shared" si="1"/>
        <v>0.38581926012454987</v>
      </c>
      <c r="M54" s="38">
        <f t="shared" si="2"/>
        <v>364</v>
      </c>
      <c r="N54" s="76">
        <v>43281</v>
      </c>
      <c r="O54" s="38">
        <f t="shared" si="3"/>
        <v>184</v>
      </c>
      <c r="P54" s="323">
        <f t="shared" si="4"/>
        <v>0.49450549450549453</v>
      </c>
    </row>
    <row r="55" spans="1:16" ht="18.95" customHeight="1">
      <c r="A55" s="321">
        <f t="shared" si="5"/>
        <v>43</v>
      </c>
      <c r="B55" s="327" t="s">
        <v>1511</v>
      </c>
      <c r="C55" s="324" t="s">
        <v>1512</v>
      </c>
      <c r="D55" s="75">
        <v>43101</v>
      </c>
      <c r="E55" s="76">
        <v>44196</v>
      </c>
      <c r="F55" s="78">
        <f t="shared" si="0"/>
        <v>0.16438356164383561</v>
      </c>
      <c r="G55" s="324">
        <v>12999999.98</v>
      </c>
      <c r="H55" s="324">
        <v>12999999.98</v>
      </c>
      <c r="I55" s="328">
        <v>140434.23999999999</v>
      </c>
      <c r="J55" s="322">
        <f t="shared" si="1"/>
        <v>1.0802633862773282E-2</v>
      </c>
      <c r="M55" s="38">
        <f t="shared" si="2"/>
        <v>1095</v>
      </c>
      <c r="N55" s="76">
        <v>43281</v>
      </c>
      <c r="O55" s="38">
        <f t="shared" si="3"/>
        <v>915</v>
      </c>
      <c r="P55" s="323">
        <f t="shared" si="4"/>
        <v>0.16438356164383561</v>
      </c>
    </row>
    <row r="56" spans="1:16" ht="18.95" customHeight="1">
      <c r="A56" s="321">
        <f t="shared" si="5"/>
        <v>44</v>
      </c>
      <c r="B56" s="327" t="s">
        <v>1554</v>
      </c>
      <c r="C56" s="324" t="s">
        <v>1555</v>
      </c>
      <c r="D56" s="75">
        <v>43101</v>
      </c>
      <c r="E56" s="76">
        <v>43465</v>
      </c>
      <c r="F56" s="78">
        <f t="shared" si="0"/>
        <v>0.49450549450549453</v>
      </c>
      <c r="G56" s="324">
        <v>206340</v>
      </c>
      <c r="H56" s="324">
        <v>206340</v>
      </c>
      <c r="I56" s="328">
        <v>34200</v>
      </c>
      <c r="J56" s="322">
        <f t="shared" si="1"/>
        <v>0.16574585635359115</v>
      </c>
      <c r="M56" s="38">
        <f t="shared" si="2"/>
        <v>364</v>
      </c>
      <c r="N56" s="76">
        <v>43281</v>
      </c>
      <c r="O56" s="38">
        <f t="shared" si="3"/>
        <v>184</v>
      </c>
      <c r="P56" s="323">
        <f t="shared" si="4"/>
        <v>0.49450549450549453</v>
      </c>
    </row>
    <row r="57" spans="1:16" s="329" customFormat="1" ht="20.100000000000001" customHeight="1">
      <c r="A57" s="494" t="str">
        <f>$A$1</f>
        <v>LOUISVILLE GAS AND ELECTRIC COMPANY</v>
      </c>
      <c r="B57" s="494"/>
      <c r="C57" s="494"/>
      <c r="D57" s="494"/>
      <c r="E57" s="494"/>
      <c r="F57" s="494"/>
      <c r="G57" s="494"/>
      <c r="H57" s="494"/>
      <c r="I57" s="494"/>
      <c r="J57" s="494"/>
    </row>
    <row r="58" spans="1:16" s="329" customFormat="1" ht="20.100000000000001" customHeight="1">
      <c r="A58" s="494" t="str">
        <f>$A$2</f>
        <v>CASE NO. 2016-00371 - GAS OPERATIONS</v>
      </c>
      <c r="B58" s="494"/>
      <c r="C58" s="494"/>
      <c r="D58" s="494"/>
      <c r="E58" s="494"/>
      <c r="F58" s="494"/>
      <c r="G58" s="494"/>
      <c r="H58" s="494"/>
      <c r="I58" s="494"/>
      <c r="J58" s="494"/>
    </row>
    <row r="59" spans="1:16" s="329" customFormat="1" ht="20.100000000000001" customHeight="1">
      <c r="A59" s="494" t="s">
        <v>175</v>
      </c>
      <c r="B59" s="494"/>
      <c r="C59" s="494"/>
      <c r="D59" s="494"/>
      <c r="E59" s="494"/>
      <c r="F59" s="494"/>
      <c r="G59" s="494"/>
      <c r="H59" s="494"/>
      <c r="I59" s="494"/>
      <c r="J59" s="494"/>
    </row>
    <row r="60" spans="1:16" s="329" customFormat="1" ht="20.100000000000001" customHeight="1">
      <c r="A60" s="494" t="str">
        <f>$A$4</f>
        <v>AS OF JUNE 30, 2018</v>
      </c>
      <c r="B60" s="494"/>
      <c r="C60" s="494"/>
      <c r="D60" s="494"/>
      <c r="E60" s="494"/>
      <c r="F60" s="494"/>
      <c r="G60" s="494"/>
      <c r="H60" s="494"/>
      <c r="I60" s="494"/>
      <c r="J60" s="494"/>
    </row>
    <row r="61" spans="1:16" s="329" customFormat="1" ht="20.100000000000001" customHeight="1">
      <c r="A61" s="319"/>
      <c r="B61" s="319"/>
      <c r="C61" s="319"/>
      <c r="D61" s="319"/>
      <c r="E61" s="319"/>
      <c r="F61" s="319"/>
      <c r="G61" s="319"/>
      <c r="H61" s="319"/>
      <c r="I61" s="319"/>
      <c r="J61" s="319"/>
    </row>
    <row r="62" spans="1:16" s="329" customFormat="1" ht="20.100000000000001" customHeight="1">
      <c r="A62" s="31" t="str">
        <f>$A$6</f>
        <v>DATA:____BASE  PERIOD__X__FORECASTED  PERIOD</v>
      </c>
      <c r="B62" s="320"/>
      <c r="C62" s="32"/>
      <c r="D62" s="74"/>
      <c r="E62" s="74"/>
      <c r="F62" s="32"/>
      <c r="G62" s="38"/>
      <c r="H62" s="38"/>
      <c r="I62" s="38"/>
      <c r="J62" s="38" t="s">
        <v>632</v>
      </c>
    </row>
    <row r="63" spans="1:16" s="329" customFormat="1" ht="20.100000000000001" customHeight="1">
      <c r="A63" s="31" t="str">
        <f>$A$7</f>
        <v>TYPE OF FILING: __X__ ORIGINAL  _____ UPDATED  _____ REVISED</v>
      </c>
      <c r="B63" s="321"/>
      <c r="C63" s="32"/>
      <c r="D63" s="74"/>
      <c r="E63" s="74"/>
      <c r="F63" s="32"/>
      <c r="G63" s="38"/>
      <c r="H63" s="38"/>
      <c r="I63" s="38"/>
      <c r="J63" s="38" t="s">
        <v>1549</v>
      </c>
    </row>
    <row r="64" spans="1:16" s="329" customFormat="1" ht="20.100000000000001" customHeight="1">
      <c r="A64" s="31" t="str">
        <f>$A$8</f>
        <v>WORKPAPER REFERENCE NO(S).:</v>
      </c>
      <c r="B64" s="320"/>
      <c r="C64" s="32"/>
      <c r="D64" s="74"/>
      <c r="E64" s="74"/>
      <c r="F64" s="31"/>
      <c r="G64" s="39"/>
      <c r="H64" s="39"/>
      <c r="I64" s="39"/>
      <c r="J64" s="39" t="str">
        <f>$J$8</f>
        <v>WITNESS:   C. M. GARRETT</v>
      </c>
    </row>
    <row r="65" spans="1:16" s="329" customFormat="1" ht="20.100000000000001" customHeight="1">
      <c r="A65" s="32"/>
      <c r="B65" s="321"/>
      <c r="C65" s="32"/>
      <c r="D65" s="74"/>
      <c r="E65" s="74"/>
      <c r="F65" s="32"/>
      <c r="G65" s="32"/>
      <c r="H65" s="32"/>
      <c r="I65" s="32"/>
      <c r="J65" s="32"/>
    </row>
    <row r="66" spans="1:16" s="329" customFormat="1" ht="58.5" customHeight="1">
      <c r="A66" s="40" t="s">
        <v>29</v>
      </c>
      <c r="B66" s="40" t="s">
        <v>178</v>
      </c>
      <c r="C66" s="40" t="s">
        <v>179</v>
      </c>
      <c r="D66" s="73" t="s">
        <v>181</v>
      </c>
      <c r="E66" s="73" t="s">
        <v>182</v>
      </c>
      <c r="F66" s="40" t="s">
        <v>183</v>
      </c>
      <c r="G66" s="40" t="s">
        <v>184</v>
      </c>
      <c r="H66" s="40" t="s">
        <v>185</v>
      </c>
      <c r="I66" s="40" t="s">
        <v>186</v>
      </c>
      <c r="J66" s="40" t="s">
        <v>187</v>
      </c>
      <c r="M66" s="330" t="s">
        <v>195</v>
      </c>
      <c r="N66" s="330" t="s">
        <v>196</v>
      </c>
      <c r="O66" s="330" t="s">
        <v>197</v>
      </c>
      <c r="P66" s="330" t="s">
        <v>183</v>
      </c>
    </row>
    <row r="67" spans="1:16" s="329" customFormat="1" ht="23.1" customHeight="1">
      <c r="A67" s="44" t="s">
        <v>176</v>
      </c>
      <c r="B67" s="44" t="s">
        <v>177</v>
      </c>
      <c r="C67" s="44" t="s">
        <v>180</v>
      </c>
      <c r="D67" s="325" t="s">
        <v>188</v>
      </c>
      <c r="E67" s="325" t="s">
        <v>189</v>
      </c>
      <c r="F67" s="326" t="s">
        <v>190</v>
      </c>
      <c r="G67" s="326" t="s">
        <v>191</v>
      </c>
      <c r="H67" s="326" t="s">
        <v>192</v>
      </c>
      <c r="I67" s="326" t="s">
        <v>193</v>
      </c>
      <c r="J67" s="326" t="s">
        <v>194</v>
      </c>
    </row>
    <row r="68" spans="1:16" s="329" customFormat="1" ht="18.95" customHeight="1">
      <c r="A68" s="37"/>
      <c r="B68" s="37"/>
      <c r="C68" s="37"/>
      <c r="D68" s="331"/>
      <c r="E68" s="331"/>
      <c r="F68" s="332"/>
      <c r="G68" s="332"/>
      <c r="H68" s="332"/>
      <c r="I68" s="332"/>
      <c r="J68" s="332"/>
    </row>
    <row r="69" spans="1:16" ht="18.95" customHeight="1">
      <c r="A69" s="321">
        <f>A56+1</f>
        <v>45</v>
      </c>
      <c r="B69" s="327" t="s">
        <v>1374</v>
      </c>
      <c r="C69" s="324" t="s">
        <v>1375</v>
      </c>
      <c r="D69" s="75">
        <v>42736</v>
      </c>
      <c r="E69" s="76">
        <v>43465</v>
      </c>
      <c r="F69" s="78">
        <f t="shared" si="0"/>
        <v>0.74759945130315497</v>
      </c>
      <c r="G69" s="324">
        <v>2999576.48</v>
      </c>
      <c r="H69" s="324">
        <v>2999576.48</v>
      </c>
      <c r="I69" s="328">
        <v>2255854.46</v>
      </c>
      <c r="J69" s="322">
        <f t="shared" si="1"/>
        <v>0.75205765715298578</v>
      </c>
      <c r="M69" s="38">
        <f t="shared" si="2"/>
        <v>729</v>
      </c>
      <c r="N69" s="76">
        <v>43281</v>
      </c>
      <c r="O69" s="38">
        <f t="shared" si="3"/>
        <v>184</v>
      </c>
      <c r="P69" s="323">
        <f t="shared" si="4"/>
        <v>0.74759945130315497</v>
      </c>
    </row>
    <row r="70" spans="1:16" ht="18.95" customHeight="1">
      <c r="A70" s="321">
        <f t="shared" si="5"/>
        <v>46</v>
      </c>
      <c r="B70" s="327" t="s">
        <v>1376</v>
      </c>
      <c r="C70" s="324" t="s">
        <v>1377</v>
      </c>
      <c r="D70" s="75">
        <v>42736</v>
      </c>
      <c r="E70" s="76">
        <v>43465</v>
      </c>
      <c r="F70" s="78">
        <f t="shared" si="0"/>
        <v>0.74759945130315497</v>
      </c>
      <c r="G70" s="324">
        <v>1000016.48</v>
      </c>
      <c r="H70" s="324">
        <v>1000016.48</v>
      </c>
      <c r="I70" s="328">
        <v>740794.45999999985</v>
      </c>
      <c r="J70" s="322">
        <f t="shared" si="1"/>
        <v>0.74078225190848845</v>
      </c>
      <c r="M70" s="38">
        <f t="shared" si="2"/>
        <v>729</v>
      </c>
      <c r="N70" s="76">
        <v>43281</v>
      </c>
      <c r="O70" s="38">
        <f t="shared" si="3"/>
        <v>184</v>
      </c>
      <c r="P70" s="323">
        <f t="shared" si="4"/>
        <v>0.74759945130315497</v>
      </c>
    </row>
    <row r="71" spans="1:16" ht="18.95" customHeight="1">
      <c r="A71" s="321">
        <f t="shared" si="5"/>
        <v>47</v>
      </c>
      <c r="B71" s="327" t="s">
        <v>1382</v>
      </c>
      <c r="C71" s="324" t="s">
        <v>1383</v>
      </c>
      <c r="D71" s="75">
        <v>42736</v>
      </c>
      <c r="E71" s="76">
        <v>43465</v>
      </c>
      <c r="F71" s="78">
        <f t="shared" si="0"/>
        <v>0.74759945130315497</v>
      </c>
      <c r="G71" s="324">
        <v>6499571.4700000007</v>
      </c>
      <c r="H71" s="324">
        <v>6499571.4700000007</v>
      </c>
      <c r="I71" s="328">
        <v>3525276.4099999997</v>
      </c>
      <c r="J71" s="322">
        <f t="shared" si="1"/>
        <v>0.54238597517876042</v>
      </c>
      <c r="M71" s="38">
        <f t="shared" si="2"/>
        <v>729</v>
      </c>
      <c r="N71" s="76">
        <v>43281</v>
      </c>
      <c r="O71" s="38">
        <f t="shared" si="3"/>
        <v>184</v>
      </c>
      <c r="P71" s="323">
        <f t="shared" si="4"/>
        <v>0.74759945130315497</v>
      </c>
    </row>
    <row r="72" spans="1:16" ht="18.95" customHeight="1">
      <c r="A72" s="321">
        <f t="shared" si="5"/>
        <v>48</v>
      </c>
      <c r="B72" s="327" t="s">
        <v>1372</v>
      </c>
      <c r="C72" s="324" t="s">
        <v>1373</v>
      </c>
      <c r="D72" s="75">
        <v>42736</v>
      </c>
      <c r="E72" s="76">
        <v>43830</v>
      </c>
      <c r="F72" s="78">
        <f t="shared" si="0"/>
        <v>0.49817184643510054</v>
      </c>
      <c r="G72" s="324">
        <v>3476446.67</v>
      </c>
      <c r="H72" s="324">
        <v>3476446.67</v>
      </c>
      <c r="I72" s="328">
        <v>1580596.0300000003</v>
      </c>
      <c r="J72" s="322">
        <f t="shared" si="1"/>
        <v>0.45465850048549727</v>
      </c>
      <c r="M72" s="38">
        <f t="shared" si="2"/>
        <v>1094</v>
      </c>
      <c r="N72" s="76">
        <v>43281</v>
      </c>
      <c r="O72" s="38">
        <f t="shared" si="3"/>
        <v>549</v>
      </c>
      <c r="P72" s="323">
        <f t="shared" si="4"/>
        <v>0.49817184643510054</v>
      </c>
    </row>
    <row r="73" spans="1:16" ht="18.95" customHeight="1">
      <c r="A73" s="321">
        <f t="shared" si="5"/>
        <v>49</v>
      </c>
      <c r="B73" s="327" t="s">
        <v>1507</v>
      </c>
      <c r="C73" s="324" t="s">
        <v>1508</v>
      </c>
      <c r="D73" s="75">
        <v>43101</v>
      </c>
      <c r="E73" s="76">
        <v>43830</v>
      </c>
      <c r="F73" s="78">
        <f t="shared" si="0"/>
        <v>0.24691358024691357</v>
      </c>
      <c r="G73" s="324">
        <v>5400000</v>
      </c>
      <c r="H73" s="324">
        <v>5400000</v>
      </c>
      <c r="I73" s="328">
        <v>200000.02000000002</v>
      </c>
      <c r="J73" s="322">
        <f t="shared" si="1"/>
        <v>3.7037040740740747E-2</v>
      </c>
      <c r="M73" s="38">
        <f t="shared" si="2"/>
        <v>729</v>
      </c>
      <c r="N73" s="76">
        <v>43281</v>
      </c>
      <c r="O73" s="38">
        <f t="shared" si="3"/>
        <v>549</v>
      </c>
      <c r="P73" s="323">
        <f t="shared" si="4"/>
        <v>0.24691358024691357</v>
      </c>
    </row>
    <row r="74" spans="1:16" ht="18.95" customHeight="1">
      <c r="A74" s="321">
        <f t="shared" si="5"/>
        <v>50</v>
      </c>
      <c r="B74" s="327" t="s">
        <v>1484</v>
      </c>
      <c r="C74" s="324" t="s">
        <v>1485</v>
      </c>
      <c r="D74" s="75">
        <v>42736</v>
      </c>
      <c r="E74" s="76">
        <v>43830</v>
      </c>
      <c r="F74" s="78">
        <f t="shared" si="0"/>
        <v>0.49817184643510054</v>
      </c>
      <c r="G74" s="324">
        <v>11126325</v>
      </c>
      <c r="H74" s="324">
        <v>11126325</v>
      </c>
      <c r="I74" s="328">
        <v>5934337.5</v>
      </c>
      <c r="J74" s="322">
        <f t="shared" si="1"/>
        <v>0.53336007172179489</v>
      </c>
      <c r="M74" s="38">
        <f t="shared" si="2"/>
        <v>1094</v>
      </c>
      <c r="N74" s="76">
        <v>43281</v>
      </c>
      <c r="O74" s="38">
        <f t="shared" si="3"/>
        <v>549</v>
      </c>
      <c r="P74" s="323">
        <f t="shared" si="4"/>
        <v>0.49817184643510054</v>
      </c>
    </row>
    <row r="75" spans="1:16" ht="18.95" customHeight="1">
      <c r="A75" s="321">
        <f t="shared" si="5"/>
        <v>51</v>
      </c>
      <c r="B75" s="327" t="s">
        <v>1482</v>
      </c>
      <c r="C75" s="324" t="s">
        <v>1483</v>
      </c>
      <c r="D75" s="75">
        <v>42736</v>
      </c>
      <c r="E75" s="76">
        <v>43830</v>
      </c>
      <c r="F75" s="78">
        <f t="shared" si="0"/>
        <v>0.49817184643510054</v>
      </c>
      <c r="G75" s="324">
        <v>4768425</v>
      </c>
      <c r="H75" s="324">
        <v>4768425</v>
      </c>
      <c r="I75" s="328">
        <v>2543287.5</v>
      </c>
      <c r="J75" s="322">
        <f t="shared" si="1"/>
        <v>0.53336007172179489</v>
      </c>
      <c r="M75" s="38">
        <f t="shared" si="2"/>
        <v>1094</v>
      </c>
      <c r="N75" s="76">
        <v>43281</v>
      </c>
      <c r="O75" s="38">
        <f t="shared" si="3"/>
        <v>549</v>
      </c>
      <c r="P75" s="323">
        <f t="shared" si="4"/>
        <v>0.49817184643510054</v>
      </c>
    </row>
    <row r="76" spans="1:16" ht="18.95" customHeight="1">
      <c r="A76" s="321">
        <f t="shared" si="5"/>
        <v>52</v>
      </c>
      <c r="B76" s="327" t="s">
        <v>1648</v>
      </c>
      <c r="C76" s="324" t="s">
        <v>1649</v>
      </c>
      <c r="D76" s="75">
        <v>42826</v>
      </c>
      <c r="E76" s="76">
        <v>43465</v>
      </c>
      <c r="F76" s="78">
        <f t="shared" si="0"/>
        <v>0.7120500782472613</v>
      </c>
      <c r="G76" s="324">
        <v>7938</v>
      </c>
      <c r="H76" s="324">
        <v>7938</v>
      </c>
      <c r="I76" s="328">
        <v>6966</v>
      </c>
      <c r="J76" s="322">
        <f t="shared" si="1"/>
        <v>0.87755102040816324</v>
      </c>
      <c r="M76" s="38">
        <f t="shared" si="2"/>
        <v>639</v>
      </c>
      <c r="N76" s="76">
        <v>43281</v>
      </c>
      <c r="O76" s="38">
        <f t="shared" si="3"/>
        <v>184</v>
      </c>
      <c r="P76" s="323">
        <f t="shared" si="4"/>
        <v>0.7120500782472613</v>
      </c>
    </row>
    <row r="77" spans="1:16" ht="18.95" customHeight="1">
      <c r="A77" s="321">
        <f t="shared" si="5"/>
        <v>53</v>
      </c>
      <c r="B77" s="327" t="s">
        <v>1537</v>
      </c>
      <c r="C77" s="324" t="s">
        <v>1538</v>
      </c>
      <c r="D77" s="75">
        <v>42795</v>
      </c>
      <c r="E77" s="76">
        <v>43404</v>
      </c>
      <c r="F77" s="78">
        <f t="shared" si="0"/>
        <v>0.79802955665024633</v>
      </c>
      <c r="G77" s="324">
        <v>79199.907000000007</v>
      </c>
      <c r="H77" s="324">
        <v>79199.907000000007</v>
      </c>
      <c r="I77" s="328">
        <v>61379.942999999999</v>
      </c>
      <c r="J77" s="322">
        <f t="shared" si="1"/>
        <v>0.77500019034113254</v>
      </c>
      <c r="M77" s="38">
        <f t="shared" si="2"/>
        <v>609</v>
      </c>
      <c r="N77" s="76">
        <v>43281</v>
      </c>
      <c r="O77" s="38">
        <f t="shared" si="3"/>
        <v>123</v>
      </c>
      <c r="P77" s="323">
        <f t="shared" si="4"/>
        <v>0.79802955665024633</v>
      </c>
    </row>
    <row r="78" spans="1:16" ht="18.95" customHeight="1">
      <c r="A78" s="321">
        <f t="shared" si="5"/>
        <v>54</v>
      </c>
      <c r="B78" s="327" t="s">
        <v>1362</v>
      </c>
      <c r="C78" s="324" t="s">
        <v>1363</v>
      </c>
      <c r="D78" s="75">
        <v>42736</v>
      </c>
      <c r="E78" s="76">
        <v>43769</v>
      </c>
      <c r="F78" s="78">
        <f t="shared" si="0"/>
        <v>0.52758954501452082</v>
      </c>
      <c r="G78" s="324">
        <v>1871835.1439999999</v>
      </c>
      <c r="H78" s="324">
        <v>1871835.1439999999</v>
      </c>
      <c r="I78" s="328">
        <v>759137.39699999988</v>
      </c>
      <c r="J78" s="322">
        <f t="shared" si="1"/>
        <v>0.40555782886828839</v>
      </c>
      <c r="M78" s="38">
        <f t="shared" si="2"/>
        <v>1033</v>
      </c>
      <c r="N78" s="76">
        <v>43281</v>
      </c>
      <c r="O78" s="38">
        <f t="shared" si="3"/>
        <v>488</v>
      </c>
      <c r="P78" s="323">
        <f t="shared" si="4"/>
        <v>0.52758954501452082</v>
      </c>
    </row>
    <row r="79" spans="1:16" ht="18.95" customHeight="1">
      <c r="A79" s="321">
        <f t="shared" si="5"/>
        <v>55</v>
      </c>
      <c r="B79" s="327" t="s">
        <v>1576</v>
      </c>
      <c r="C79" s="324" t="s">
        <v>1577</v>
      </c>
      <c r="D79" s="75">
        <v>42795</v>
      </c>
      <c r="E79" s="76">
        <v>43434</v>
      </c>
      <c r="F79" s="78">
        <f t="shared" si="0"/>
        <v>0.76056338028169013</v>
      </c>
      <c r="G79" s="324">
        <v>39600</v>
      </c>
      <c r="H79" s="324">
        <v>39600</v>
      </c>
      <c r="I79" s="328">
        <v>23100</v>
      </c>
      <c r="J79" s="322">
        <f t="shared" si="1"/>
        <v>0.58333333333333337</v>
      </c>
      <c r="M79" s="38">
        <f t="shared" si="2"/>
        <v>639</v>
      </c>
      <c r="N79" s="76">
        <v>43281</v>
      </c>
      <c r="O79" s="38">
        <f t="shared" si="3"/>
        <v>153</v>
      </c>
      <c r="P79" s="323">
        <f t="shared" si="4"/>
        <v>0.76056338028169013</v>
      </c>
    </row>
    <row r="80" spans="1:16" ht="18.95" customHeight="1">
      <c r="A80" s="321">
        <f t="shared" si="5"/>
        <v>56</v>
      </c>
      <c r="B80" s="327" t="s">
        <v>1517</v>
      </c>
      <c r="C80" s="324" t="s">
        <v>1518</v>
      </c>
      <c r="D80" s="75">
        <v>42552</v>
      </c>
      <c r="E80" s="76">
        <v>43465</v>
      </c>
      <c r="F80" s="78">
        <f t="shared" si="0"/>
        <v>0.79846659364731654</v>
      </c>
      <c r="G80" s="324">
        <v>318532.43399999995</v>
      </c>
      <c r="H80" s="324">
        <v>318532.43399999995</v>
      </c>
      <c r="I80" s="328">
        <v>127202.367</v>
      </c>
      <c r="J80" s="322">
        <f t="shared" si="1"/>
        <v>0.39933882211818977</v>
      </c>
      <c r="M80" s="38">
        <f t="shared" si="2"/>
        <v>913</v>
      </c>
      <c r="N80" s="76">
        <v>43281</v>
      </c>
      <c r="O80" s="38">
        <f t="shared" si="3"/>
        <v>184</v>
      </c>
      <c r="P80" s="323">
        <f t="shared" si="4"/>
        <v>0.79846659364731654</v>
      </c>
    </row>
    <row r="81" spans="1:16" ht="18.95" customHeight="1">
      <c r="A81" s="321">
        <f t="shared" si="5"/>
        <v>57</v>
      </c>
      <c r="B81" s="327" t="s">
        <v>1523</v>
      </c>
      <c r="C81" s="324" t="s">
        <v>1524</v>
      </c>
      <c r="D81" s="75">
        <v>43160</v>
      </c>
      <c r="E81" s="76">
        <v>43343</v>
      </c>
      <c r="F81" s="78">
        <f t="shared" si="0"/>
        <v>0.66120218579234968</v>
      </c>
      <c r="G81" s="324">
        <v>105600</v>
      </c>
      <c r="H81" s="324">
        <v>105600</v>
      </c>
      <c r="I81" s="328">
        <v>79200</v>
      </c>
      <c r="J81" s="322">
        <f t="shared" si="1"/>
        <v>0.75</v>
      </c>
      <c r="M81" s="38">
        <f t="shared" si="2"/>
        <v>183</v>
      </c>
      <c r="N81" s="76">
        <v>43281</v>
      </c>
      <c r="O81" s="38">
        <f t="shared" si="3"/>
        <v>62</v>
      </c>
      <c r="P81" s="323">
        <f t="shared" si="4"/>
        <v>0.66120218579234968</v>
      </c>
    </row>
    <row r="82" spans="1:16" ht="18.95" customHeight="1">
      <c r="A82" s="321">
        <f t="shared" si="5"/>
        <v>58</v>
      </c>
      <c r="B82" s="327" t="s">
        <v>1541</v>
      </c>
      <c r="C82" s="324" t="s">
        <v>1542</v>
      </c>
      <c r="D82" s="75">
        <v>43252</v>
      </c>
      <c r="E82" s="76">
        <v>43373</v>
      </c>
      <c r="F82" s="78">
        <f t="shared" si="0"/>
        <v>0.23966942148760331</v>
      </c>
      <c r="G82" s="324">
        <v>80999.784</v>
      </c>
      <c r="H82" s="324">
        <v>80999.784</v>
      </c>
      <c r="I82" s="328">
        <v>48599.856000000007</v>
      </c>
      <c r="J82" s="322">
        <f t="shared" si="1"/>
        <v>0.59999982222174819</v>
      </c>
      <c r="M82" s="38">
        <f t="shared" si="2"/>
        <v>121</v>
      </c>
      <c r="N82" s="76">
        <v>43281</v>
      </c>
      <c r="O82" s="38">
        <f t="shared" si="3"/>
        <v>92</v>
      </c>
      <c r="P82" s="323">
        <f t="shared" si="4"/>
        <v>0.23966942148760331</v>
      </c>
    </row>
    <row r="83" spans="1:16" ht="18.95" customHeight="1">
      <c r="A83" s="321">
        <f t="shared" si="5"/>
        <v>59</v>
      </c>
      <c r="B83" s="327" t="s">
        <v>1570</v>
      </c>
      <c r="C83" s="324" t="s">
        <v>1571</v>
      </c>
      <c r="D83" s="75">
        <v>43101</v>
      </c>
      <c r="E83" s="76">
        <v>43465</v>
      </c>
      <c r="F83" s="78">
        <f t="shared" si="0"/>
        <v>0.49450549450549453</v>
      </c>
      <c r="G83" s="324">
        <v>43091.703000000001</v>
      </c>
      <c r="H83" s="324">
        <v>43091.703000000001</v>
      </c>
      <c r="I83" s="328">
        <v>25109.859</v>
      </c>
      <c r="J83" s="322">
        <f t="shared" si="1"/>
        <v>0.58270751100275608</v>
      </c>
      <c r="M83" s="38">
        <f t="shared" si="2"/>
        <v>364</v>
      </c>
      <c r="N83" s="76">
        <v>43281</v>
      </c>
      <c r="O83" s="38">
        <f t="shared" si="3"/>
        <v>184</v>
      </c>
      <c r="P83" s="323">
        <f t="shared" si="4"/>
        <v>0.49450549450549453</v>
      </c>
    </row>
    <row r="84" spans="1:16" ht="18.95" customHeight="1">
      <c r="A84" s="321">
        <f t="shared" si="5"/>
        <v>60</v>
      </c>
      <c r="B84" s="327" t="s">
        <v>1610</v>
      </c>
      <c r="C84" s="324" t="s">
        <v>1611</v>
      </c>
      <c r="D84" s="75">
        <v>43101</v>
      </c>
      <c r="E84" s="76">
        <v>43465</v>
      </c>
      <c r="F84" s="78">
        <f t="shared" si="0"/>
        <v>0.49450549450549453</v>
      </c>
      <c r="G84" s="324">
        <v>20249.951999999997</v>
      </c>
      <c r="H84" s="324">
        <v>20249.951999999997</v>
      </c>
      <c r="I84" s="328">
        <v>13769.960999999998</v>
      </c>
      <c r="J84" s="322">
        <f t="shared" si="1"/>
        <v>0.67999968592518145</v>
      </c>
      <c r="M84" s="38">
        <f t="shared" si="2"/>
        <v>364</v>
      </c>
      <c r="N84" s="76">
        <v>43281</v>
      </c>
      <c r="O84" s="38">
        <f t="shared" si="3"/>
        <v>184</v>
      </c>
      <c r="P84" s="323">
        <f t="shared" si="4"/>
        <v>0.49450549450549453</v>
      </c>
    </row>
    <row r="85" spans="1:16" ht="18.95" customHeight="1">
      <c r="A85" s="321">
        <f t="shared" si="5"/>
        <v>61</v>
      </c>
      <c r="B85" s="327" t="s">
        <v>1668</v>
      </c>
      <c r="C85" s="324" t="s">
        <v>1669</v>
      </c>
      <c r="D85" s="75">
        <v>43160</v>
      </c>
      <c r="E85" s="76">
        <v>43373</v>
      </c>
      <c r="F85" s="78">
        <f t="shared" si="0"/>
        <v>0.568075117370892</v>
      </c>
      <c r="G85" s="324">
        <v>7290</v>
      </c>
      <c r="H85" s="324">
        <v>7290</v>
      </c>
      <c r="I85" s="328">
        <v>4860</v>
      </c>
      <c r="J85" s="322">
        <f t="shared" si="1"/>
        <v>0.66666666666666663</v>
      </c>
      <c r="M85" s="38">
        <f t="shared" si="2"/>
        <v>213</v>
      </c>
      <c r="N85" s="76">
        <v>43281</v>
      </c>
      <c r="O85" s="38">
        <f t="shared" si="3"/>
        <v>92</v>
      </c>
      <c r="P85" s="323">
        <f t="shared" si="4"/>
        <v>0.568075117370892</v>
      </c>
    </row>
    <row r="86" spans="1:16" ht="18.95" customHeight="1">
      <c r="A86" s="321">
        <f t="shared" si="5"/>
        <v>62</v>
      </c>
      <c r="B86" s="327" t="s">
        <v>1558</v>
      </c>
      <c r="C86" s="324" t="s">
        <v>1559</v>
      </c>
      <c r="D86" s="75">
        <v>43191</v>
      </c>
      <c r="E86" s="76">
        <v>43343</v>
      </c>
      <c r="F86" s="78">
        <f t="shared" si="0"/>
        <v>0.59210526315789469</v>
      </c>
      <c r="G86" s="324">
        <v>64799.957999999991</v>
      </c>
      <c r="H86" s="324">
        <v>64799.957999999991</v>
      </c>
      <c r="I86" s="328">
        <v>32399.978999999996</v>
      </c>
      <c r="J86" s="322">
        <f t="shared" si="1"/>
        <v>0.5</v>
      </c>
      <c r="M86" s="38">
        <f t="shared" si="2"/>
        <v>152</v>
      </c>
      <c r="N86" s="76">
        <v>43281</v>
      </c>
      <c r="O86" s="38">
        <f t="shared" si="3"/>
        <v>62</v>
      </c>
      <c r="P86" s="323">
        <f t="shared" si="4"/>
        <v>0.59210526315789469</v>
      </c>
    </row>
    <row r="87" spans="1:16" ht="18.95" customHeight="1">
      <c r="A87" s="321">
        <f t="shared" si="5"/>
        <v>63</v>
      </c>
      <c r="B87" s="327" t="s">
        <v>1545</v>
      </c>
      <c r="C87" s="324" t="s">
        <v>1546</v>
      </c>
      <c r="D87" s="75">
        <v>43101</v>
      </c>
      <c r="E87" s="76">
        <v>43465</v>
      </c>
      <c r="F87" s="78">
        <f t="shared" si="0"/>
        <v>0.49450549450549453</v>
      </c>
      <c r="G87" s="324">
        <v>80999.877000000008</v>
      </c>
      <c r="H87" s="324">
        <v>80999.877000000008</v>
      </c>
      <c r="I87" s="328">
        <v>42767.942999999999</v>
      </c>
      <c r="J87" s="322">
        <f t="shared" si="1"/>
        <v>0.52800009807422299</v>
      </c>
      <c r="M87" s="38">
        <f t="shared" si="2"/>
        <v>364</v>
      </c>
      <c r="N87" s="76">
        <v>43281</v>
      </c>
      <c r="O87" s="38">
        <f t="shared" si="3"/>
        <v>184</v>
      </c>
      <c r="P87" s="323">
        <f t="shared" si="4"/>
        <v>0.49450549450549453</v>
      </c>
    </row>
    <row r="88" spans="1:16" ht="18.95" customHeight="1">
      <c r="A88" s="321">
        <f t="shared" si="5"/>
        <v>64</v>
      </c>
      <c r="B88" s="327" t="s">
        <v>1608</v>
      </c>
      <c r="C88" s="324" t="s">
        <v>1609</v>
      </c>
      <c r="D88" s="75">
        <v>43101</v>
      </c>
      <c r="E88" s="76">
        <v>43343</v>
      </c>
      <c r="F88" s="78">
        <f t="shared" si="0"/>
        <v>0.74380165289256195</v>
      </c>
      <c r="G88" s="324">
        <v>17657.879999999997</v>
      </c>
      <c r="H88" s="324">
        <v>17657.879999999997</v>
      </c>
      <c r="I88" s="328">
        <v>14417.915999999999</v>
      </c>
      <c r="J88" s="322">
        <f t="shared" si="1"/>
        <v>0.81651455327593125</v>
      </c>
      <c r="M88" s="38">
        <f t="shared" si="2"/>
        <v>242</v>
      </c>
      <c r="N88" s="76">
        <v>43281</v>
      </c>
      <c r="O88" s="38">
        <f t="shared" si="3"/>
        <v>62</v>
      </c>
      <c r="P88" s="323">
        <f t="shared" si="4"/>
        <v>0.74380165289256195</v>
      </c>
    </row>
    <row r="89" spans="1:16" ht="18.95" customHeight="1">
      <c r="A89" s="321">
        <f t="shared" si="5"/>
        <v>65</v>
      </c>
      <c r="B89" s="327" t="s">
        <v>1588</v>
      </c>
      <c r="C89" s="324" t="s">
        <v>1589</v>
      </c>
      <c r="D89" s="75">
        <v>43132</v>
      </c>
      <c r="E89" s="76">
        <v>43343</v>
      </c>
      <c r="F89" s="78">
        <f t="shared" ref="F89:F152" si="6">P89</f>
        <v>0.70616113744075826</v>
      </c>
      <c r="G89" s="324">
        <v>26891.85</v>
      </c>
      <c r="H89" s="324">
        <v>26891.85</v>
      </c>
      <c r="I89" s="328">
        <v>20411.874</v>
      </c>
      <c r="J89" s="322">
        <f t="shared" ref="J89:J151" si="7">I89/H89</f>
        <v>0.75903569297017504</v>
      </c>
      <c r="M89" s="38">
        <f t="shared" ref="M89:M151" si="8">E89-D89</f>
        <v>211</v>
      </c>
      <c r="N89" s="76">
        <v>43281</v>
      </c>
      <c r="O89" s="38">
        <f t="shared" ref="O89:O151" si="9">E89-N89</f>
        <v>62</v>
      </c>
      <c r="P89" s="323">
        <f t="shared" ref="P89:P151" si="10">(M89-O89)/M89</f>
        <v>0.70616113744075826</v>
      </c>
    </row>
    <row r="90" spans="1:16" ht="18.95" customHeight="1">
      <c r="A90" s="321">
        <f t="shared" si="5"/>
        <v>66</v>
      </c>
      <c r="B90" s="327" t="s">
        <v>1552</v>
      </c>
      <c r="C90" s="324" t="s">
        <v>1553</v>
      </c>
      <c r="D90" s="75">
        <v>43101</v>
      </c>
      <c r="E90" s="76">
        <v>43465</v>
      </c>
      <c r="F90" s="78">
        <f t="shared" si="6"/>
        <v>0.49450549450549453</v>
      </c>
      <c r="G90" s="324">
        <v>72899.784</v>
      </c>
      <c r="H90" s="324">
        <v>72899.784</v>
      </c>
      <c r="I90" s="328">
        <v>36449.892</v>
      </c>
      <c r="J90" s="322">
        <f t="shared" si="7"/>
        <v>0.5</v>
      </c>
      <c r="M90" s="38">
        <f t="shared" si="8"/>
        <v>364</v>
      </c>
      <c r="N90" s="76">
        <v>43281</v>
      </c>
      <c r="O90" s="38">
        <f t="shared" si="9"/>
        <v>184</v>
      </c>
      <c r="P90" s="323">
        <f t="shared" si="10"/>
        <v>0.49450549450549453</v>
      </c>
    </row>
    <row r="91" spans="1:16" ht="18.95" customHeight="1">
      <c r="A91" s="321">
        <f t="shared" ref="A91:A153" si="11">A90+1</f>
        <v>67</v>
      </c>
      <c r="B91" s="327" t="s">
        <v>1574</v>
      </c>
      <c r="C91" s="324" t="s">
        <v>1575</v>
      </c>
      <c r="D91" s="75">
        <v>43160</v>
      </c>
      <c r="E91" s="76">
        <v>43404</v>
      </c>
      <c r="F91" s="78">
        <f t="shared" si="6"/>
        <v>0.49590163934426229</v>
      </c>
      <c r="G91" s="324">
        <v>59940</v>
      </c>
      <c r="H91" s="324">
        <v>59940</v>
      </c>
      <c r="I91" s="328">
        <v>23490</v>
      </c>
      <c r="J91" s="322">
        <f t="shared" si="7"/>
        <v>0.39189189189189189</v>
      </c>
      <c r="M91" s="38">
        <f t="shared" si="8"/>
        <v>244</v>
      </c>
      <c r="N91" s="76">
        <v>43281</v>
      </c>
      <c r="O91" s="38">
        <f t="shared" si="9"/>
        <v>123</v>
      </c>
      <c r="P91" s="323">
        <f t="shared" si="10"/>
        <v>0.49590163934426229</v>
      </c>
    </row>
    <row r="92" spans="1:16" ht="18.95" customHeight="1">
      <c r="A92" s="321">
        <f t="shared" si="11"/>
        <v>68</v>
      </c>
      <c r="B92" s="327" t="s">
        <v>1556</v>
      </c>
      <c r="C92" s="324" t="s">
        <v>1557</v>
      </c>
      <c r="D92" s="75">
        <v>43191</v>
      </c>
      <c r="E92" s="76">
        <v>43555</v>
      </c>
      <c r="F92" s="78">
        <f t="shared" si="6"/>
        <v>0.24725274725274726</v>
      </c>
      <c r="G92" s="324">
        <v>135300</v>
      </c>
      <c r="H92" s="324">
        <v>135300</v>
      </c>
      <c r="I92" s="328">
        <v>33660</v>
      </c>
      <c r="J92" s="322">
        <f t="shared" si="7"/>
        <v>0.24878048780487805</v>
      </c>
      <c r="M92" s="38">
        <f t="shared" si="8"/>
        <v>364</v>
      </c>
      <c r="N92" s="76">
        <v>43281</v>
      </c>
      <c r="O92" s="38">
        <f t="shared" si="9"/>
        <v>274</v>
      </c>
      <c r="P92" s="323">
        <f t="shared" si="10"/>
        <v>0.24725274725274726</v>
      </c>
    </row>
    <row r="93" spans="1:16" ht="18.95" customHeight="1">
      <c r="A93" s="321">
        <f t="shared" si="11"/>
        <v>69</v>
      </c>
      <c r="B93" s="327" t="s">
        <v>1568</v>
      </c>
      <c r="C93" s="324" t="s">
        <v>1569</v>
      </c>
      <c r="D93" s="75">
        <v>43101</v>
      </c>
      <c r="E93" s="76">
        <v>43646</v>
      </c>
      <c r="F93" s="78">
        <f t="shared" si="6"/>
        <v>0.33027522935779818</v>
      </c>
      <c r="G93" s="324">
        <v>52800</v>
      </c>
      <c r="H93" s="324">
        <v>52800</v>
      </c>
      <c r="I93" s="328">
        <v>26400</v>
      </c>
      <c r="J93" s="322">
        <f t="shared" si="7"/>
        <v>0.5</v>
      </c>
      <c r="M93" s="38">
        <f t="shared" si="8"/>
        <v>545</v>
      </c>
      <c r="N93" s="76">
        <v>43281</v>
      </c>
      <c r="O93" s="38">
        <f t="shared" si="9"/>
        <v>365</v>
      </c>
      <c r="P93" s="323">
        <f t="shared" si="10"/>
        <v>0.33027522935779818</v>
      </c>
    </row>
    <row r="94" spans="1:16" ht="18.95" customHeight="1">
      <c r="A94" s="321">
        <f t="shared" si="11"/>
        <v>70</v>
      </c>
      <c r="B94" s="327" t="s">
        <v>1622</v>
      </c>
      <c r="C94" s="324" t="s">
        <v>1623</v>
      </c>
      <c r="D94" s="75">
        <v>43221</v>
      </c>
      <c r="E94" s="76">
        <v>43373</v>
      </c>
      <c r="F94" s="78">
        <f t="shared" si="6"/>
        <v>0.39473684210526316</v>
      </c>
      <c r="G94" s="324">
        <v>13456.199999999999</v>
      </c>
      <c r="H94" s="324">
        <v>13456.199999999999</v>
      </c>
      <c r="I94" s="328">
        <v>10559.987999999999</v>
      </c>
      <c r="J94" s="322">
        <f t="shared" si="7"/>
        <v>0.78476746778436712</v>
      </c>
      <c r="M94" s="38">
        <f t="shared" si="8"/>
        <v>152</v>
      </c>
      <c r="N94" s="76">
        <v>43281</v>
      </c>
      <c r="O94" s="38">
        <f t="shared" si="9"/>
        <v>92</v>
      </c>
      <c r="P94" s="323">
        <f t="shared" si="10"/>
        <v>0.39473684210526316</v>
      </c>
    </row>
    <row r="95" spans="1:16" ht="18.95" customHeight="1">
      <c r="A95" s="321">
        <f t="shared" si="11"/>
        <v>71</v>
      </c>
      <c r="B95" s="327" t="s">
        <v>1596</v>
      </c>
      <c r="C95" s="324" t="s">
        <v>1597</v>
      </c>
      <c r="D95" s="75">
        <v>43221</v>
      </c>
      <c r="E95" s="76">
        <v>43312</v>
      </c>
      <c r="F95" s="78">
        <f t="shared" si="6"/>
        <v>0.65934065934065933</v>
      </c>
      <c r="G95" s="324">
        <v>24299.982</v>
      </c>
      <c r="H95" s="324">
        <v>24299.982</v>
      </c>
      <c r="I95" s="328">
        <v>16199.987999999999</v>
      </c>
      <c r="J95" s="322">
        <f t="shared" si="7"/>
        <v>0.66666666666666663</v>
      </c>
      <c r="M95" s="38">
        <f t="shared" si="8"/>
        <v>91</v>
      </c>
      <c r="N95" s="76">
        <v>43281</v>
      </c>
      <c r="O95" s="38">
        <f t="shared" si="9"/>
        <v>31</v>
      </c>
      <c r="P95" s="323">
        <f t="shared" si="10"/>
        <v>0.65934065934065933</v>
      </c>
    </row>
    <row r="96" spans="1:16" ht="18.95" customHeight="1">
      <c r="A96" s="321">
        <f t="shared" si="11"/>
        <v>72</v>
      </c>
      <c r="B96" s="327" t="s">
        <v>1658</v>
      </c>
      <c r="C96" s="324" t="s">
        <v>1659</v>
      </c>
      <c r="D96" s="75">
        <v>43101</v>
      </c>
      <c r="E96" s="76">
        <v>43465</v>
      </c>
      <c r="F96" s="78">
        <f t="shared" si="6"/>
        <v>0.49450549450549453</v>
      </c>
      <c r="G96" s="324">
        <v>12150</v>
      </c>
      <c r="H96" s="324">
        <v>12150</v>
      </c>
      <c r="I96" s="328">
        <v>6075</v>
      </c>
      <c r="J96" s="322">
        <f t="shared" si="7"/>
        <v>0.5</v>
      </c>
      <c r="M96" s="38">
        <f t="shared" si="8"/>
        <v>364</v>
      </c>
      <c r="N96" s="76">
        <v>43281</v>
      </c>
      <c r="O96" s="38">
        <f t="shared" si="9"/>
        <v>184</v>
      </c>
      <c r="P96" s="323">
        <f t="shared" si="10"/>
        <v>0.49450549450549453</v>
      </c>
    </row>
    <row r="97" spans="1:16" ht="18.95" customHeight="1">
      <c r="A97" s="321">
        <f t="shared" si="11"/>
        <v>73</v>
      </c>
      <c r="B97" s="327" t="s">
        <v>1564</v>
      </c>
      <c r="C97" s="324" t="s">
        <v>1565</v>
      </c>
      <c r="D97" s="75">
        <v>43132</v>
      </c>
      <c r="E97" s="76">
        <v>43465</v>
      </c>
      <c r="F97" s="78">
        <f t="shared" si="6"/>
        <v>0.44744744744744747</v>
      </c>
      <c r="G97" s="324">
        <v>72899.900999999998</v>
      </c>
      <c r="H97" s="324">
        <v>72899.900999999998</v>
      </c>
      <c r="I97" s="328">
        <v>29159.975999999999</v>
      </c>
      <c r="J97" s="322">
        <f t="shared" si="7"/>
        <v>0.40000021399206015</v>
      </c>
      <c r="M97" s="38">
        <f t="shared" si="8"/>
        <v>333</v>
      </c>
      <c r="N97" s="76">
        <v>43281</v>
      </c>
      <c r="O97" s="38">
        <f t="shared" si="9"/>
        <v>184</v>
      </c>
      <c r="P97" s="323">
        <f t="shared" si="10"/>
        <v>0.44744744744744747</v>
      </c>
    </row>
    <row r="98" spans="1:16" ht="18.95" customHeight="1">
      <c r="A98" s="321">
        <f t="shared" si="11"/>
        <v>74</v>
      </c>
      <c r="B98" s="327" t="s">
        <v>1670</v>
      </c>
      <c r="C98" s="324" t="s">
        <v>1671</v>
      </c>
      <c r="D98" s="75">
        <v>43132</v>
      </c>
      <c r="E98" s="76">
        <v>43404</v>
      </c>
      <c r="F98" s="78">
        <f t="shared" si="6"/>
        <v>0.54779411764705888</v>
      </c>
      <c r="G98" s="324">
        <v>8100</v>
      </c>
      <c r="H98" s="324">
        <v>8100</v>
      </c>
      <c r="I98" s="328">
        <v>4860</v>
      </c>
      <c r="J98" s="322">
        <f t="shared" si="7"/>
        <v>0.6</v>
      </c>
      <c r="M98" s="38">
        <f t="shared" si="8"/>
        <v>272</v>
      </c>
      <c r="N98" s="76">
        <v>43281</v>
      </c>
      <c r="O98" s="38">
        <f t="shared" si="9"/>
        <v>123</v>
      </c>
      <c r="P98" s="323">
        <f t="shared" si="10"/>
        <v>0.54779411764705888</v>
      </c>
    </row>
    <row r="99" spans="1:16" ht="18.95" customHeight="1">
      <c r="A99" s="321">
        <f t="shared" si="11"/>
        <v>75</v>
      </c>
      <c r="B99" s="327" t="s">
        <v>1578</v>
      </c>
      <c r="C99" s="324" t="s">
        <v>1579</v>
      </c>
      <c r="D99" s="75">
        <v>43160</v>
      </c>
      <c r="E99" s="76">
        <v>43799</v>
      </c>
      <c r="F99" s="78">
        <f t="shared" si="6"/>
        <v>0.18935837245696402</v>
      </c>
      <c r="G99" s="324">
        <v>131999.98800000001</v>
      </c>
      <c r="H99" s="324">
        <v>131999.98800000001</v>
      </c>
      <c r="I99" s="328">
        <v>23100</v>
      </c>
      <c r="J99" s="322">
        <f t="shared" si="7"/>
        <v>0.17500001590909234</v>
      </c>
      <c r="M99" s="38">
        <f t="shared" si="8"/>
        <v>639</v>
      </c>
      <c r="N99" s="76">
        <v>43281</v>
      </c>
      <c r="O99" s="38">
        <f t="shared" si="9"/>
        <v>518</v>
      </c>
      <c r="P99" s="323">
        <f t="shared" si="10"/>
        <v>0.18935837245696402</v>
      </c>
    </row>
    <row r="100" spans="1:16" ht="18.95" customHeight="1">
      <c r="A100" s="321">
        <f t="shared" si="11"/>
        <v>76</v>
      </c>
      <c r="B100" s="327" t="s">
        <v>1560</v>
      </c>
      <c r="C100" s="324" t="s">
        <v>1561</v>
      </c>
      <c r="D100" s="75">
        <v>43132</v>
      </c>
      <c r="E100" s="76">
        <v>43465</v>
      </c>
      <c r="F100" s="78">
        <f t="shared" si="6"/>
        <v>0.44744744744744747</v>
      </c>
      <c r="G100" s="324">
        <v>78569.694000000003</v>
      </c>
      <c r="H100" s="324">
        <v>78569.694000000003</v>
      </c>
      <c r="I100" s="328">
        <v>31427.858999999997</v>
      </c>
      <c r="J100" s="322">
        <f t="shared" si="7"/>
        <v>0.39999976326750103</v>
      </c>
      <c r="M100" s="38">
        <f t="shared" si="8"/>
        <v>333</v>
      </c>
      <c r="N100" s="76">
        <v>43281</v>
      </c>
      <c r="O100" s="38">
        <f t="shared" si="9"/>
        <v>184</v>
      </c>
      <c r="P100" s="323">
        <f t="shared" si="10"/>
        <v>0.44744744744744747</v>
      </c>
    </row>
    <row r="101" spans="1:16" ht="18.95" customHeight="1">
      <c r="A101" s="321">
        <f t="shared" si="11"/>
        <v>77</v>
      </c>
      <c r="B101" s="327" t="s">
        <v>1638</v>
      </c>
      <c r="C101" s="324" t="s">
        <v>1639</v>
      </c>
      <c r="D101" s="75">
        <v>43191</v>
      </c>
      <c r="E101" s="76">
        <v>43465</v>
      </c>
      <c r="F101" s="78">
        <f t="shared" si="6"/>
        <v>0.32846715328467152</v>
      </c>
      <c r="G101" s="324">
        <v>24300</v>
      </c>
      <c r="H101" s="324">
        <v>24300</v>
      </c>
      <c r="I101" s="328">
        <v>8100</v>
      </c>
      <c r="J101" s="322">
        <f t="shared" si="7"/>
        <v>0.33333333333333331</v>
      </c>
      <c r="M101" s="38">
        <f t="shared" si="8"/>
        <v>274</v>
      </c>
      <c r="N101" s="76">
        <v>43281</v>
      </c>
      <c r="O101" s="38">
        <f t="shared" si="9"/>
        <v>184</v>
      </c>
      <c r="P101" s="323">
        <f t="shared" si="10"/>
        <v>0.32846715328467152</v>
      </c>
    </row>
    <row r="102" spans="1:16" ht="18.95" customHeight="1">
      <c r="A102" s="321">
        <f t="shared" si="11"/>
        <v>78</v>
      </c>
      <c r="B102" s="327" t="s">
        <v>1666</v>
      </c>
      <c r="C102" s="324" t="s">
        <v>1667</v>
      </c>
      <c r="D102" s="75">
        <v>43160</v>
      </c>
      <c r="E102" s="76">
        <v>43404</v>
      </c>
      <c r="F102" s="78">
        <f t="shared" si="6"/>
        <v>0.49590163934426229</v>
      </c>
      <c r="G102" s="324">
        <v>12312</v>
      </c>
      <c r="H102" s="324">
        <v>12312</v>
      </c>
      <c r="I102" s="328">
        <v>5508</v>
      </c>
      <c r="J102" s="322">
        <f t="shared" si="7"/>
        <v>0.44736842105263158</v>
      </c>
      <c r="M102" s="38">
        <f t="shared" si="8"/>
        <v>244</v>
      </c>
      <c r="N102" s="76">
        <v>43281</v>
      </c>
      <c r="O102" s="38">
        <f t="shared" si="9"/>
        <v>123</v>
      </c>
      <c r="P102" s="323">
        <f t="shared" si="10"/>
        <v>0.49590163934426229</v>
      </c>
    </row>
    <row r="103" spans="1:16" ht="18.95" customHeight="1">
      <c r="A103" s="321">
        <f t="shared" si="11"/>
        <v>79</v>
      </c>
      <c r="B103" s="327" t="s">
        <v>1527</v>
      </c>
      <c r="C103" s="324" t="s">
        <v>1528</v>
      </c>
      <c r="D103" s="75">
        <v>43101</v>
      </c>
      <c r="E103" s="76">
        <v>43404</v>
      </c>
      <c r="F103" s="78">
        <f t="shared" si="6"/>
        <v>0.59405940594059403</v>
      </c>
      <c r="G103" s="324">
        <v>125400</v>
      </c>
      <c r="H103" s="324">
        <v>125400</v>
      </c>
      <c r="I103" s="328">
        <v>75240</v>
      </c>
      <c r="J103" s="322">
        <f t="shared" si="7"/>
        <v>0.6</v>
      </c>
      <c r="M103" s="38">
        <f t="shared" si="8"/>
        <v>303</v>
      </c>
      <c r="N103" s="76">
        <v>43281</v>
      </c>
      <c r="O103" s="38">
        <f t="shared" si="9"/>
        <v>123</v>
      </c>
      <c r="P103" s="323">
        <f t="shared" si="10"/>
        <v>0.59405940594059403</v>
      </c>
    </row>
    <row r="104" spans="1:16" ht="18.95" customHeight="1">
      <c r="A104" s="321">
        <f t="shared" si="11"/>
        <v>80</v>
      </c>
      <c r="B104" s="327" t="s">
        <v>1598</v>
      </c>
      <c r="C104" s="324" t="s">
        <v>1599</v>
      </c>
      <c r="D104" s="75">
        <v>43101</v>
      </c>
      <c r="E104" s="76">
        <v>43465</v>
      </c>
      <c r="F104" s="78">
        <f t="shared" si="6"/>
        <v>0.49450549450549453</v>
      </c>
      <c r="G104" s="324">
        <v>33000</v>
      </c>
      <c r="H104" s="324">
        <v>33000</v>
      </c>
      <c r="I104" s="328">
        <v>15840</v>
      </c>
      <c r="J104" s="322">
        <f t="shared" si="7"/>
        <v>0.48</v>
      </c>
      <c r="M104" s="38">
        <f t="shared" si="8"/>
        <v>364</v>
      </c>
      <c r="N104" s="76">
        <v>43281</v>
      </c>
      <c r="O104" s="38">
        <f t="shared" si="9"/>
        <v>184</v>
      </c>
      <c r="P104" s="323">
        <f t="shared" si="10"/>
        <v>0.49450549450549453</v>
      </c>
    </row>
    <row r="105" spans="1:16" ht="18.95" customHeight="1">
      <c r="A105" s="321">
        <f t="shared" si="11"/>
        <v>81</v>
      </c>
      <c r="B105" s="327" t="s">
        <v>1590</v>
      </c>
      <c r="C105" s="324" t="s">
        <v>1591</v>
      </c>
      <c r="D105" s="75">
        <v>43101</v>
      </c>
      <c r="E105" s="76">
        <v>43434</v>
      </c>
      <c r="F105" s="78">
        <f t="shared" si="6"/>
        <v>0.54054054054054057</v>
      </c>
      <c r="G105" s="324">
        <v>32399.796000000002</v>
      </c>
      <c r="H105" s="324">
        <v>32399.796000000002</v>
      </c>
      <c r="I105" s="328">
        <v>17009.885999999999</v>
      </c>
      <c r="J105" s="322">
        <f t="shared" si="7"/>
        <v>0.52499978703569605</v>
      </c>
      <c r="M105" s="38">
        <f t="shared" si="8"/>
        <v>333</v>
      </c>
      <c r="N105" s="76">
        <v>43281</v>
      </c>
      <c r="O105" s="38">
        <f t="shared" si="9"/>
        <v>153</v>
      </c>
      <c r="P105" s="323">
        <f t="shared" si="10"/>
        <v>0.54054054054054057</v>
      </c>
    </row>
    <row r="106" spans="1:16" ht="18.95" customHeight="1">
      <c r="A106" s="321">
        <f t="shared" si="11"/>
        <v>82</v>
      </c>
      <c r="B106" s="327" t="s">
        <v>1631</v>
      </c>
      <c r="C106" s="324" t="s">
        <v>1632</v>
      </c>
      <c r="D106" s="75">
        <v>43101</v>
      </c>
      <c r="E106" s="76">
        <v>43465</v>
      </c>
      <c r="F106" s="78">
        <f t="shared" si="6"/>
        <v>0.49450549450549453</v>
      </c>
      <c r="G106" s="324">
        <v>17172</v>
      </c>
      <c r="H106" s="324">
        <v>17172</v>
      </c>
      <c r="I106" s="328">
        <v>9396</v>
      </c>
      <c r="J106" s="322">
        <f t="shared" si="7"/>
        <v>0.54716981132075471</v>
      </c>
      <c r="M106" s="38">
        <f t="shared" si="8"/>
        <v>364</v>
      </c>
      <c r="N106" s="76">
        <v>43281</v>
      </c>
      <c r="O106" s="38">
        <f t="shared" si="9"/>
        <v>184</v>
      </c>
      <c r="P106" s="323">
        <f t="shared" si="10"/>
        <v>0.49450549450549453</v>
      </c>
    </row>
    <row r="107" spans="1:16" ht="18.95" customHeight="1">
      <c r="A107" s="321">
        <f t="shared" si="11"/>
        <v>83</v>
      </c>
      <c r="B107" s="327" t="s">
        <v>1680</v>
      </c>
      <c r="C107" s="324" t="s">
        <v>1681</v>
      </c>
      <c r="D107" s="75">
        <v>43252</v>
      </c>
      <c r="E107" s="76">
        <v>43312</v>
      </c>
      <c r="F107" s="78">
        <f t="shared" si="6"/>
        <v>0.48333333333333334</v>
      </c>
      <c r="G107" s="324">
        <v>6600</v>
      </c>
      <c r="H107" s="324">
        <v>6600</v>
      </c>
      <c r="I107" s="328">
        <v>3300</v>
      </c>
      <c r="J107" s="322">
        <f t="shared" si="7"/>
        <v>0.5</v>
      </c>
      <c r="M107" s="38">
        <f t="shared" si="8"/>
        <v>60</v>
      </c>
      <c r="N107" s="76">
        <v>43281</v>
      </c>
      <c r="O107" s="38">
        <f t="shared" si="9"/>
        <v>31</v>
      </c>
      <c r="P107" s="323">
        <f t="shared" si="10"/>
        <v>0.48333333333333334</v>
      </c>
    </row>
    <row r="108" spans="1:16" ht="18.95" customHeight="1">
      <c r="A108" s="321">
        <f t="shared" si="11"/>
        <v>84</v>
      </c>
      <c r="B108" s="327" t="s">
        <v>1682</v>
      </c>
      <c r="C108" s="324" t="s">
        <v>1683</v>
      </c>
      <c r="D108" s="75">
        <v>43132</v>
      </c>
      <c r="E108" s="76">
        <v>43434</v>
      </c>
      <c r="F108" s="78">
        <f t="shared" si="6"/>
        <v>0.49337748344370863</v>
      </c>
      <c r="G108" s="324">
        <v>6480</v>
      </c>
      <c r="H108" s="324">
        <v>6480</v>
      </c>
      <c r="I108" s="328">
        <v>3240</v>
      </c>
      <c r="J108" s="322">
        <f t="shared" si="7"/>
        <v>0.5</v>
      </c>
      <c r="M108" s="38">
        <f t="shared" si="8"/>
        <v>302</v>
      </c>
      <c r="N108" s="76">
        <v>43281</v>
      </c>
      <c r="O108" s="38">
        <f t="shared" si="9"/>
        <v>153</v>
      </c>
      <c r="P108" s="323">
        <f t="shared" si="10"/>
        <v>0.49337748344370863</v>
      </c>
    </row>
    <row r="109" spans="1:16" ht="18.95" customHeight="1">
      <c r="A109" s="321">
        <f t="shared" si="11"/>
        <v>85</v>
      </c>
      <c r="B109" s="327" t="s">
        <v>1629</v>
      </c>
      <c r="C109" s="324" t="s">
        <v>1630</v>
      </c>
      <c r="D109" s="75">
        <v>43132</v>
      </c>
      <c r="E109" s="76">
        <v>43465</v>
      </c>
      <c r="F109" s="78">
        <f t="shared" si="6"/>
        <v>0.44744744744744747</v>
      </c>
      <c r="G109" s="324">
        <v>24299.646000000001</v>
      </c>
      <c r="H109" s="324">
        <v>24299.646000000001</v>
      </c>
      <c r="I109" s="328">
        <v>9719.8319999999985</v>
      </c>
      <c r="J109" s="322">
        <f t="shared" si="7"/>
        <v>0.39999891356441974</v>
      </c>
      <c r="M109" s="38">
        <f t="shared" si="8"/>
        <v>333</v>
      </c>
      <c r="N109" s="76">
        <v>43281</v>
      </c>
      <c r="O109" s="38">
        <f t="shared" si="9"/>
        <v>184</v>
      </c>
      <c r="P109" s="323">
        <f t="shared" si="10"/>
        <v>0.44744744744744747</v>
      </c>
    </row>
    <row r="110" spans="1:16" ht="18.95" customHeight="1">
      <c r="A110" s="321">
        <f t="shared" si="11"/>
        <v>86</v>
      </c>
      <c r="B110" s="327" t="s">
        <v>1674</v>
      </c>
      <c r="C110" s="324" t="s">
        <v>1675</v>
      </c>
      <c r="D110" s="75">
        <v>43221</v>
      </c>
      <c r="E110" s="76">
        <v>43343</v>
      </c>
      <c r="F110" s="78">
        <f t="shared" si="6"/>
        <v>0.49180327868852458</v>
      </c>
      <c r="G110" s="324">
        <v>8100</v>
      </c>
      <c r="H110" s="324">
        <v>8100</v>
      </c>
      <c r="I110" s="328">
        <v>4050</v>
      </c>
      <c r="J110" s="322">
        <f t="shared" si="7"/>
        <v>0.5</v>
      </c>
      <c r="M110" s="38">
        <f t="shared" si="8"/>
        <v>122</v>
      </c>
      <c r="N110" s="76">
        <v>43281</v>
      </c>
      <c r="O110" s="38">
        <f t="shared" si="9"/>
        <v>62</v>
      </c>
      <c r="P110" s="323">
        <f t="shared" si="10"/>
        <v>0.49180327868852458</v>
      </c>
    </row>
    <row r="111" spans="1:16" ht="18.95" customHeight="1">
      <c r="A111" s="321">
        <f t="shared" si="11"/>
        <v>87</v>
      </c>
      <c r="B111" s="327" t="s">
        <v>1616</v>
      </c>
      <c r="C111" s="324" t="s">
        <v>1617</v>
      </c>
      <c r="D111" s="75">
        <v>43101</v>
      </c>
      <c r="E111" s="76">
        <v>43434</v>
      </c>
      <c r="F111" s="78">
        <f t="shared" si="6"/>
        <v>0.54054054054054057</v>
      </c>
      <c r="G111" s="324">
        <v>20250</v>
      </c>
      <c r="H111" s="324">
        <v>20250</v>
      </c>
      <c r="I111" s="328">
        <v>11502</v>
      </c>
      <c r="J111" s="322">
        <f t="shared" si="7"/>
        <v>0.56799999999999995</v>
      </c>
      <c r="M111" s="38">
        <f t="shared" si="8"/>
        <v>333</v>
      </c>
      <c r="N111" s="76">
        <v>43281</v>
      </c>
      <c r="O111" s="38">
        <f t="shared" si="9"/>
        <v>153</v>
      </c>
      <c r="P111" s="323">
        <f t="shared" si="10"/>
        <v>0.54054054054054057</v>
      </c>
    </row>
    <row r="112" spans="1:16" ht="18.95" customHeight="1">
      <c r="A112" s="321">
        <f t="shared" si="11"/>
        <v>88</v>
      </c>
      <c r="B112" s="327" t="s">
        <v>1636</v>
      </c>
      <c r="C112" s="324" t="s">
        <v>1637</v>
      </c>
      <c r="D112" s="75">
        <v>43221</v>
      </c>
      <c r="E112" s="76">
        <v>43343</v>
      </c>
      <c r="F112" s="78">
        <f t="shared" si="6"/>
        <v>0.49180327868852458</v>
      </c>
      <c r="G112" s="324">
        <v>16500</v>
      </c>
      <c r="H112" s="324">
        <v>16500</v>
      </c>
      <c r="I112" s="328">
        <v>8250</v>
      </c>
      <c r="J112" s="322">
        <f t="shared" si="7"/>
        <v>0.5</v>
      </c>
      <c r="M112" s="38">
        <f t="shared" si="8"/>
        <v>122</v>
      </c>
      <c r="N112" s="76">
        <v>43281</v>
      </c>
      <c r="O112" s="38">
        <f t="shared" si="9"/>
        <v>62</v>
      </c>
      <c r="P112" s="323">
        <f t="shared" si="10"/>
        <v>0.49180327868852458</v>
      </c>
    </row>
    <row r="113" spans="1:16" s="329" customFormat="1" ht="20.100000000000001" customHeight="1">
      <c r="A113" s="494" t="str">
        <f>$A$1</f>
        <v>LOUISVILLE GAS AND ELECTRIC COMPANY</v>
      </c>
      <c r="B113" s="494"/>
      <c r="C113" s="494"/>
      <c r="D113" s="494"/>
      <c r="E113" s="494"/>
      <c r="F113" s="494"/>
      <c r="G113" s="494"/>
      <c r="H113" s="494"/>
      <c r="I113" s="494"/>
      <c r="J113" s="494"/>
    </row>
    <row r="114" spans="1:16" s="329" customFormat="1" ht="20.100000000000001" customHeight="1">
      <c r="A114" s="494" t="str">
        <f>$A$2</f>
        <v>CASE NO. 2016-00371 - GAS OPERATIONS</v>
      </c>
      <c r="B114" s="494"/>
      <c r="C114" s="494"/>
      <c r="D114" s="494"/>
      <c r="E114" s="494"/>
      <c r="F114" s="494"/>
      <c r="G114" s="494"/>
      <c r="H114" s="494"/>
      <c r="I114" s="494"/>
      <c r="J114" s="494"/>
    </row>
    <row r="115" spans="1:16" s="329" customFormat="1" ht="20.100000000000001" customHeight="1">
      <c r="A115" s="494" t="s">
        <v>175</v>
      </c>
      <c r="B115" s="494"/>
      <c r="C115" s="494"/>
      <c r="D115" s="494"/>
      <c r="E115" s="494"/>
      <c r="F115" s="494"/>
      <c r="G115" s="494"/>
      <c r="H115" s="494"/>
      <c r="I115" s="494"/>
      <c r="J115" s="494"/>
    </row>
    <row r="116" spans="1:16" s="329" customFormat="1" ht="20.100000000000001" customHeight="1">
      <c r="A116" s="494" t="str">
        <f>$A$4</f>
        <v>AS OF JUNE 30, 2018</v>
      </c>
      <c r="B116" s="494"/>
      <c r="C116" s="494"/>
      <c r="D116" s="494"/>
      <c r="E116" s="494"/>
      <c r="F116" s="494"/>
      <c r="G116" s="494"/>
      <c r="H116" s="494"/>
      <c r="I116" s="494"/>
      <c r="J116" s="494"/>
    </row>
    <row r="117" spans="1:16" s="329" customFormat="1" ht="20.100000000000001" customHeight="1">
      <c r="A117" s="319"/>
      <c r="B117" s="319"/>
      <c r="C117" s="319"/>
      <c r="D117" s="319"/>
      <c r="E117" s="319"/>
      <c r="F117" s="319"/>
      <c r="G117" s="319"/>
      <c r="H117" s="319"/>
      <c r="I117" s="319"/>
      <c r="J117" s="319"/>
    </row>
    <row r="118" spans="1:16" s="329" customFormat="1" ht="20.100000000000001" customHeight="1">
      <c r="A118" s="31" t="str">
        <f>$A$6</f>
        <v>DATA:____BASE  PERIOD__X__FORECASTED  PERIOD</v>
      </c>
      <c r="B118" s="320"/>
      <c r="C118" s="32"/>
      <c r="D118" s="74"/>
      <c r="E118" s="74"/>
      <c r="F118" s="32"/>
      <c r="G118" s="38"/>
      <c r="H118" s="38"/>
      <c r="I118" s="38"/>
      <c r="J118" s="38" t="s">
        <v>632</v>
      </c>
    </row>
    <row r="119" spans="1:16" s="329" customFormat="1" ht="20.100000000000001" customHeight="1">
      <c r="A119" s="31" t="str">
        <f>$A$7</f>
        <v>TYPE OF FILING: __X__ ORIGINAL  _____ UPDATED  _____ REVISED</v>
      </c>
      <c r="B119" s="321"/>
      <c r="C119" s="32"/>
      <c r="D119" s="74"/>
      <c r="E119" s="74"/>
      <c r="F119" s="32"/>
      <c r="G119" s="38"/>
      <c r="H119" s="38"/>
      <c r="I119" s="38"/>
      <c r="J119" s="38" t="s">
        <v>1635</v>
      </c>
    </row>
    <row r="120" spans="1:16" s="329" customFormat="1" ht="20.100000000000001" customHeight="1">
      <c r="A120" s="31" t="str">
        <f>$A$8</f>
        <v>WORKPAPER REFERENCE NO(S).:</v>
      </c>
      <c r="B120" s="320"/>
      <c r="C120" s="32"/>
      <c r="D120" s="74"/>
      <c r="E120" s="74"/>
      <c r="F120" s="31"/>
      <c r="G120" s="39"/>
      <c r="H120" s="39"/>
      <c r="I120" s="39"/>
      <c r="J120" s="39" t="str">
        <f>$J$8</f>
        <v>WITNESS:   C. M. GARRETT</v>
      </c>
    </row>
    <row r="121" spans="1:16" s="329" customFormat="1" ht="20.100000000000001" customHeight="1">
      <c r="A121" s="32"/>
      <c r="B121" s="321"/>
      <c r="C121" s="32"/>
      <c r="D121" s="74"/>
      <c r="E121" s="74"/>
      <c r="F121" s="32"/>
      <c r="G121" s="32"/>
      <c r="H121" s="32"/>
      <c r="I121" s="32"/>
      <c r="J121" s="32"/>
    </row>
    <row r="122" spans="1:16" s="329" customFormat="1" ht="58.5" customHeight="1">
      <c r="A122" s="40" t="s">
        <v>29</v>
      </c>
      <c r="B122" s="40" t="s">
        <v>178</v>
      </c>
      <c r="C122" s="40" t="s">
        <v>179</v>
      </c>
      <c r="D122" s="73" t="s">
        <v>181</v>
      </c>
      <c r="E122" s="73" t="s">
        <v>182</v>
      </c>
      <c r="F122" s="40" t="s">
        <v>183</v>
      </c>
      <c r="G122" s="40" t="s">
        <v>184</v>
      </c>
      <c r="H122" s="40" t="s">
        <v>185</v>
      </c>
      <c r="I122" s="40" t="s">
        <v>186</v>
      </c>
      <c r="J122" s="40" t="s">
        <v>187</v>
      </c>
      <c r="M122" s="330" t="s">
        <v>195</v>
      </c>
      <c r="N122" s="330" t="s">
        <v>196</v>
      </c>
      <c r="O122" s="330" t="s">
        <v>197</v>
      </c>
      <c r="P122" s="330" t="s">
        <v>183</v>
      </c>
    </row>
    <row r="123" spans="1:16" s="329" customFormat="1" ht="23.1" customHeight="1">
      <c r="A123" s="44" t="s">
        <v>176</v>
      </c>
      <c r="B123" s="44" t="s">
        <v>177</v>
      </c>
      <c r="C123" s="44" t="s">
        <v>180</v>
      </c>
      <c r="D123" s="325" t="s">
        <v>188</v>
      </c>
      <c r="E123" s="325" t="s">
        <v>189</v>
      </c>
      <c r="F123" s="326" t="s">
        <v>190</v>
      </c>
      <c r="G123" s="326" t="s">
        <v>191</v>
      </c>
      <c r="H123" s="326" t="s">
        <v>192</v>
      </c>
      <c r="I123" s="326" t="s">
        <v>193</v>
      </c>
      <c r="J123" s="326" t="s">
        <v>194</v>
      </c>
    </row>
    <row r="124" spans="1:16" s="329" customFormat="1" ht="18.95" customHeight="1">
      <c r="A124" s="37"/>
      <c r="B124" s="37"/>
      <c r="C124" s="37"/>
      <c r="D124" s="331"/>
      <c r="E124" s="331"/>
      <c r="F124" s="332"/>
      <c r="G124" s="332"/>
      <c r="H124" s="332"/>
      <c r="I124" s="332"/>
      <c r="J124" s="332"/>
    </row>
    <row r="125" spans="1:16" ht="18.95" customHeight="1">
      <c r="A125" s="321">
        <f>A112+1</f>
        <v>89</v>
      </c>
      <c r="B125" s="327" t="s">
        <v>1519</v>
      </c>
      <c r="C125" s="324" t="s">
        <v>1520</v>
      </c>
      <c r="D125" s="75">
        <v>43101</v>
      </c>
      <c r="E125" s="76">
        <v>43465</v>
      </c>
      <c r="F125" s="78">
        <f t="shared" si="6"/>
        <v>0.49450549450549453</v>
      </c>
      <c r="G125" s="324">
        <v>140939.82299999997</v>
      </c>
      <c r="H125" s="324">
        <v>140939.82299999997</v>
      </c>
      <c r="I125" s="328">
        <v>90719.928</v>
      </c>
      <c r="J125" s="322">
        <f t="shared" si="7"/>
        <v>0.64367845842973714</v>
      </c>
      <c r="M125" s="38">
        <f t="shared" si="8"/>
        <v>364</v>
      </c>
      <c r="N125" s="76">
        <v>43281</v>
      </c>
      <c r="O125" s="38">
        <f t="shared" si="9"/>
        <v>184</v>
      </c>
      <c r="P125" s="323">
        <f t="shared" si="10"/>
        <v>0.49450549450549453</v>
      </c>
    </row>
    <row r="126" spans="1:16" ht="18.95" customHeight="1">
      <c r="A126" s="321">
        <f t="shared" si="11"/>
        <v>90</v>
      </c>
      <c r="B126" s="327" t="s">
        <v>1606</v>
      </c>
      <c r="C126" s="324" t="s">
        <v>1607</v>
      </c>
      <c r="D126" s="75">
        <v>43101</v>
      </c>
      <c r="E126" s="76">
        <v>43465</v>
      </c>
      <c r="F126" s="78">
        <f t="shared" si="6"/>
        <v>0.49450549450549453</v>
      </c>
      <c r="G126" s="324">
        <v>32399.786999999997</v>
      </c>
      <c r="H126" s="324">
        <v>32399.786999999997</v>
      </c>
      <c r="I126" s="328">
        <v>14579.888999999999</v>
      </c>
      <c r="J126" s="322">
        <f t="shared" si="7"/>
        <v>0.44999953240433344</v>
      </c>
      <c r="M126" s="38">
        <f t="shared" si="8"/>
        <v>364</v>
      </c>
      <c r="N126" s="76">
        <v>43281</v>
      </c>
      <c r="O126" s="38">
        <f t="shared" si="9"/>
        <v>184</v>
      </c>
      <c r="P126" s="323">
        <f t="shared" si="10"/>
        <v>0.49450549450549453</v>
      </c>
    </row>
    <row r="127" spans="1:16" ht="18.95" customHeight="1">
      <c r="A127" s="321">
        <f t="shared" si="11"/>
        <v>91</v>
      </c>
      <c r="B127" s="327" t="s">
        <v>1604</v>
      </c>
      <c r="C127" s="324" t="s">
        <v>1605</v>
      </c>
      <c r="D127" s="75">
        <v>43221</v>
      </c>
      <c r="E127" s="76">
        <v>43312</v>
      </c>
      <c r="F127" s="78">
        <f t="shared" si="6"/>
        <v>0.65934065934065933</v>
      </c>
      <c r="G127" s="324">
        <v>22050</v>
      </c>
      <c r="H127" s="324">
        <v>22050</v>
      </c>
      <c r="I127" s="328">
        <v>14700</v>
      </c>
      <c r="J127" s="322">
        <f t="shared" si="7"/>
        <v>0.66666666666666663</v>
      </c>
      <c r="M127" s="38">
        <f t="shared" si="8"/>
        <v>91</v>
      </c>
      <c r="N127" s="76">
        <v>43281</v>
      </c>
      <c r="O127" s="38">
        <f t="shared" si="9"/>
        <v>31</v>
      </c>
      <c r="P127" s="323">
        <f t="shared" si="10"/>
        <v>0.65934065934065933</v>
      </c>
    </row>
    <row r="128" spans="1:16" ht="18.95" customHeight="1">
      <c r="A128" s="321">
        <f t="shared" si="11"/>
        <v>92</v>
      </c>
      <c r="B128" s="327" t="s">
        <v>1562</v>
      </c>
      <c r="C128" s="324" t="s">
        <v>1563</v>
      </c>
      <c r="D128" s="75">
        <v>43101</v>
      </c>
      <c r="E128" s="76">
        <v>43404</v>
      </c>
      <c r="F128" s="78">
        <f t="shared" si="6"/>
        <v>0.59405940594059403</v>
      </c>
      <c r="G128" s="324">
        <v>48600</v>
      </c>
      <c r="H128" s="324">
        <v>48600</v>
      </c>
      <c r="I128" s="328">
        <v>29970.002999999997</v>
      </c>
      <c r="J128" s="322">
        <f t="shared" si="7"/>
        <v>0.61666672839506165</v>
      </c>
      <c r="M128" s="38">
        <f t="shared" si="8"/>
        <v>303</v>
      </c>
      <c r="N128" s="76">
        <v>43281</v>
      </c>
      <c r="O128" s="38">
        <f t="shared" si="9"/>
        <v>123</v>
      </c>
      <c r="P128" s="323">
        <f t="shared" si="10"/>
        <v>0.59405940594059403</v>
      </c>
    </row>
    <row r="129" spans="1:16" ht="18.95" customHeight="1">
      <c r="A129" s="321">
        <f t="shared" si="11"/>
        <v>93</v>
      </c>
      <c r="B129" s="327" t="s">
        <v>1652</v>
      </c>
      <c r="C129" s="324" t="s">
        <v>1653</v>
      </c>
      <c r="D129" s="75">
        <v>43252</v>
      </c>
      <c r="E129" s="76">
        <v>43555</v>
      </c>
      <c r="F129" s="78">
        <f t="shared" si="6"/>
        <v>9.5709570957095716E-2</v>
      </c>
      <c r="G129" s="324">
        <v>105600</v>
      </c>
      <c r="H129" s="324">
        <v>105600</v>
      </c>
      <c r="I129" s="328">
        <v>6600</v>
      </c>
      <c r="J129" s="322">
        <f t="shared" si="7"/>
        <v>6.25E-2</v>
      </c>
      <c r="M129" s="38">
        <f t="shared" si="8"/>
        <v>303</v>
      </c>
      <c r="N129" s="76">
        <v>43281</v>
      </c>
      <c r="O129" s="38">
        <f t="shared" si="9"/>
        <v>274</v>
      </c>
      <c r="P129" s="323">
        <f t="shared" si="10"/>
        <v>9.5709570957095716E-2</v>
      </c>
    </row>
    <row r="130" spans="1:16" ht="18.95" customHeight="1">
      <c r="A130" s="321">
        <f t="shared" si="11"/>
        <v>94</v>
      </c>
      <c r="B130" s="327" t="s">
        <v>1640</v>
      </c>
      <c r="C130" s="324" t="s">
        <v>1641</v>
      </c>
      <c r="D130" s="75">
        <v>43160</v>
      </c>
      <c r="E130" s="76">
        <v>43373</v>
      </c>
      <c r="F130" s="78">
        <f t="shared" si="6"/>
        <v>0.568075117370892</v>
      </c>
      <c r="G130" s="324">
        <v>16200</v>
      </c>
      <c r="H130" s="324">
        <v>16200</v>
      </c>
      <c r="I130" s="328">
        <v>8100</v>
      </c>
      <c r="J130" s="322">
        <f t="shared" si="7"/>
        <v>0.5</v>
      </c>
      <c r="M130" s="38">
        <f t="shared" si="8"/>
        <v>213</v>
      </c>
      <c r="N130" s="76">
        <v>43281</v>
      </c>
      <c r="O130" s="38">
        <f t="shared" si="9"/>
        <v>92</v>
      </c>
      <c r="P130" s="323">
        <f t="shared" si="10"/>
        <v>0.568075117370892</v>
      </c>
    </row>
    <row r="131" spans="1:16" ht="18.95" customHeight="1">
      <c r="A131" s="321">
        <f t="shared" si="11"/>
        <v>95</v>
      </c>
      <c r="B131" s="327" t="s">
        <v>1620</v>
      </c>
      <c r="C131" s="324" t="s">
        <v>1621</v>
      </c>
      <c r="D131" s="75">
        <v>43160</v>
      </c>
      <c r="E131" s="76">
        <v>43465</v>
      </c>
      <c r="F131" s="78">
        <f t="shared" si="6"/>
        <v>0.39672131147540984</v>
      </c>
      <c r="G131" s="324">
        <v>26400</v>
      </c>
      <c r="H131" s="324">
        <v>26400</v>
      </c>
      <c r="I131" s="328">
        <v>10560</v>
      </c>
      <c r="J131" s="322">
        <f t="shared" si="7"/>
        <v>0.4</v>
      </c>
      <c r="M131" s="38">
        <f t="shared" si="8"/>
        <v>305</v>
      </c>
      <c r="N131" s="76">
        <v>43281</v>
      </c>
      <c r="O131" s="38">
        <f t="shared" si="9"/>
        <v>184</v>
      </c>
      <c r="P131" s="323">
        <f t="shared" si="10"/>
        <v>0.39672131147540984</v>
      </c>
    </row>
    <row r="132" spans="1:16" ht="18.95" customHeight="1">
      <c r="A132" s="321">
        <f t="shared" si="11"/>
        <v>96</v>
      </c>
      <c r="B132" s="327" t="s">
        <v>1539</v>
      </c>
      <c r="C132" s="324" t="s">
        <v>1540</v>
      </c>
      <c r="D132" s="75">
        <v>43132</v>
      </c>
      <c r="E132" s="76">
        <v>43434</v>
      </c>
      <c r="F132" s="78">
        <f t="shared" si="6"/>
        <v>0.49337748344370863</v>
      </c>
      <c r="G132" s="324">
        <v>98999.52</v>
      </c>
      <c r="H132" s="324">
        <v>98999.52</v>
      </c>
      <c r="I132" s="328">
        <v>49499.759999999995</v>
      </c>
      <c r="J132" s="322">
        <f t="shared" si="7"/>
        <v>0.49999999999999994</v>
      </c>
      <c r="M132" s="38">
        <f t="shared" si="8"/>
        <v>302</v>
      </c>
      <c r="N132" s="76">
        <v>43281</v>
      </c>
      <c r="O132" s="38">
        <f t="shared" si="9"/>
        <v>153</v>
      </c>
      <c r="P132" s="323">
        <f t="shared" si="10"/>
        <v>0.49337748344370863</v>
      </c>
    </row>
    <row r="133" spans="1:16" ht="18.95" customHeight="1">
      <c r="A133" s="321">
        <f t="shared" si="11"/>
        <v>97</v>
      </c>
      <c r="B133" s="327" t="s">
        <v>1642</v>
      </c>
      <c r="C133" s="324" t="s">
        <v>1643</v>
      </c>
      <c r="D133" s="75">
        <v>43221</v>
      </c>
      <c r="E133" s="76">
        <v>43373</v>
      </c>
      <c r="F133" s="78">
        <f t="shared" si="6"/>
        <v>0.39473684210526316</v>
      </c>
      <c r="G133" s="324">
        <v>16199.987999999999</v>
      </c>
      <c r="H133" s="324">
        <v>16199.987999999999</v>
      </c>
      <c r="I133" s="328">
        <v>8099.9939999999997</v>
      </c>
      <c r="J133" s="322">
        <f t="shared" si="7"/>
        <v>0.5</v>
      </c>
      <c r="M133" s="38">
        <f t="shared" si="8"/>
        <v>152</v>
      </c>
      <c r="N133" s="76">
        <v>43281</v>
      </c>
      <c r="O133" s="38">
        <f t="shared" si="9"/>
        <v>92</v>
      </c>
      <c r="P133" s="323">
        <f t="shared" si="10"/>
        <v>0.39473684210526316</v>
      </c>
    </row>
    <row r="134" spans="1:16" ht="18.95" customHeight="1">
      <c r="A134" s="321">
        <f t="shared" si="11"/>
        <v>98</v>
      </c>
      <c r="B134" s="327" t="s">
        <v>1650</v>
      </c>
      <c r="C134" s="324" t="s">
        <v>1651</v>
      </c>
      <c r="D134" s="75">
        <v>43160</v>
      </c>
      <c r="E134" s="76">
        <v>43404</v>
      </c>
      <c r="F134" s="78">
        <f t="shared" si="6"/>
        <v>0.49590163934426229</v>
      </c>
      <c r="G134" s="324">
        <v>13769.942999999999</v>
      </c>
      <c r="H134" s="324">
        <v>13769.942999999999</v>
      </c>
      <c r="I134" s="328">
        <v>6812.0459999999994</v>
      </c>
      <c r="J134" s="322">
        <f t="shared" si="7"/>
        <v>0.49470400857868474</v>
      </c>
      <c r="M134" s="38">
        <f t="shared" si="8"/>
        <v>244</v>
      </c>
      <c r="N134" s="76">
        <v>43281</v>
      </c>
      <c r="O134" s="38">
        <f t="shared" si="9"/>
        <v>123</v>
      </c>
      <c r="P134" s="323">
        <f t="shared" si="10"/>
        <v>0.49590163934426229</v>
      </c>
    </row>
    <row r="135" spans="1:16" ht="18.95" customHeight="1">
      <c r="A135" s="321">
        <f t="shared" si="11"/>
        <v>99</v>
      </c>
      <c r="B135" s="327" t="s">
        <v>1533</v>
      </c>
      <c r="C135" s="324" t="s">
        <v>1534</v>
      </c>
      <c r="D135" s="75">
        <v>43132</v>
      </c>
      <c r="E135" s="76">
        <v>43434</v>
      </c>
      <c r="F135" s="78">
        <f t="shared" si="6"/>
        <v>0.49337748344370863</v>
      </c>
      <c r="G135" s="324">
        <v>74519.873999999996</v>
      </c>
      <c r="H135" s="324">
        <v>74519.873999999996</v>
      </c>
      <c r="I135" s="328">
        <v>68039.873999999996</v>
      </c>
      <c r="J135" s="322">
        <f t="shared" si="7"/>
        <v>0.91304333123268566</v>
      </c>
      <c r="M135" s="38">
        <f t="shared" si="8"/>
        <v>302</v>
      </c>
      <c r="N135" s="76">
        <v>43281</v>
      </c>
      <c r="O135" s="38">
        <f t="shared" si="9"/>
        <v>153</v>
      </c>
      <c r="P135" s="323">
        <f t="shared" si="10"/>
        <v>0.49337748344370863</v>
      </c>
    </row>
    <row r="136" spans="1:16" ht="18.95" customHeight="1">
      <c r="A136" s="321">
        <f t="shared" si="11"/>
        <v>100</v>
      </c>
      <c r="B136" s="327" t="s">
        <v>1676</v>
      </c>
      <c r="C136" s="324" t="s">
        <v>1677</v>
      </c>
      <c r="D136" s="75">
        <v>43191</v>
      </c>
      <c r="E136" s="76">
        <v>43404</v>
      </c>
      <c r="F136" s="78">
        <f t="shared" si="6"/>
        <v>0.42253521126760563</v>
      </c>
      <c r="G136" s="324">
        <v>8100</v>
      </c>
      <c r="H136" s="324">
        <v>8100</v>
      </c>
      <c r="I136" s="328">
        <v>4050</v>
      </c>
      <c r="J136" s="322">
        <f t="shared" si="7"/>
        <v>0.5</v>
      </c>
      <c r="M136" s="38">
        <f t="shared" si="8"/>
        <v>213</v>
      </c>
      <c r="N136" s="76">
        <v>43281</v>
      </c>
      <c r="O136" s="38">
        <f t="shared" si="9"/>
        <v>123</v>
      </c>
      <c r="P136" s="323">
        <f t="shared" si="10"/>
        <v>0.42253521126760563</v>
      </c>
    </row>
    <row r="137" spans="1:16" ht="18.95" customHeight="1">
      <c r="A137" s="321">
        <f t="shared" si="11"/>
        <v>101</v>
      </c>
      <c r="B137" s="327" t="s">
        <v>1678</v>
      </c>
      <c r="C137" s="324" t="s">
        <v>1679</v>
      </c>
      <c r="D137" s="75">
        <v>43160</v>
      </c>
      <c r="E137" s="76">
        <v>43404</v>
      </c>
      <c r="F137" s="78">
        <f t="shared" si="6"/>
        <v>0.49590163934426229</v>
      </c>
      <c r="G137" s="324">
        <v>8099.927999999999</v>
      </c>
      <c r="H137" s="324">
        <v>8099.927999999999</v>
      </c>
      <c r="I137" s="328">
        <v>3401.9700000000003</v>
      </c>
      <c r="J137" s="322">
        <f t="shared" si="7"/>
        <v>0.42000002962989308</v>
      </c>
      <c r="M137" s="38">
        <f t="shared" si="8"/>
        <v>244</v>
      </c>
      <c r="N137" s="76">
        <v>43281</v>
      </c>
      <c r="O137" s="38">
        <f t="shared" si="9"/>
        <v>123</v>
      </c>
      <c r="P137" s="323">
        <f t="shared" si="10"/>
        <v>0.49590163934426229</v>
      </c>
    </row>
    <row r="138" spans="1:16" ht="18.95" customHeight="1">
      <c r="A138" s="321">
        <f t="shared" si="11"/>
        <v>102</v>
      </c>
      <c r="B138" s="327" t="s">
        <v>1566</v>
      </c>
      <c r="C138" s="324" t="s">
        <v>1567</v>
      </c>
      <c r="D138" s="75">
        <v>43191</v>
      </c>
      <c r="E138" s="76">
        <v>43312</v>
      </c>
      <c r="F138" s="78">
        <f t="shared" si="6"/>
        <v>0.74380165289256195</v>
      </c>
      <c r="G138" s="324">
        <v>40499.996999999996</v>
      </c>
      <c r="H138" s="324">
        <v>40499.996999999996</v>
      </c>
      <c r="I138" s="328">
        <v>28349.996999999996</v>
      </c>
      <c r="J138" s="322">
        <f t="shared" si="7"/>
        <v>0.69999997777777612</v>
      </c>
      <c r="M138" s="38">
        <f t="shared" si="8"/>
        <v>121</v>
      </c>
      <c r="N138" s="76">
        <v>43281</v>
      </c>
      <c r="O138" s="38">
        <f t="shared" si="9"/>
        <v>31</v>
      </c>
      <c r="P138" s="323">
        <f t="shared" si="10"/>
        <v>0.74380165289256195</v>
      </c>
    </row>
    <row r="139" spans="1:16" ht="18.95" customHeight="1">
      <c r="A139" s="321">
        <f t="shared" si="11"/>
        <v>103</v>
      </c>
      <c r="B139" s="327" t="s">
        <v>1580</v>
      </c>
      <c r="C139" s="324" t="s">
        <v>1581</v>
      </c>
      <c r="D139" s="75">
        <v>43252</v>
      </c>
      <c r="E139" s="76">
        <v>43312</v>
      </c>
      <c r="F139" s="78">
        <f t="shared" si="6"/>
        <v>0.48333333333333334</v>
      </c>
      <c r="G139" s="324">
        <v>45000</v>
      </c>
      <c r="H139" s="324">
        <v>45000</v>
      </c>
      <c r="I139" s="328">
        <v>22500</v>
      </c>
      <c r="J139" s="322">
        <f t="shared" si="7"/>
        <v>0.5</v>
      </c>
      <c r="M139" s="38">
        <f t="shared" si="8"/>
        <v>60</v>
      </c>
      <c r="N139" s="76">
        <v>43281</v>
      </c>
      <c r="O139" s="38">
        <f t="shared" si="9"/>
        <v>31</v>
      </c>
      <c r="P139" s="323">
        <f t="shared" si="10"/>
        <v>0.48333333333333334</v>
      </c>
    </row>
    <row r="140" spans="1:16" ht="18.95" customHeight="1">
      <c r="A140" s="321">
        <f t="shared" si="11"/>
        <v>104</v>
      </c>
      <c r="B140" s="327" t="s">
        <v>1582</v>
      </c>
      <c r="C140" s="324" t="s">
        <v>1583</v>
      </c>
      <c r="D140" s="75">
        <v>43191</v>
      </c>
      <c r="E140" s="76">
        <v>43312</v>
      </c>
      <c r="F140" s="78">
        <f t="shared" si="6"/>
        <v>0.74380165289256195</v>
      </c>
      <c r="G140" s="324">
        <v>30000</v>
      </c>
      <c r="H140" s="324">
        <v>30000</v>
      </c>
      <c r="I140" s="328">
        <v>22500</v>
      </c>
      <c r="J140" s="322">
        <f t="shared" si="7"/>
        <v>0.75</v>
      </c>
      <c r="M140" s="38">
        <f t="shared" si="8"/>
        <v>121</v>
      </c>
      <c r="N140" s="76">
        <v>43281</v>
      </c>
      <c r="O140" s="38">
        <f t="shared" si="9"/>
        <v>31</v>
      </c>
      <c r="P140" s="323">
        <f t="shared" si="10"/>
        <v>0.74380165289256195</v>
      </c>
    </row>
    <row r="141" spans="1:16" ht="18.95" customHeight="1">
      <c r="A141" s="321">
        <f t="shared" si="11"/>
        <v>105</v>
      </c>
      <c r="B141" s="327" t="s">
        <v>1505</v>
      </c>
      <c r="C141" s="324" t="s">
        <v>1506</v>
      </c>
      <c r="D141" s="75">
        <v>43101</v>
      </c>
      <c r="E141" s="76">
        <v>43465</v>
      </c>
      <c r="F141" s="78">
        <f t="shared" si="6"/>
        <v>0.49450549450549453</v>
      </c>
      <c r="G141" s="324">
        <v>462518.00399999996</v>
      </c>
      <c r="H141" s="324">
        <v>462518.00399999996</v>
      </c>
      <c r="I141" s="328">
        <v>226799.79900000003</v>
      </c>
      <c r="J141" s="322">
        <f t="shared" si="7"/>
        <v>0.49035885530631163</v>
      </c>
      <c r="M141" s="38">
        <f t="shared" si="8"/>
        <v>364</v>
      </c>
      <c r="N141" s="76">
        <v>43281</v>
      </c>
      <c r="O141" s="38">
        <f t="shared" si="9"/>
        <v>184</v>
      </c>
      <c r="P141" s="323">
        <f t="shared" si="10"/>
        <v>0.49450549450549453</v>
      </c>
    </row>
    <row r="142" spans="1:16" ht="18.95" customHeight="1">
      <c r="A142" s="321">
        <f t="shared" si="11"/>
        <v>106</v>
      </c>
      <c r="B142" s="327" t="s">
        <v>1664</v>
      </c>
      <c r="C142" s="324" t="s">
        <v>1665</v>
      </c>
      <c r="D142" s="75">
        <v>43101</v>
      </c>
      <c r="E142" s="76">
        <v>43434</v>
      </c>
      <c r="F142" s="78">
        <f t="shared" si="6"/>
        <v>0.54054054054054057</v>
      </c>
      <c r="G142" s="324">
        <v>16199.795999999998</v>
      </c>
      <c r="H142" s="324">
        <v>16199.795999999998</v>
      </c>
      <c r="I142" s="328">
        <v>5669.9220000000005</v>
      </c>
      <c r="J142" s="322">
        <f t="shared" si="7"/>
        <v>0.34999959258746227</v>
      </c>
      <c r="M142" s="38">
        <f t="shared" si="8"/>
        <v>333</v>
      </c>
      <c r="N142" s="76">
        <v>43281</v>
      </c>
      <c r="O142" s="38">
        <f t="shared" si="9"/>
        <v>153</v>
      </c>
      <c r="P142" s="323">
        <f t="shared" si="10"/>
        <v>0.54054054054054057</v>
      </c>
    </row>
    <row r="143" spans="1:16" ht="18.95" customHeight="1">
      <c r="A143" s="321">
        <f t="shared" si="11"/>
        <v>107</v>
      </c>
      <c r="B143" s="327" t="s">
        <v>1686</v>
      </c>
      <c r="C143" s="324" t="s">
        <v>1687</v>
      </c>
      <c r="D143" s="75">
        <v>43191</v>
      </c>
      <c r="E143" s="76">
        <v>43404</v>
      </c>
      <c r="F143" s="78">
        <f t="shared" si="6"/>
        <v>0.42253521126760563</v>
      </c>
      <c r="G143" s="324">
        <v>13200</v>
      </c>
      <c r="H143" s="324">
        <v>13200</v>
      </c>
      <c r="I143" s="328">
        <v>1980</v>
      </c>
      <c r="J143" s="322">
        <f t="shared" si="7"/>
        <v>0.15</v>
      </c>
      <c r="M143" s="38">
        <f t="shared" si="8"/>
        <v>213</v>
      </c>
      <c r="N143" s="76">
        <v>43281</v>
      </c>
      <c r="O143" s="38">
        <f t="shared" si="9"/>
        <v>123</v>
      </c>
      <c r="P143" s="323">
        <f t="shared" si="10"/>
        <v>0.42253521126760563</v>
      </c>
    </row>
    <row r="144" spans="1:16" ht="18.95" customHeight="1">
      <c r="A144" s="321">
        <f t="shared" si="11"/>
        <v>108</v>
      </c>
      <c r="B144" s="327" t="s">
        <v>1654</v>
      </c>
      <c r="C144" s="324" t="s">
        <v>1655</v>
      </c>
      <c r="D144" s="75">
        <v>43221</v>
      </c>
      <c r="E144" s="76">
        <v>43343</v>
      </c>
      <c r="F144" s="78">
        <f t="shared" si="6"/>
        <v>0.49180327868852458</v>
      </c>
      <c r="G144" s="324">
        <v>13200</v>
      </c>
      <c r="H144" s="324">
        <v>13200</v>
      </c>
      <c r="I144" s="328">
        <v>6600</v>
      </c>
      <c r="J144" s="322">
        <f t="shared" si="7"/>
        <v>0.5</v>
      </c>
      <c r="M144" s="38">
        <f t="shared" si="8"/>
        <v>122</v>
      </c>
      <c r="N144" s="76">
        <v>43281</v>
      </c>
      <c r="O144" s="38">
        <f t="shared" si="9"/>
        <v>62</v>
      </c>
      <c r="P144" s="323">
        <f t="shared" si="10"/>
        <v>0.49180327868852458</v>
      </c>
    </row>
    <row r="145" spans="1:16" ht="18.95" customHeight="1">
      <c r="A145" s="321">
        <f t="shared" si="11"/>
        <v>109</v>
      </c>
      <c r="B145" s="327" t="s">
        <v>1646</v>
      </c>
      <c r="C145" s="324" t="s">
        <v>1647</v>
      </c>
      <c r="D145" s="75">
        <v>43160</v>
      </c>
      <c r="E145" s="76">
        <v>43465</v>
      </c>
      <c r="F145" s="78">
        <f t="shared" si="6"/>
        <v>0.39672131147540984</v>
      </c>
      <c r="G145" s="324">
        <v>23099.918999999998</v>
      </c>
      <c r="H145" s="324">
        <v>23099.918999999998</v>
      </c>
      <c r="I145" s="328">
        <v>7919.9759999999987</v>
      </c>
      <c r="J145" s="322">
        <f t="shared" si="7"/>
        <v>0.34285730612302145</v>
      </c>
      <c r="M145" s="38">
        <f t="shared" si="8"/>
        <v>305</v>
      </c>
      <c r="N145" s="76">
        <v>43281</v>
      </c>
      <c r="O145" s="38">
        <f t="shared" si="9"/>
        <v>184</v>
      </c>
      <c r="P145" s="323">
        <f t="shared" si="10"/>
        <v>0.39672131147540984</v>
      </c>
    </row>
    <row r="146" spans="1:16" ht="18.95" customHeight="1">
      <c r="A146" s="321">
        <f t="shared" si="11"/>
        <v>110</v>
      </c>
      <c r="B146" s="327" t="s">
        <v>1688</v>
      </c>
      <c r="C146" s="324" t="s">
        <v>1689</v>
      </c>
      <c r="D146" s="75">
        <v>43132</v>
      </c>
      <c r="E146" s="76">
        <v>43434</v>
      </c>
      <c r="F146" s="78">
        <f t="shared" si="6"/>
        <v>0.49337748344370863</v>
      </c>
      <c r="G146" s="324">
        <v>25920</v>
      </c>
      <c r="H146" s="324">
        <v>25920</v>
      </c>
      <c r="I146" s="328">
        <v>745.19999999999993</v>
      </c>
      <c r="J146" s="322">
        <f t="shared" si="7"/>
        <v>2.8749999999999998E-2</v>
      </c>
      <c r="M146" s="38">
        <f t="shared" si="8"/>
        <v>302</v>
      </c>
      <c r="N146" s="76">
        <v>43281</v>
      </c>
      <c r="O146" s="38">
        <f t="shared" si="9"/>
        <v>153</v>
      </c>
      <c r="P146" s="323">
        <f t="shared" si="10"/>
        <v>0.49337748344370863</v>
      </c>
    </row>
    <row r="147" spans="1:16" ht="18.95" customHeight="1">
      <c r="A147" s="321">
        <f t="shared" si="11"/>
        <v>111</v>
      </c>
      <c r="B147" s="327" t="s">
        <v>1612</v>
      </c>
      <c r="C147" s="324" t="s">
        <v>1613</v>
      </c>
      <c r="D147" s="75">
        <v>43191</v>
      </c>
      <c r="E147" s="76">
        <v>43312</v>
      </c>
      <c r="F147" s="78">
        <f t="shared" si="6"/>
        <v>0.74380165289256195</v>
      </c>
      <c r="G147" s="324">
        <v>16199.984999999999</v>
      </c>
      <c r="H147" s="324">
        <v>16199.984999999999</v>
      </c>
      <c r="I147" s="328">
        <v>12149.987999999999</v>
      </c>
      <c r="J147" s="322">
        <f t="shared" si="7"/>
        <v>0.7499999537036609</v>
      </c>
      <c r="M147" s="38">
        <f t="shared" si="8"/>
        <v>121</v>
      </c>
      <c r="N147" s="76">
        <v>43281</v>
      </c>
      <c r="O147" s="38">
        <f t="shared" si="9"/>
        <v>31</v>
      </c>
      <c r="P147" s="323">
        <f t="shared" si="10"/>
        <v>0.74380165289256195</v>
      </c>
    </row>
    <row r="148" spans="1:16" ht="18.95" customHeight="1">
      <c r="A148" s="321">
        <f t="shared" si="11"/>
        <v>112</v>
      </c>
      <c r="B148" s="327" t="s">
        <v>1614</v>
      </c>
      <c r="C148" s="324" t="s">
        <v>1615</v>
      </c>
      <c r="D148" s="75">
        <v>43132</v>
      </c>
      <c r="E148" s="76">
        <v>43465</v>
      </c>
      <c r="F148" s="78">
        <f t="shared" si="6"/>
        <v>0.44744744744744747</v>
      </c>
      <c r="G148" s="324">
        <v>24299.988000000001</v>
      </c>
      <c r="H148" s="324">
        <v>24299.988000000001</v>
      </c>
      <c r="I148" s="328">
        <v>11663.993999999999</v>
      </c>
      <c r="J148" s="322">
        <f t="shared" si="7"/>
        <v>0.47999999012345185</v>
      </c>
      <c r="M148" s="38">
        <f t="shared" si="8"/>
        <v>333</v>
      </c>
      <c r="N148" s="76">
        <v>43281</v>
      </c>
      <c r="O148" s="38">
        <f t="shared" si="9"/>
        <v>184</v>
      </c>
      <c r="P148" s="323">
        <f t="shared" si="10"/>
        <v>0.44744744744744747</v>
      </c>
    </row>
    <row r="149" spans="1:16" ht="18.95" customHeight="1">
      <c r="A149" s="321">
        <f t="shared" si="11"/>
        <v>113</v>
      </c>
      <c r="B149" s="327" t="s">
        <v>1594</v>
      </c>
      <c r="C149" s="324" t="s">
        <v>1595</v>
      </c>
      <c r="D149" s="75">
        <v>43191</v>
      </c>
      <c r="E149" s="76">
        <v>43373</v>
      </c>
      <c r="F149" s="78">
        <f t="shared" si="6"/>
        <v>0.49450549450549453</v>
      </c>
      <c r="G149" s="324">
        <v>24300</v>
      </c>
      <c r="H149" s="324">
        <v>24300</v>
      </c>
      <c r="I149" s="328">
        <v>16200</v>
      </c>
      <c r="J149" s="322">
        <f t="shared" si="7"/>
        <v>0.66666666666666663</v>
      </c>
      <c r="M149" s="38">
        <f t="shared" si="8"/>
        <v>182</v>
      </c>
      <c r="N149" s="76">
        <v>43281</v>
      </c>
      <c r="O149" s="38">
        <f t="shared" si="9"/>
        <v>92</v>
      </c>
      <c r="P149" s="323">
        <f t="shared" si="10"/>
        <v>0.49450549450549453</v>
      </c>
    </row>
    <row r="150" spans="1:16" ht="18.95" customHeight="1">
      <c r="A150" s="321">
        <f t="shared" si="11"/>
        <v>114</v>
      </c>
      <c r="B150" s="327" t="s">
        <v>1656</v>
      </c>
      <c r="C150" s="324" t="s">
        <v>1657</v>
      </c>
      <c r="D150" s="75">
        <v>43221</v>
      </c>
      <c r="E150" s="76">
        <v>43343</v>
      </c>
      <c r="F150" s="78">
        <f t="shared" si="6"/>
        <v>0.49180327868852458</v>
      </c>
      <c r="G150" s="324">
        <v>13200</v>
      </c>
      <c r="H150" s="324">
        <v>13200</v>
      </c>
      <c r="I150" s="328">
        <v>6600</v>
      </c>
      <c r="J150" s="322">
        <f t="shared" si="7"/>
        <v>0.5</v>
      </c>
      <c r="M150" s="38">
        <f t="shared" si="8"/>
        <v>122</v>
      </c>
      <c r="N150" s="76">
        <v>43281</v>
      </c>
      <c r="O150" s="38">
        <f t="shared" si="9"/>
        <v>62</v>
      </c>
      <c r="P150" s="323">
        <f t="shared" si="10"/>
        <v>0.49180327868852458</v>
      </c>
    </row>
    <row r="151" spans="1:16" ht="18.95" customHeight="1">
      <c r="A151" s="321">
        <f t="shared" si="11"/>
        <v>115</v>
      </c>
      <c r="B151" s="327" t="s">
        <v>1525</v>
      </c>
      <c r="C151" s="324" t="s">
        <v>1526</v>
      </c>
      <c r="D151" s="75">
        <v>43101</v>
      </c>
      <c r="E151" s="76">
        <v>43708</v>
      </c>
      <c r="F151" s="78">
        <f t="shared" si="6"/>
        <v>0.29654036243822074</v>
      </c>
      <c r="G151" s="324">
        <v>257399.83799999999</v>
      </c>
      <c r="H151" s="324">
        <v>257399.83799999999</v>
      </c>
      <c r="I151" s="328">
        <v>79199.928</v>
      </c>
      <c r="J151" s="322">
        <f t="shared" si="7"/>
        <v>0.30769222162447518</v>
      </c>
      <c r="M151" s="38">
        <f t="shared" si="8"/>
        <v>607</v>
      </c>
      <c r="N151" s="76">
        <v>43281</v>
      </c>
      <c r="O151" s="38">
        <f t="shared" si="9"/>
        <v>427</v>
      </c>
      <c r="P151" s="323">
        <f t="shared" si="10"/>
        <v>0.29654036243822074</v>
      </c>
    </row>
    <row r="152" spans="1:16" ht="18.95" customHeight="1">
      <c r="A152" s="438">
        <f t="shared" si="11"/>
        <v>116</v>
      </c>
      <c r="B152" s="327" t="s">
        <v>1513</v>
      </c>
      <c r="C152" s="324" t="s">
        <v>1514</v>
      </c>
      <c r="D152" s="75">
        <v>43101</v>
      </c>
      <c r="E152" s="76">
        <v>43465</v>
      </c>
      <c r="F152" s="78">
        <f t="shared" si="6"/>
        <v>0.49450549450549453</v>
      </c>
      <c r="G152" s="324">
        <v>153899.796</v>
      </c>
      <c r="H152" s="324">
        <v>153899.796</v>
      </c>
      <c r="I152" s="328">
        <v>137699.89199999999</v>
      </c>
      <c r="J152" s="322">
        <f t="shared" ref="J152:J153" si="12">I152/H152</f>
        <v>0.89473732635746961</v>
      </c>
      <c r="M152" s="38">
        <f t="shared" ref="M152:M153" si="13">E152-D152</f>
        <v>364</v>
      </c>
      <c r="N152" s="76">
        <v>43281</v>
      </c>
      <c r="O152" s="38">
        <f t="shared" ref="O152:O153" si="14">E152-N152</f>
        <v>184</v>
      </c>
      <c r="P152" s="323">
        <f t="shared" ref="P152:P153" si="15">(M152-O152)/M152</f>
        <v>0.49450549450549453</v>
      </c>
    </row>
    <row r="153" spans="1:16" ht="18.95" customHeight="1">
      <c r="A153" s="438">
        <f t="shared" si="11"/>
        <v>117</v>
      </c>
      <c r="B153" s="327" t="s">
        <v>1531</v>
      </c>
      <c r="C153" s="324" t="s">
        <v>1532</v>
      </c>
      <c r="D153" s="75">
        <v>43101</v>
      </c>
      <c r="E153" s="76">
        <v>43465</v>
      </c>
      <c r="F153" s="78">
        <f t="shared" ref="F153" si="16">P153</f>
        <v>0.49450549450549453</v>
      </c>
      <c r="G153" s="324">
        <v>76949.937000000005</v>
      </c>
      <c r="H153" s="324">
        <v>76949.937000000005</v>
      </c>
      <c r="I153" s="328">
        <v>69659.982000000004</v>
      </c>
      <c r="J153" s="322">
        <f t="shared" si="12"/>
        <v>0.90526366512814682</v>
      </c>
      <c r="M153" s="38">
        <f t="shared" si="13"/>
        <v>364</v>
      </c>
      <c r="N153" s="76">
        <v>43281</v>
      </c>
      <c r="O153" s="38">
        <f t="shared" si="14"/>
        <v>184</v>
      </c>
      <c r="P153" s="323">
        <f t="shared" si="15"/>
        <v>0.49450549450549453</v>
      </c>
    </row>
  </sheetData>
  <mergeCells count="12">
    <mergeCell ref="A116:J116"/>
    <mergeCell ref="A59:J59"/>
    <mergeCell ref="A60:J60"/>
    <mergeCell ref="A113:J113"/>
    <mergeCell ref="A114:J114"/>
    <mergeCell ref="A115:J115"/>
    <mergeCell ref="A58:J58"/>
    <mergeCell ref="A1:J1"/>
    <mergeCell ref="A2:J2"/>
    <mergeCell ref="A3:J3"/>
    <mergeCell ref="A4:J4"/>
    <mergeCell ref="A57:J57"/>
  </mergeCells>
  <pageMargins left="0.95" right="0.5" top="0.75" bottom="0.75" header="0.3" footer="0.3"/>
  <pageSetup scale="61" fitToHeight="0" orientation="portrait" r:id="rId1"/>
  <rowBreaks count="2" manualBreakCount="2">
    <brk id="56" max="9" man="1"/>
    <brk id="112" max="9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G51"/>
  <sheetViews>
    <sheetView topLeftCell="A22" zoomScaleNormal="100" workbookViewId="0">
      <selection activeCell="B43" sqref="B43"/>
    </sheetView>
  </sheetViews>
  <sheetFormatPr defaultColWidth="9" defaultRowHeight="12.75"/>
  <cols>
    <col min="1" max="1" width="6" style="33" customWidth="1"/>
    <col min="2" max="2" width="38.33203125" style="33" customWidth="1"/>
    <col min="3" max="3" width="28.21875" style="33" customWidth="1"/>
    <col min="4" max="4" width="13.6640625" style="33" customWidth="1"/>
    <col min="5" max="5" width="14.21875" style="33" customWidth="1"/>
    <col min="6" max="6" width="13.6640625" style="33" customWidth="1"/>
    <col min="7" max="7" width="15" style="33" customWidth="1"/>
    <col min="8" max="8" width="1.6640625" style="33" customWidth="1"/>
    <col min="9" max="16384" width="9" style="33"/>
  </cols>
  <sheetData>
    <row r="1" spans="1:7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  <c r="G1" s="494"/>
    </row>
    <row r="2" spans="1:7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  <c r="G2" s="494"/>
    </row>
    <row r="3" spans="1:7" s="32" customFormat="1" ht="20.100000000000001" customHeight="1">
      <c r="A3" s="494" t="s">
        <v>261</v>
      </c>
      <c r="B3" s="494"/>
      <c r="C3" s="494"/>
      <c r="D3" s="494"/>
      <c r="E3" s="494"/>
      <c r="F3" s="494"/>
      <c r="G3" s="494"/>
    </row>
    <row r="4" spans="1:7" s="32" customFormat="1" ht="20.100000000000001" customHeight="1">
      <c r="A4" s="494" t="str">
        <f>'Rate Case Constants'!C12</f>
        <v>AS OF FEBRUARY 28, 2017</v>
      </c>
      <c r="B4" s="494"/>
      <c r="C4" s="494"/>
      <c r="D4" s="494"/>
      <c r="E4" s="494"/>
      <c r="F4" s="494"/>
      <c r="G4" s="494"/>
    </row>
    <row r="5" spans="1:7" s="32" customFormat="1" ht="20.100000000000001" customHeight="1">
      <c r="A5" s="69"/>
      <c r="B5" s="69"/>
      <c r="C5" s="69"/>
      <c r="D5" s="69"/>
      <c r="E5" s="69"/>
      <c r="F5" s="69"/>
      <c r="G5" s="69"/>
    </row>
    <row r="6" spans="1:7" s="32" customFormat="1" ht="20.100000000000001" customHeight="1">
      <c r="A6" s="31" t="s">
        <v>31</v>
      </c>
      <c r="D6" s="38"/>
      <c r="E6" s="38"/>
      <c r="G6" s="38" t="s">
        <v>262</v>
      </c>
    </row>
    <row r="7" spans="1:7" s="32" customFormat="1" ht="20.100000000000001" customHeight="1">
      <c r="A7" s="32" t="str">
        <f>'Rate Case Constants'!C29</f>
        <v>TYPE OF FILING: __X__ ORIGINAL  _____ UPDATED  _____ REVISED</v>
      </c>
      <c r="D7" s="38"/>
      <c r="E7" s="38"/>
      <c r="G7" s="38" t="s">
        <v>64</v>
      </c>
    </row>
    <row r="8" spans="1:7" s="32" customFormat="1" ht="20.100000000000001" customHeight="1">
      <c r="A8" s="31" t="s">
        <v>151</v>
      </c>
      <c r="D8" s="39"/>
      <c r="E8" s="39"/>
      <c r="G8" s="39" t="str">
        <f>'Rate Case Constants'!C36</f>
        <v>WITNESS:   C. M. GARRETT</v>
      </c>
    </row>
    <row r="9" spans="1:7" s="32" customFormat="1" ht="20.100000000000001" customHeight="1"/>
    <row r="10" spans="1:7" ht="54.95" customHeight="1">
      <c r="A10" s="81" t="s">
        <v>29</v>
      </c>
      <c r="B10" s="82" t="s">
        <v>263</v>
      </c>
      <c r="C10" s="81" t="s">
        <v>264</v>
      </c>
      <c r="D10" s="81" t="s">
        <v>106</v>
      </c>
      <c r="E10" s="81" t="s">
        <v>155</v>
      </c>
      <c r="F10" s="81" t="s">
        <v>111</v>
      </c>
      <c r="G10" s="81" t="s">
        <v>265</v>
      </c>
    </row>
    <row r="11" spans="1:7" ht="23.1" customHeight="1">
      <c r="A11" s="44"/>
      <c r="B11" s="45"/>
      <c r="C11" s="46"/>
      <c r="D11" s="46"/>
      <c r="E11" s="46" t="s">
        <v>40</v>
      </c>
      <c r="F11" s="46"/>
      <c r="G11" s="46" t="s">
        <v>40</v>
      </c>
    </row>
    <row r="12" spans="1:7" ht="23.1" customHeight="1">
      <c r="A12" s="37"/>
      <c r="B12" s="42" t="s">
        <v>626</v>
      </c>
      <c r="C12" s="42"/>
      <c r="D12" s="42"/>
      <c r="E12" s="58"/>
      <c r="F12" s="58"/>
      <c r="G12" s="58"/>
    </row>
    <row r="13" spans="1:7" ht="18.95" customHeight="1">
      <c r="A13" s="34">
        <v>1</v>
      </c>
      <c r="B13" s="42" t="s">
        <v>643</v>
      </c>
      <c r="C13" s="42" t="s">
        <v>271</v>
      </c>
      <c r="D13" s="35" t="s">
        <v>272</v>
      </c>
      <c r="E13" s="50">
        <f>'SCH B-5.1'!C14</f>
        <v>26995902.295372717</v>
      </c>
      <c r="F13" s="62">
        <f>G13/E13</f>
        <v>1</v>
      </c>
      <c r="G13" s="50">
        <f>'SCH B-5.1'!E14</f>
        <v>26995902.295372717</v>
      </c>
    </row>
    <row r="14" spans="1:7" ht="18.95" customHeight="1">
      <c r="A14" s="34"/>
      <c r="B14" s="42"/>
      <c r="C14" s="42"/>
      <c r="D14" s="42"/>
      <c r="E14" s="50"/>
      <c r="F14" s="62"/>
      <c r="G14" s="50"/>
    </row>
    <row r="15" spans="1:7" ht="18.95" customHeight="1">
      <c r="A15" s="34">
        <v>2</v>
      </c>
      <c r="B15" s="42" t="s">
        <v>266</v>
      </c>
      <c r="C15" s="42" t="s">
        <v>271</v>
      </c>
      <c r="D15" s="35" t="s">
        <v>272</v>
      </c>
      <c r="E15" s="50">
        <f>'SCH B-5.1'!C16</f>
        <v>300135.81076953898</v>
      </c>
      <c r="F15" s="62">
        <f>G15/E15</f>
        <v>1</v>
      </c>
      <c r="G15" s="50">
        <f>'SCH B-5.1'!E16</f>
        <v>300135.81076953898</v>
      </c>
    </row>
    <row r="16" spans="1:7" ht="18.95" customHeight="1">
      <c r="A16" s="34"/>
      <c r="B16" s="42"/>
      <c r="C16" s="42"/>
      <c r="D16" s="42"/>
      <c r="E16" s="50"/>
      <c r="F16" s="50"/>
      <c r="G16" s="50"/>
    </row>
    <row r="17" spans="1:7" ht="18.95" customHeight="1">
      <c r="A17" s="34">
        <v>3</v>
      </c>
      <c r="B17" s="42" t="s">
        <v>269</v>
      </c>
      <c r="C17" s="42" t="s">
        <v>271</v>
      </c>
      <c r="D17" s="35" t="s">
        <v>272</v>
      </c>
      <c r="E17" s="50">
        <f>'SCH B-5.1'!C18</f>
        <v>2058989.8499873052</v>
      </c>
      <c r="F17" s="62">
        <f>G17/E17</f>
        <v>1</v>
      </c>
      <c r="G17" s="50">
        <f>'SCH B-5.1'!E18</f>
        <v>2058989.8499873052</v>
      </c>
    </row>
    <row r="18" spans="1:7" ht="18.95" customHeight="1">
      <c r="A18" s="34"/>
      <c r="B18" s="42"/>
      <c r="C18" s="42"/>
      <c r="D18" s="42"/>
      <c r="E18" s="50"/>
      <c r="F18" s="50"/>
      <c r="G18" s="50"/>
    </row>
    <row r="19" spans="1:7" ht="18.95" customHeight="1">
      <c r="A19" s="34">
        <v>4</v>
      </c>
      <c r="B19" s="42" t="s">
        <v>644</v>
      </c>
      <c r="C19" s="42" t="s">
        <v>271</v>
      </c>
      <c r="D19" s="35" t="s">
        <v>272</v>
      </c>
      <c r="E19" s="50">
        <f>'SCH B-5.1'!C20</f>
        <v>0</v>
      </c>
      <c r="F19" s="62">
        <v>1</v>
      </c>
      <c r="G19" s="50">
        <f>'SCH B-5.1'!E20</f>
        <v>0</v>
      </c>
    </row>
    <row r="20" spans="1:7" ht="18.95" customHeight="1">
      <c r="A20" s="34"/>
      <c r="B20" s="42"/>
      <c r="C20" s="42"/>
      <c r="D20" s="42"/>
      <c r="E20" s="50"/>
      <c r="F20" s="50"/>
      <c r="G20" s="50"/>
    </row>
    <row r="21" spans="1:7" ht="31.5" customHeight="1">
      <c r="A21" s="34">
        <v>5</v>
      </c>
      <c r="B21" s="42" t="s">
        <v>267</v>
      </c>
      <c r="C21" s="42" t="s">
        <v>645</v>
      </c>
      <c r="D21" s="35" t="s">
        <v>273</v>
      </c>
      <c r="E21" s="63">
        <f>'SCH B-5.2'!C19</f>
        <v>9147384.1849676184</v>
      </c>
      <c r="F21" s="62">
        <f>G21/E21</f>
        <v>1</v>
      </c>
      <c r="G21" s="63">
        <f>'SCH B-5.2'!E19</f>
        <v>9147384.1849676184</v>
      </c>
    </row>
    <row r="22" spans="1:7" ht="18.95" customHeight="1">
      <c r="A22" s="34"/>
      <c r="B22" s="42"/>
      <c r="C22" s="42"/>
      <c r="D22" s="42"/>
      <c r="E22" s="50"/>
      <c r="F22" s="50"/>
      <c r="G22" s="50"/>
    </row>
    <row r="23" spans="1:7" ht="18.95" customHeight="1" thickBot="1">
      <c r="A23" s="34">
        <v>6</v>
      </c>
      <c r="B23" s="42" t="s">
        <v>268</v>
      </c>
      <c r="C23" s="42"/>
      <c r="D23" s="42"/>
      <c r="E23" s="57">
        <f>SUM(E13:E21)</f>
        <v>38502412.141097181</v>
      </c>
      <c r="F23" s="50"/>
      <c r="G23" s="57">
        <f>SUM(G13:G21)</f>
        <v>38502412.141097181</v>
      </c>
    </row>
    <row r="24" spans="1:7" ht="18.95" customHeight="1" thickTop="1">
      <c r="A24" s="34"/>
      <c r="B24" s="42"/>
      <c r="C24" s="42"/>
      <c r="D24" s="42"/>
      <c r="E24" s="50"/>
      <c r="F24" s="50"/>
      <c r="G24" s="50"/>
    </row>
    <row r="25" spans="1:7" ht="18.95" customHeight="1">
      <c r="A25" s="34"/>
      <c r="B25" s="31" t="s">
        <v>270</v>
      </c>
      <c r="C25" s="42"/>
      <c r="D25" s="42"/>
      <c r="E25" s="50"/>
      <c r="F25" s="50"/>
      <c r="G25" s="50"/>
    </row>
    <row r="26" spans="1:7" ht="18.95" customHeight="1">
      <c r="A26" s="34"/>
      <c r="B26" s="42"/>
      <c r="C26" s="50"/>
      <c r="D26" s="50"/>
      <c r="E26" s="50"/>
      <c r="F26" s="50"/>
      <c r="G26" s="50"/>
    </row>
    <row r="27" spans="1:7" s="32" customFormat="1" ht="20.100000000000001" customHeight="1">
      <c r="A27" s="494" t="str">
        <f>$A$1</f>
        <v>LOUISVILLE GAS AND ELECTRIC COMPANY</v>
      </c>
      <c r="B27" s="494"/>
      <c r="C27" s="494"/>
      <c r="D27" s="494"/>
      <c r="E27" s="494"/>
      <c r="F27" s="494"/>
      <c r="G27" s="494"/>
    </row>
    <row r="28" spans="1:7" s="32" customFormat="1" ht="20.100000000000001" customHeight="1">
      <c r="A28" s="494" t="str">
        <f>$A$2</f>
        <v>CASE NO. 2016-00371 - GAS OPERATIONS</v>
      </c>
      <c r="B28" s="494"/>
      <c r="C28" s="494"/>
      <c r="D28" s="494"/>
      <c r="E28" s="494"/>
      <c r="F28" s="494"/>
      <c r="G28" s="494"/>
    </row>
    <row r="29" spans="1:7" s="32" customFormat="1" ht="20.100000000000001" customHeight="1">
      <c r="A29" s="494" t="str">
        <f>$A$3</f>
        <v>ALLOWANCE FOR WORKING CAPITAL</v>
      </c>
      <c r="B29" s="494"/>
      <c r="C29" s="494"/>
      <c r="D29" s="494"/>
      <c r="E29" s="494"/>
      <c r="F29" s="494"/>
      <c r="G29" s="494"/>
    </row>
    <row r="30" spans="1:7" s="32" customFormat="1" ht="20.100000000000001" customHeight="1">
      <c r="A30" s="493" t="str">
        <f>'Rate Case Constants'!C18</f>
        <v>AS OF JUNE 30, 2018</v>
      </c>
      <c r="B30" s="494"/>
      <c r="C30" s="494"/>
      <c r="D30" s="494"/>
      <c r="E30" s="494"/>
      <c r="F30" s="494"/>
      <c r="G30" s="494"/>
    </row>
    <row r="31" spans="1:7" s="32" customFormat="1" ht="20.100000000000001" customHeight="1">
      <c r="A31" s="69"/>
      <c r="B31" s="69"/>
      <c r="C31" s="69"/>
      <c r="D31" s="69"/>
      <c r="E31" s="69"/>
      <c r="F31" s="69"/>
      <c r="G31" s="69"/>
    </row>
    <row r="32" spans="1:7" s="32" customFormat="1" ht="20.100000000000001" customHeight="1">
      <c r="A32" s="31" t="s">
        <v>48</v>
      </c>
      <c r="D32" s="38"/>
      <c r="E32" s="38"/>
      <c r="G32" s="38" t="s">
        <v>262</v>
      </c>
    </row>
    <row r="33" spans="1:7" s="32" customFormat="1" ht="20.100000000000001" customHeight="1">
      <c r="A33" s="31" t="str">
        <f>$A$7</f>
        <v>TYPE OF FILING: __X__ ORIGINAL  _____ UPDATED  _____ REVISED</v>
      </c>
      <c r="D33" s="38"/>
      <c r="E33" s="38"/>
      <c r="G33" s="38" t="s">
        <v>72</v>
      </c>
    </row>
    <row r="34" spans="1:7" s="32" customFormat="1" ht="20.100000000000001" customHeight="1">
      <c r="A34" s="31" t="str">
        <f>$A$8</f>
        <v>WORKPAPER REFERENCE NO(S).:</v>
      </c>
      <c r="D34" s="39"/>
      <c r="E34" s="39"/>
      <c r="G34" s="39" t="str">
        <f>$G$8</f>
        <v>WITNESS:   C. M. GARRETT</v>
      </c>
    </row>
    <row r="35" spans="1:7" s="32" customFormat="1" ht="20.100000000000001" customHeight="1"/>
    <row r="36" spans="1:7" ht="54.95" customHeight="1">
      <c r="A36" s="81" t="s">
        <v>29</v>
      </c>
      <c r="B36" s="82" t="s">
        <v>263</v>
      </c>
      <c r="C36" s="81" t="s">
        <v>264</v>
      </c>
      <c r="D36" s="81" t="s">
        <v>106</v>
      </c>
      <c r="E36" s="81" t="s">
        <v>155</v>
      </c>
      <c r="F36" s="81" t="s">
        <v>111</v>
      </c>
      <c r="G36" s="81" t="s">
        <v>265</v>
      </c>
    </row>
    <row r="37" spans="1:7" ht="23.1" customHeight="1">
      <c r="A37" s="44"/>
      <c r="B37" s="45"/>
      <c r="C37" s="46"/>
      <c r="D37" s="46"/>
      <c r="E37" s="46" t="s">
        <v>40</v>
      </c>
      <c r="F37" s="46"/>
      <c r="G37" s="46" t="s">
        <v>40</v>
      </c>
    </row>
    <row r="38" spans="1:7" ht="23.1" customHeight="1">
      <c r="A38" s="37"/>
      <c r="B38" s="42" t="s">
        <v>626</v>
      </c>
      <c r="C38" s="42"/>
      <c r="D38" s="42"/>
      <c r="E38" s="58"/>
      <c r="F38" s="58"/>
      <c r="G38" s="58"/>
    </row>
    <row r="39" spans="1:7" ht="18.95" customHeight="1">
      <c r="A39" s="34">
        <v>1</v>
      </c>
      <c r="B39" s="42" t="s">
        <v>643</v>
      </c>
      <c r="C39" s="42" t="s">
        <v>271</v>
      </c>
      <c r="D39" s="35" t="s">
        <v>272</v>
      </c>
      <c r="E39" s="50">
        <f>'SCH B-5.1'!C39</f>
        <v>24895211.389706697</v>
      </c>
      <c r="F39" s="62">
        <f>G39/E39</f>
        <v>1</v>
      </c>
      <c r="G39" s="50">
        <f>'SCH B-5.1'!E39</f>
        <v>24895211.389706697</v>
      </c>
    </row>
    <row r="40" spans="1:7" ht="18.95" customHeight="1">
      <c r="A40" s="34"/>
      <c r="B40" s="42"/>
      <c r="C40" s="42"/>
      <c r="D40" s="42"/>
      <c r="E40" s="50"/>
      <c r="F40" s="62"/>
      <c r="G40" s="50"/>
    </row>
    <row r="41" spans="1:7" ht="18.95" customHeight="1">
      <c r="A41" s="34">
        <v>2</v>
      </c>
      <c r="B41" s="42" t="s">
        <v>266</v>
      </c>
      <c r="C41" s="42" t="s">
        <v>271</v>
      </c>
      <c r="D41" s="35" t="s">
        <v>272</v>
      </c>
      <c r="E41" s="50">
        <f>'SCH B-5.1'!C41</f>
        <v>323951.18574307708</v>
      </c>
      <c r="F41" s="62">
        <f>G41/E41</f>
        <v>1</v>
      </c>
      <c r="G41" s="50">
        <f>'SCH B-5.1'!E41</f>
        <v>323951.18574307708</v>
      </c>
    </row>
    <row r="42" spans="1:7" ht="18.95" customHeight="1">
      <c r="A42" s="34"/>
      <c r="B42" s="42"/>
      <c r="C42" s="42"/>
      <c r="D42" s="42"/>
      <c r="E42" s="50"/>
      <c r="F42" s="50"/>
      <c r="G42" s="50"/>
    </row>
    <row r="43" spans="1:7" ht="18.95" customHeight="1">
      <c r="A43" s="34">
        <v>3</v>
      </c>
      <c r="B43" s="42" t="s">
        <v>269</v>
      </c>
      <c r="C43" s="42" t="s">
        <v>271</v>
      </c>
      <c r="D43" s="35" t="s">
        <v>272</v>
      </c>
      <c r="E43" s="50">
        <f>'SCH B-5.1'!C43</f>
        <v>2521950.4200675171</v>
      </c>
      <c r="F43" s="62">
        <f>G43/E43</f>
        <v>1</v>
      </c>
      <c r="G43" s="50">
        <f>'SCH B-5.1'!E43</f>
        <v>2521950.4200675171</v>
      </c>
    </row>
    <row r="44" spans="1:7" ht="18.95" customHeight="1">
      <c r="A44" s="34"/>
      <c r="B44" s="42"/>
      <c r="C44" s="42"/>
      <c r="D44" s="42"/>
      <c r="E44" s="50"/>
      <c r="F44" s="50"/>
      <c r="G44" s="50"/>
    </row>
    <row r="45" spans="1:7" ht="18.95" customHeight="1">
      <c r="A45" s="34">
        <v>4</v>
      </c>
      <c r="B45" s="42" t="s">
        <v>644</v>
      </c>
      <c r="C45" s="42" t="s">
        <v>271</v>
      </c>
      <c r="D45" s="35" t="s">
        <v>272</v>
      </c>
      <c r="E45" s="50">
        <f>'SCH B-5.1'!C45</f>
        <v>0</v>
      </c>
      <c r="F45" s="62">
        <v>1</v>
      </c>
      <c r="G45" s="50">
        <f>'SCH B-5.1'!E45</f>
        <v>0</v>
      </c>
    </row>
    <row r="46" spans="1:7" ht="18.95" customHeight="1">
      <c r="A46" s="34"/>
      <c r="B46" s="42"/>
      <c r="C46" s="42"/>
      <c r="D46" s="42"/>
      <c r="E46" s="50"/>
      <c r="F46" s="50"/>
      <c r="G46" s="50"/>
    </row>
    <row r="47" spans="1:7" ht="31.5" customHeight="1">
      <c r="A47" s="34">
        <v>5</v>
      </c>
      <c r="B47" s="42" t="s">
        <v>267</v>
      </c>
      <c r="C47" s="42" t="s">
        <v>645</v>
      </c>
      <c r="D47" s="35" t="s">
        <v>273</v>
      </c>
      <c r="E47" s="63">
        <f>'SCH B-5.2'!C40</f>
        <v>9932408.8288240321</v>
      </c>
      <c r="F47" s="62">
        <f>G47/E47</f>
        <v>1</v>
      </c>
      <c r="G47" s="63">
        <f>'SCH B-5.2'!E40</f>
        <v>9932408.8288240321</v>
      </c>
    </row>
    <row r="48" spans="1:7" ht="18.95" customHeight="1">
      <c r="A48" s="34"/>
      <c r="B48" s="42"/>
      <c r="C48" s="42"/>
      <c r="D48" s="42"/>
      <c r="E48" s="50"/>
      <c r="F48" s="50"/>
      <c r="G48" s="50"/>
    </row>
    <row r="49" spans="1:7" ht="18.95" customHeight="1" thickBot="1">
      <c r="A49" s="34">
        <v>6</v>
      </c>
      <c r="B49" s="42" t="s">
        <v>268</v>
      </c>
      <c r="C49" s="42"/>
      <c r="D49" s="42"/>
      <c r="E49" s="57">
        <f>SUM(E39:E47)</f>
        <v>37673521.824341327</v>
      </c>
      <c r="F49" s="50"/>
      <c r="G49" s="57">
        <f>SUM(G39:G47)</f>
        <v>37673521.824341327</v>
      </c>
    </row>
    <row r="50" spans="1:7" ht="18.95" customHeight="1" thickTop="1">
      <c r="A50" s="34"/>
      <c r="B50" s="42"/>
      <c r="C50" s="42"/>
      <c r="D50" s="42"/>
      <c r="E50" s="50"/>
      <c r="F50" s="50"/>
      <c r="G50" s="50"/>
    </row>
    <row r="51" spans="1:7" ht="18.95" customHeight="1">
      <c r="A51" s="34"/>
      <c r="B51" s="31" t="s">
        <v>270</v>
      </c>
      <c r="C51" s="42"/>
      <c r="D51" s="42"/>
      <c r="E51" s="50"/>
      <c r="F51" s="50"/>
      <c r="G51" s="50"/>
    </row>
  </sheetData>
  <mergeCells count="8">
    <mergeCell ref="A28:G28"/>
    <mergeCell ref="A29:G29"/>
    <mergeCell ref="A30:G30"/>
    <mergeCell ref="A1:G1"/>
    <mergeCell ref="A2:G2"/>
    <mergeCell ref="A3:G3"/>
    <mergeCell ref="A4:G4"/>
    <mergeCell ref="A27:G27"/>
  </mergeCells>
  <pageMargins left="0.95" right="0.5" top="0.75" bottom="0.75" header="0.3" footer="0.3"/>
  <pageSetup scale="64" fitToHeight="0" orientation="portrait" r:id="rId1"/>
  <rowBreaks count="1" manualBreakCount="1">
    <brk id="2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E49"/>
  <sheetViews>
    <sheetView zoomScaleNormal="100" workbookViewId="0">
      <selection activeCell="A28" sqref="A28:E28"/>
    </sheetView>
  </sheetViews>
  <sheetFormatPr defaultColWidth="9" defaultRowHeight="12.75"/>
  <cols>
    <col min="1" max="1" width="6" style="33" customWidth="1"/>
    <col min="2" max="2" width="38.33203125" style="33" customWidth="1"/>
    <col min="3" max="3" width="14.21875" style="33" customWidth="1"/>
    <col min="4" max="4" width="13.6640625" style="33" customWidth="1"/>
    <col min="5" max="5" width="15" style="33" customWidth="1"/>
    <col min="6" max="6" width="1.6640625" style="33" customWidth="1"/>
    <col min="7" max="16384" width="9" style="33"/>
  </cols>
  <sheetData>
    <row r="1" spans="1:5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</row>
    <row r="2" spans="1:5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</row>
    <row r="3" spans="1:5" s="32" customFormat="1" ht="20.100000000000001" customHeight="1">
      <c r="A3" s="494" t="s">
        <v>277</v>
      </c>
      <c r="B3" s="494"/>
      <c r="C3" s="494"/>
      <c r="D3" s="494"/>
      <c r="E3" s="494"/>
    </row>
    <row r="4" spans="1:5" s="32" customFormat="1" ht="20.100000000000001" customHeight="1">
      <c r="A4" s="494" t="str">
        <f>'Rate Case Constants'!C12</f>
        <v>AS OF FEBRUARY 28, 2017</v>
      </c>
      <c r="B4" s="494"/>
      <c r="C4" s="494"/>
      <c r="D4" s="494"/>
      <c r="E4" s="494"/>
    </row>
    <row r="5" spans="1:5" s="32" customFormat="1" ht="20.100000000000001" customHeight="1">
      <c r="A5" s="69"/>
      <c r="B5" s="69"/>
      <c r="C5" s="69"/>
      <c r="D5" s="69"/>
      <c r="E5" s="69"/>
    </row>
    <row r="6" spans="1:5" s="32" customFormat="1" ht="20.100000000000001" customHeight="1">
      <c r="A6" s="31" t="s">
        <v>31</v>
      </c>
      <c r="C6" s="38"/>
      <c r="E6" s="38" t="s">
        <v>274</v>
      </c>
    </row>
    <row r="7" spans="1:5" s="32" customFormat="1" ht="20.100000000000001" customHeight="1">
      <c r="A7" s="32" t="str">
        <f>'Rate Case Constants'!C29</f>
        <v>TYPE OF FILING: __X__ ORIGINAL  _____ UPDATED  _____ REVISED</v>
      </c>
      <c r="C7" s="38"/>
      <c r="E7" s="38" t="s">
        <v>64</v>
      </c>
    </row>
    <row r="8" spans="1:5" s="32" customFormat="1" ht="20.100000000000001" customHeight="1">
      <c r="A8" s="31" t="s">
        <v>151</v>
      </c>
      <c r="C8" s="39"/>
      <c r="E8" s="39" t="str">
        <f>'Rate Case Constants'!C36</f>
        <v>WITNESS:   C. M. GARRETT</v>
      </c>
    </row>
    <row r="9" spans="1:5" s="32" customFormat="1" ht="20.100000000000001" customHeight="1"/>
    <row r="10" spans="1:5" s="32" customFormat="1" ht="20.100000000000001" customHeight="1">
      <c r="A10" s="59"/>
      <c r="B10" s="59"/>
      <c r="C10" s="496" t="s">
        <v>275</v>
      </c>
      <c r="D10" s="496"/>
      <c r="E10" s="496"/>
    </row>
    <row r="11" spans="1:5" ht="39.75" customHeight="1">
      <c r="A11" s="61" t="s">
        <v>29</v>
      </c>
      <c r="B11" s="83" t="s">
        <v>92</v>
      </c>
      <c r="C11" s="61" t="s">
        <v>155</v>
      </c>
      <c r="D11" s="61" t="s">
        <v>111</v>
      </c>
      <c r="E11" s="61" t="s">
        <v>265</v>
      </c>
    </row>
    <row r="12" spans="1:5" ht="23.1" customHeight="1">
      <c r="A12" s="44"/>
      <c r="B12" s="45"/>
      <c r="C12" s="46" t="s">
        <v>40</v>
      </c>
      <c r="D12" s="46"/>
      <c r="E12" s="46" t="s">
        <v>40</v>
      </c>
    </row>
    <row r="13" spans="1:5" ht="23.1" customHeight="1">
      <c r="A13" s="37"/>
      <c r="B13" s="42" t="s">
        <v>626</v>
      </c>
      <c r="C13" s="58"/>
      <c r="D13" s="58"/>
      <c r="E13" s="58"/>
    </row>
    <row r="14" spans="1:5" ht="18.95" customHeight="1">
      <c r="A14" s="34">
        <v>1</v>
      </c>
      <c r="B14" s="42" t="s">
        <v>643</v>
      </c>
      <c r="C14" s="50">
        <f>INV!O$39*1000</f>
        <v>26995902.295372717</v>
      </c>
      <c r="D14" s="62">
        <v>1</v>
      </c>
      <c r="E14" s="50">
        <f>C14*D14</f>
        <v>26995902.295372717</v>
      </c>
    </row>
    <row r="15" spans="1:5" ht="18.95" customHeight="1">
      <c r="A15" s="34"/>
      <c r="B15" s="42"/>
      <c r="C15" s="50"/>
      <c r="D15" s="62"/>
      <c r="E15" s="50"/>
    </row>
    <row r="16" spans="1:5" ht="18.95" customHeight="1">
      <c r="A16" s="34">
        <v>2</v>
      </c>
      <c r="B16" s="42" t="s">
        <v>266</v>
      </c>
      <c r="C16" s="50">
        <f>SUM(INV!O$36,INV!O$38)*1000</f>
        <v>300135.81076953898</v>
      </c>
      <c r="D16" s="62">
        <v>1</v>
      </c>
      <c r="E16" s="50">
        <f>C16*D16</f>
        <v>300135.81076953898</v>
      </c>
    </row>
    <row r="17" spans="1:5" ht="18.95" customHeight="1">
      <c r="A17" s="34"/>
      <c r="B17" s="42"/>
      <c r="C17" s="50"/>
      <c r="D17" s="50"/>
      <c r="E17" s="50"/>
    </row>
    <row r="18" spans="1:5" ht="18.95" customHeight="1">
      <c r="A18" s="34">
        <v>3</v>
      </c>
      <c r="B18" s="42" t="s">
        <v>269</v>
      </c>
      <c r="C18" s="50">
        <f>SUM(INV!O$40:O$41)*1000</f>
        <v>2058989.8499873052</v>
      </c>
      <c r="D18" s="62">
        <v>1</v>
      </c>
      <c r="E18" s="50">
        <f>C18*D18</f>
        <v>2058989.8499873052</v>
      </c>
    </row>
    <row r="19" spans="1:5" ht="18.95" customHeight="1">
      <c r="A19" s="34"/>
      <c r="B19" s="42"/>
      <c r="C19" s="50"/>
      <c r="D19" s="50"/>
      <c r="E19" s="50"/>
    </row>
    <row r="20" spans="1:5" ht="18.95" customHeight="1">
      <c r="A20" s="34">
        <v>4</v>
      </c>
      <c r="B20" s="42" t="s">
        <v>644</v>
      </c>
      <c r="C20" s="63">
        <v>0</v>
      </c>
      <c r="D20" s="62">
        <v>1</v>
      </c>
      <c r="E20" s="63">
        <f>C20*D20</f>
        <v>0</v>
      </c>
    </row>
    <row r="21" spans="1:5" ht="18.95" customHeight="1">
      <c r="A21" s="34"/>
      <c r="B21" s="42"/>
      <c r="C21" s="50"/>
      <c r="D21" s="50"/>
      <c r="E21" s="50"/>
    </row>
    <row r="22" spans="1:5" ht="20.100000000000001" customHeight="1" thickBot="1">
      <c r="A22" s="34">
        <v>5</v>
      </c>
      <c r="B22" s="42" t="s">
        <v>276</v>
      </c>
      <c r="C22" s="57">
        <f>SUM(C14:C20)</f>
        <v>29355027.956129562</v>
      </c>
      <c r="D22" s="50"/>
      <c r="E22" s="57">
        <f>SUM(E14:E20)</f>
        <v>29355027.956129562</v>
      </c>
    </row>
    <row r="23" spans="1:5" ht="18.95" customHeight="1" thickTop="1">
      <c r="A23" s="34"/>
      <c r="B23" s="42"/>
      <c r="C23" s="50"/>
      <c r="D23" s="50"/>
      <c r="E23" s="50"/>
    </row>
    <row r="24" spans="1:5" ht="18.95" customHeight="1">
      <c r="A24" s="34"/>
      <c r="B24" s="31" t="s">
        <v>270</v>
      </c>
      <c r="C24" s="50"/>
      <c r="D24" s="50"/>
      <c r="E24" s="50"/>
    </row>
    <row r="25" spans="1:5" ht="18.95" customHeight="1">
      <c r="A25" s="34"/>
      <c r="B25" s="42"/>
      <c r="C25" s="50"/>
      <c r="D25" s="50"/>
      <c r="E25" s="50"/>
    </row>
    <row r="26" spans="1:5" s="32" customFormat="1" ht="20.100000000000001" customHeight="1">
      <c r="A26" s="494" t="str">
        <f>$A$1</f>
        <v>LOUISVILLE GAS AND ELECTRIC COMPANY</v>
      </c>
      <c r="B26" s="494"/>
      <c r="C26" s="494"/>
      <c r="D26" s="494"/>
      <c r="E26" s="494"/>
    </row>
    <row r="27" spans="1:5" s="32" customFormat="1" ht="20.100000000000001" customHeight="1">
      <c r="A27" s="494" t="str">
        <f>$A$2</f>
        <v>CASE NO. 2016-00371 - GAS OPERATIONS</v>
      </c>
      <c r="B27" s="494"/>
      <c r="C27" s="494"/>
      <c r="D27" s="494"/>
      <c r="E27" s="494"/>
    </row>
    <row r="28" spans="1:5" s="32" customFormat="1" ht="20.100000000000001" customHeight="1">
      <c r="A28" s="494" t="str">
        <f>$A$3</f>
        <v>OTHER WORKING CAPITAL COMPONENTS</v>
      </c>
      <c r="B28" s="494"/>
      <c r="C28" s="494"/>
      <c r="D28" s="494"/>
      <c r="E28" s="494"/>
    </row>
    <row r="29" spans="1:5" s="32" customFormat="1" ht="20.100000000000001" customHeight="1">
      <c r="A29" s="493" t="str">
        <f>'Rate Case Constants'!C18</f>
        <v>AS OF JUNE 30, 2018</v>
      </c>
      <c r="B29" s="494"/>
      <c r="C29" s="494"/>
      <c r="D29" s="494"/>
      <c r="E29" s="494"/>
    </row>
    <row r="30" spans="1:5" s="32" customFormat="1" ht="20.100000000000001" customHeight="1">
      <c r="A30" s="69"/>
      <c r="B30" s="69"/>
      <c r="C30" s="69"/>
      <c r="D30" s="69"/>
      <c r="E30" s="69"/>
    </row>
    <row r="31" spans="1:5" s="32" customFormat="1" ht="20.100000000000001" customHeight="1">
      <c r="A31" s="31" t="s">
        <v>48</v>
      </c>
      <c r="C31" s="38"/>
      <c r="E31" s="38" t="s">
        <v>274</v>
      </c>
    </row>
    <row r="32" spans="1:5" s="32" customFormat="1" ht="20.100000000000001" customHeight="1">
      <c r="A32" s="31" t="str">
        <f>$A$7</f>
        <v>TYPE OF FILING: __X__ ORIGINAL  _____ UPDATED  _____ REVISED</v>
      </c>
      <c r="C32" s="38"/>
      <c r="E32" s="38" t="s">
        <v>72</v>
      </c>
    </row>
    <row r="33" spans="1:5" s="32" customFormat="1" ht="20.100000000000001" customHeight="1">
      <c r="A33" s="31" t="str">
        <f>$A$8</f>
        <v>WORKPAPER REFERENCE NO(S).:</v>
      </c>
      <c r="C33" s="39"/>
      <c r="E33" s="39" t="str">
        <f>$E$8</f>
        <v>WITNESS:   C. M. GARRETT</v>
      </c>
    </row>
    <row r="34" spans="1:5" s="32" customFormat="1" ht="20.100000000000001" customHeight="1"/>
    <row r="35" spans="1:5" s="32" customFormat="1" ht="20.100000000000001" customHeight="1">
      <c r="A35" s="59"/>
      <c r="B35" s="59"/>
      <c r="C35" s="496" t="s">
        <v>275</v>
      </c>
      <c r="D35" s="496"/>
      <c r="E35" s="496"/>
    </row>
    <row r="36" spans="1:5" ht="39.75" customHeight="1">
      <c r="A36" s="61" t="s">
        <v>29</v>
      </c>
      <c r="B36" s="83" t="s">
        <v>92</v>
      </c>
      <c r="C36" s="61" t="s">
        <v>155</v>
      </c>
      <c r="D36" s="61" t="s">
        <v>111</v>
      </c>
      <c r="E36" s="61" t="s">
        <v>265</v>
      </c>
    </row>
    <row r="37" spans="1:5" ht="23.1" customHeight="1">
      <c r="A37" s="44"/>
      <c r="B37" s="45"/>
      <c r="C37" s="46" t="s">
        <v>40</v>
      </c>
      <c r="D37" s="46"/>
      <c r="E37" s="46" t="s">
        <v>40</v>
      </c>
    </row>
    <row r="38" spans="1:5" ht="23.1" customHeight="1">
      <c r="A38" s="37"/>
      <c r="B38" s="42" t="s">
        <v>626</v>
      </c>
      <c r="C38" s="58"/>
      <c r="D38" s="58"/>
      <c r="E38" s="58"/>
    </row>
    <row r="39" spans="1:5" ht="18.95" customHeight="1">
      <c r="A39" s="34">
        <v>1</v>
      </c>
      <c r="B39" s="42" t="s">
        <v>643</v>
      </c>
      <c r="C39" s="50">
        <f>INV!AC$39*1000</f>
        <v>24895211.389706697</v>
      </c>
      <c r="D39" s="62">
        <v>1</v>
      </c>
      <c r="E39" s="50">
        <f>C39*D39</f>
        <v>24895211.389706697</v>
      </c>
    </row>
    <row r="40" spans="1:5" ht="18.95" customHeight="1">
      <c r="A40" s="34"/>
      <c r="B40" s="42"/>
      <c r="C40" s="50"/>
      <c r="D40" s="62"/>
      <c r="E40" s="50"/>
    </row>
    <row r="41" spans="1:5" ht="18.95" customHeight="1">
      <c r="A41" s="34">
        <v>2</v>
      </c>
      <c r="B41" s="42" t="s">
        <v>266</v>
      </c>
      <c r="C41" s="50">
        <f>SUM(INV!AC$36,INV!AC$38)*1000</f>
        <v>323951.18574307708</v>
      </c>
      <c r="D41" s="62">
        <v>1</v>
      </c>
      <c r="E41" s="50">
        <f>C41*D41</f>
        <v>323951.18574307708</v>
      </c>
    </row>
    <row r="42" spans="1:5" ht="18.95" customHeight="1">
      <c r="A42" s="34"/>
      <c r="B42" s="42"/>
      <c r="C42" s="50"/>
      <c r="D42" s="50"/>
      <c r="E42" s="50"/>
    </row>
    <row r="43" spans="1:5" ht="18.95" customHeight="1">
      <c r="A43" s="34">
        <v>3</v>
      </c>
      <c r="B43" s="42" t="s">
        <v>269</v>
      </c>
      <c r="C43" s="50">
        <f>SUM(INV!AC$40:AC$41)*1000</f>
        <v>2521950.4200675171</v>
      </c>
      <c r="D43" s="62">
        <v>1</v>
      </c>
      <c r="E43" s="50">
        <f>C43*D43</f>
        <v>2521950.4200675171</v>
      </c>
    </row>
    <row r="44" spans="1:5" ht="18.95" customHeight="1">
      <c r="A44" s="34"/>
      <c r="B44" s="42"/>
      <c r="C44" s="50"/>
      <c r="D44" s="50"/>
      <c r="E44" s="50"/>
    </row>
    <row r="45" spans="1:5" ht="18.95" customHeight="1">
      <c r="A45" s="34">
        <v>4</v>
      </c>
      <c r="B45" s="42" t="s">
        <v>644</v>
      </c>
      <c r="C45" s="63">
        <v>0</v>
      </c>
      <c r="D45" s="62">
        <v>1</v>
      </c>
      <c r="E45" s="63">
        <f>C45*D45</f>
        <v>0</v>
      </c>
    </row>
    <row r="46" spans="1:5" ht="18.95" customHeight="1">
      <c r="A46" s="34"/>
      <c r="B46" s="42"/>
      <c r="C46" s="50"/>
      <c r="D46" s="50"/>
      <c r="E46" s="50"/>
    </row>
    <row r="47" spans="1:5" ht="20.100000000000001" customHeight="1" thickBot="1">
      <c r="A47" s="34">
        <v>5</v>
      </c>
      <c r="B47" s="42" t="s">
        <v>276</v>
      </c>
      <c r="C47" s="57">
        <f>SUM(C39:C45)</f>
        <v>27741112.995517291</v>
      </c>
      <c r="D47" s="50"/>
      <c r="E47" s="57">
        <f>SUM(E39:E45)</f>
        <v>27741112.995517291</v>
      </c>
    </row>
    <row r="48" spans="1:5" ht="18.95" customHeight="1" thickTop="1">
      <c r="A48" s="34"/>
      <c r="B48" s="42"/>
      <c r="C48" s="50"/>
      <c r="D48" s="50"/>
      <c r="E48" s="50"/>
    </row>
    <row r="49" spans="1:5" ht="18.95" customHeight="1">
      <c r="A49" s="34"/>
      <c r="B49" s="31" t="s">
        <v>270</v>
      </c>
      <c r="C49" s="50"/>
      <c r="D49" s="50"/>
      <c r="E49" s="50"/>
    </row>
  </sheetData>
  <mergeCells count="10">
    <mergeCell ref="A28:E28"/>
    <mergeCell ref="A29:E29"/>
    <mergeCell ref="C10:E10"/>
    <mergeCell ref="C35:E35"/>
    <mergeCell ref="A1:E1"/>
    <mergeCell ref="A2:E2"/>
    <mergeCell ref="A3:E3"/>
    <mergeCell ref="A4:E4"/>
    <mergeCell ref="A26:E26"/>
    <mergeCell ref="A27:E27"/>
  </mergeCells>
  <pageMargins left="0.95" right="0.5" top="0.75" bottom="0.75" header="0.3" footer="0.3"/>
  <pageSetup scale="94" fitToHeight="0" orientation="portrait" r:id="rId1"/>
  <rowBreaks count="1" manualBreakCount="1">
    <brk id="2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E42"/>
  <sheetViews>
    <sheetView zoomScaleNormal="100" workbookViewId="0">
      <selection activeCell="C30" sqref="C30"/>
    </sheetView>
  </sheetViews>
  <sheetFormatPr defaultColWidth="9" defaultRowHeight="12.75"/>
  <cols>
    <col min="1" max="1" width="6" style="33" customWidth="1"/>
    <col min="2" max="2" width="45.44140625" style="33" customWidth="1"/>
    <col min="3" max="3" width="14.21875" style="33" customWidth="1"/>
    <col min="4" max="4" width="13.6640625" style="33" customWidth="1"/>
    <col min="5" max="5" width="15" style="33" customWidth="1"/>
    <col min="6" max="6" width="1.6640625" style="33" customWidth="1"/>
    <col min="7" max="16384" width="9" style="33"/>
  </cols>
  <sheetData>
    <row r="1" spans="1:5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</row>
    <row r="2" spans="1:5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</row>
    <row r="3" spans="1:5" s="32" customFormat="1" ht="20.100000000000001" customHeight="1">
      <c r="A3" s="494" t="s">
        <v>278</v>
      </c>
      <c r="B3" s="494"/>
      <c r="C3" s="494"/>
      <c r="D3" s="494"/>
      <c r="E3" s="494"/>
    </row>
    <row r="4" spans="1:5" s="32" customFormat="1" ht="20.100000000000001" customHeight="1">
      <c r="A4" s="494" t="str">
        <f>'Rate Case Constants'!C12</f>
        <v>AS OF FEBRUARY 28, 2017</v>
      </c>
      <c r="B4" s="494"/>
      <c r="C4" s="494"/>
      <c r="D4" s="494"/>
      <c r="E4" s="494"/>
    </row>
    <row r="5" spans="1:5" s="32" customFormat="1" ht="20.100000000000001" customHeight="1">
      <c r="A5" s="69"/>
      <c r="B5" s="69"/>
      <c r="C5" s="69"/>
      <c r="D5" s="69"/>
      <c r="E5" s="69"/>
    </row>
    <row r="6" spans="1:5" s="32" customFormat="1" ht="20.100000000000001" customHeight="1">
      <c r="A6" s="31" t="s">
        <v>31</v>
      </c>
      <c r="C6" s="38"/>
      <c r="E6" s="38" t="s">
        <v>279</v>
      </c>
    </row>
    <row r="7" spans="1:5" s="32" customFormat="1" ht="20.100000000000001" customHeight="1">
      <c r="A7" s="32" t="str">
        <f>'Rate Case Constants'!C29</f>
        <v>TYPE OF FILING: __X__ ORIGINAL  _____ UPDATED  _____ REVISED</v>
      </c>
      <c r="C7" s="38"/>
      <c r="E7" s="38" t="s">
        <v>64</v>
      </c>
    </row>
    <row r="8" spans="1:5" s="32" customFormat="1" ht="20.100000000000001" customHeight="1">
      <c r="A8" s="31" t="s">
        <v>151</v>
      </c>
      <c r="C8" s="39"/>
      <c r="E8" s="39" t="str">
        <f>'Rate Case Constants'!C36</f>
        <v>WITNESS:   C. M. GARRETT</v>
      </c>
    </row>
    <row r="9" spans="1:5" s="32" customFormat="1" ht="20.100000000000001" customHeight="1"/>
    <row r="10" spans="1:5" ht="39.75" customHeight="1">
      <c r="A10" s="81" t="s">
        <v>29</v>
      </c>
      <c r="B10" s="82" t="s">
        <v>92</v>
      </c>
      <c r="C10" s="81" t="s">
        <v>155</v>
      </c>
      <c r="D10" s="81" t="s">
        <v>111</v>
      </c>
      <c r="E10" s="81" t="s">
        <v>265</v>
      </c>
    </row>
    <row r="11" spans="1:5" ht="23.1" customHeight="1">
      <c r="A11" s="44"/>
      <c r="B11" s="45"/>
      <c r="C11" s="46" t="s">
        <v>40</v>
      </c>
      <c r="D11" s="46"/>
      <c r="E11" s="46" t="s">
        <v>40</v>
      </c>
    </row>
    <row r="12" spans="1:5" ht="23.1" customHeight="1">
      <c r="A12" s="37"/>
      <c r="B12" s="42" t="s">
        <v>626</v>
      </c>
      <c r="C12" s="58"/>
      <c r="D12" s="58"/>
      <c r="E12" s="58"/>
    </row>
    <row r="13" spans="1:5" ht="18.95" customHeight="1">
      <c r="A13" s="34">
        <v>1</v>
      </c>
      <c r="B13" s="42" t="s">
        <v>1028</v>
      </c>
      <c r="C13" s="50">
        <f>'IS G'!P$272*1000</f>
        <v>199342420.19595844</v>
      </c>
      <c r="D13" s="62">
        <v>1</v>
      </c>
      <c r="E13" s="50">
        <f>C13*D13</f>
        <v>199342420.19595844</v>
      </c>
    </row>
    <row r="14" spans="1:5" ht="18.95" customHeight="1">
      <c r="A14" s="34"/>
      <c r="B14" s="42"/>
      <c r="C14" s="50"/>
      <c r="D14" s="62"/>
      <c r="E14" s="50"/>
    </row>
    <row r="15" spans="1:5" ht="18.95" customHeight="1">
      <c r="A15" s="34">
        <v>2</v>
      </c>
      <c r="B15" s="42" t="s">
        <v>641</v>
      </c>
      <c r="C15" s="63">
        <f>'IS G'!P$162*1000</f>
        <v>126163346.71621749</v>
      </c>
      <c r="D15" s="62">
        <v>1</v>
      </c>
      <c r="E15" s="63">
        <f>C15*D15</f>
        <v>126163346.71621749</v>
      </c>
    </row>
    <row r="16" spans="1:5" ht="18.95" customHeight="1">
      <c r="A16" s="34"/>
      <c r="B16" s="42"/>
      <c r="C16" s="50"/>
      <c r="D16" s="50"/>
      <c r="E16" s="50"/>
    </row>
    <row r="17" spans="1:5" ht="18.95" customHeight="1" thickBot="1">
      <c r="A17" s="34">
        <v>3</v>
      </c>
      <c r="B17" s="42" t="s">
        <v>642</v>
      </c>
      <c r="C17" s="57">
        <f>C13-C15</f>
        <v>73179073.479740947</v>
      </c>
      <c r="D17" s="62"/>
      <c r="E17" s="57">
        <f>E13-E15</f>
        <v>73179073.479740947</v>
      </c>
    </row>
    <row r="18" spans="1:5" ht="18.95" customHeight="1" thickTop="1">
      <c r="A18" s="34"/>
      <c r="B18" s="42"/>
      <c r="C18" s="50"/>
      <c r="D18" s="50"/>
      <c r="E18" s="50"/>
    </row>
    <row r="19" spans="1:5" ht="18.95" customHeight="1" thickBot="1">
      <c r="A19" s="34">
        <v>4</v>
      </c>
      <c r="B19" s="42" t="s">
        <v>280</v>
      </c>
      <c r="C19" s="57">
        <f>C17*0.125</f>
        <v>9147384.1849676184</v>
      </c>
      <c r="D19" s="50"/>
      <c r="E19" s="57">
        <f>E17*0.125</f>
        <v>9147384.1849676184</v>
      </c>
    </row>
    <row r="20" spans="1:5" ht="18.95" customHeight="1" thickTop="1">
      <c r="A20" s="34"/>
      <c r="B20" s="42"/>
      <c r="C20" s="50"/>
      <c r="D20" s="50"/>
      <c r="E20" s="50"/>
    </row>
    <row r="21" spans="1:5" ht="18.95" customHeight="1">
      <c r="A21" s="34"/>
      <c r="B21" s="85"/>
      <c r="C21" s="50"/>
      <c r="D21" s="50"/>
      <c r="E21" s="50"/>
    </row>
    <row r="22" spans="1:5" s="32" customFormat="1" ht="20.100000000000001" customHeight="1">
      <c r="A22" s="494" t="str">
        <f>$A$1</f>
        <v>LOUISVILLE GAS AND ELECTRIC COMPANY</v>
      </c>
      <c r="B22" s="494"/>
      <c r="C22" s="494"/>
      <c r="D22" s="494"/>
      <c r="E22" s="494"/>
    </row>
    <row r="23" spans="1:5" s="32" customFormat="1" ht="20.100000000000001" customHeight="1">
      <c r="A23" s="494" t="str">
        <f>$A$2</f>
        <v>CASE NO. 2016-00371 - GAS OPERATIONS</v>
      </c>
      <c r="B23" s="494"/>
      <c r="C23" s="494"/>
      <c r="D23" s="494"/>
      <c r="E23" s="494"/>
    </row>
    <row r="24" spans="1:5" s="32" customFormat="1" ht="20.100000000000001" customHeight="1">
      <c r="A24" s="494" t="str">
        <f>$A$3</f>
        <v>CASH WORKING CAPITAL COMPONENTS</v>
      </c>
      <c r="B24" s="494"/>
      <c r="C24" s="494"/>
      <c r="D24" s="494"/>
      <c r="E24" s="494"/>
    </row>
    <row r="25" spans="1:5" s="32" customFormat="1" ht="20.100000000000001" customHeight="1">
      <c r="A25" s="493" t="str">
        <f>'Rate Case Constants'!C18</f>
        <v>AS OF JUNE 30, 2018</v>
      </c>
      <c r="B25" s="494"/>
      <c r="C25" s="494"/>
      <c r="D25" s="494"/>
      <c r="E25" s="494"/>
    </row>
    <row r="26" spans="1:5" s="32" customFormat="1" ht="20.100000000000001" customHeight="1">
      <c r="A26" s="69"/>
      <c r="B26" s="69"/>
      <c r="C26" s="69"/>
      <c r="D26" s="69"/>
      <c r="E26" s="69"/>
    </row>
    <row r="27" spans="1:5" s="32" customFormat="1" ht="20.100000000000001" customHeight="1">
      <c r="A27" s="31" t="s">
        <v>48</v>
      </c>
      <c r="C27" s="38"/>
      <c r="E27" s="38" t="s">
        <v>279</v>
      </c>
    </row>
    <row r="28" spans="1:5" s="32" customFormat="1" ht="20.100000000000001" customHeight="1">
      <c r="A28" s="31" t="str">
        <f>$A$7</f>
        <v>TYPE OF FILING: __X__ ORIGINAL  _____ UPDATED  _____ REVISED</v>
      </c>
      <c r="C28" s="38"/>
      <c r="E28" s="38" t="s">
        <v>72</v>
      </c>
    </row>
    <row r="29" spans="1:5" s="32" customFormat="1" ht="20.100000000000001" customHeight="1">
      <c r="A29" s="31" t="str">
        <f>$A$8</f>
        <v>WORKPAPER REFERENCE NO(S).:</v>
      </c>
      <c r="C29" s="39"/>
      <c r="E29" s="39" t="str">
        <f>$E$8</f>
        <v>WITNESS:   C. M. GARRETT</v>
      </c>
    </row>
    <row r="30" spans="1:5" s="32" customFormat="1" ht="20.100000000000001" customHeight="1"/>
    <row r="31" spans="1:5" ht="39.75" customHeight="1">
      <c r="A31" s="81" t="s">
        <v>29</v>
      </c>
      <c r="B31" s="82" t="s">
        <v>92</v>
      </c>
      <c r="C31" s="81" t="s">
        <v>155</v>
      </c>
      <c r="D31" s="81" t="s">
        <v>111</v>
      </c>
      <c r="E31" s="81" t="s">
        <v>265</v>
      </c>
    </row>
    <row r="32" spans="1:5" ht="23.1" customHeight="1">
      <c r="A32" s="44"/>
      <c r="B32" s="45"/>
      <c r="C32" s="46" t="s">
        <v>40</v>
      </c>
      <c r="D32" s="46"/>
      <c r="E32" s="46" t="s">
        <v>40</v>
      </c>
    </row>
    <row r="33" spans="1:5" ht="23.1" customHeight="1">
      <c r="A33" s="37"/>
      <c r="B33" s="42" t="s">
        <v>626</v>
      </c>
      <c r="C33" s="58"/>
      <c r="D33" s="58"/>
      <c r="E33" s="58"/>
    </row>
    <row r="34" spans="1:5" ht="18.95" customHeight="1">
      <c r="A34" s="34">
        <v>1</v>
      </c>
      <c r="B34" s="42" t="s">
        <v>1028</v>
      </c>
      <c r="C34" s="50">
        <f>'IS G'!AG$272*1000</f>
        <v>214351285.52134946</v>
      </c>
      <c r="D34" s="62">
        <v>1</v>
      </c>
      <c r="E34" s="50">
        <f>C34*D34</f>
        <v>214351285.52134946</v>
      </c>
    </row>
    <row r="35" spans="1:5" ht="18.95" customHeight="1">
      <c r="A35" s="34"/>
      <c r="B35" s="42"/>
      <c r="C35" s="50"/>
      <c r="D35" s="62"/>
      <c r="E35" s="50"/>
    </row>
    <row r="36" spans="1:5" ht="18.95" customHeight="1">
      <c r="A36" s="34">
        <v>2</v>
      </c>
      <c r="B36" s="42" t="s">
        <v>641</v>
      </c>
      <c r="C36" s="63">
        <f>'IS G'!AG$162*1000</f>
        <v>134892014.8907572</v>
      </c>
      <c r="D36" s="62">
        <v>1</v>
      </c>
      <c r="E36" s="63">
        <f>C36*D36</f>
        <v>134892014.8907572</v>
      </c>
    </row>
    <row r="37" spans="1:5" ht="18.95" customHeight="1">
      <c r="A37" s="34"/>
      <c r="B37" s="42"/>
      <c r="C37" s="50"/>
      <c r="D37" s="50"/>
      <c r="E37" s="50"/>
    </row>
    <row r="38" spans="1:5" ht="18.95" customHeight="1" thickBot="1">
      <c r="A38" s="34">
        <v>3</v>
      </c>
      <c r="B38" s="42" t="s">
        <v>642</v>
      </c>
      <c r="C38" s="57">
        <f>C34-C36</f>
        <v>79459270.630592257</v>
      </c>
      <c r="D38" s="62"/>
      <c r="E38" s="57">
        <f>E34-E36</f>
        <v>79459270.630592257</v>
      </c>
    </row>
    <row r="39" spans="1:5" ht="18.95" customHeight="1" thickTop="1">
      <c r="A39" s="34"/>
      <c r="B39" s="42"/>
      <c r="C39" s="50"/>
      <c r="D39" s="50"/>
      <c r="E39" s="50"/>
    </row>
    <row r="40" spans="1:5" ht="18.95" customHeight="1" thickBot="1">
      <c r="A40" s="34">
        <v>4</v>
      </c>
      <c r="B40" s="42" t="s">
        <v>280</v>
      </c>
      <c r="C40" s="57">
        <f>C38*0.125</f>
        <v>9932408.8288240321</v>
      </c>
      <c r="D40" s="50"/>
      <c r="E40" s="57">
        <f>E38*0.125</f>
        <v>9932408.8288240321</v>
      </c>
    </row>
    <row r="41" spans="1:5" ht="18.95" customHeight="1" thickTop="1">
      <c r="A41" s="34"/>
      <c r="B41" s="42"/>
      <c r="C41" s="50"/>
      <c r="D41" s="50"/>
      <c r="E41" s="50"/>
    </row>
    <row r="42" spans="1:5">
      <c r="B42" s="85"/>
    </row>
  </sheetData>
  <mergeCells count="8">
    <mergeCell ref="A23:E23"/>
    <mergeCell ref="A24:E24"/>
    <mergeCell ref="A25:E25"/>
    <mergeCell ref="A1:E1"/>
    <mergeCell ref="A2:E2"/>
    <mergeCell ref="A3:E3"/>
    <mergeCell ref="A4:E4"/>
    <mergeCell ref="A22:E22"/>
  </mergeCells>
  <pageMargins left="0.95" right="0.5" top="0.75" bottom="0.75" header="0.3" footer="0.3"/>
  <pageSetup scale="87" fitToHeight="0" orientation="portrait" r:id="rId1"/>
  <rowBreaks count="1" manualBreakCount="1">
    <brk id="21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H38"/>
  <sheetViews>
    <sheetView zoomScaleNormal="100" workbookViewId="0">
      <selection activeCell="A7" sqref="A7"/>
    </sheetView>
  </sheetViews>
  <sheetFormatPr defaultColWidth="9" defaultRowHeight="12.75"/>
  <cols>
    <col min="1" max="1" width="6" style="33" customWidth="1"/>
    <col min="2" max="2" width="11.77734375" style="33" customWidth="1"/>
    <col min="3" max="3" width="34.21875" style="33" customWidth="1"/>
    <col min="4" max="4" width="11.21875" style="33" customWidth="1"/>
    <col min="5" max="5" width="13.6640625" style="33" customWidth="1"/>
    <col min="6" max="6" width="16.109375" style="33" customWidth="1"/>
    <col min="7" max="7" width="15.109375" style="33" customWidth="1"/>
    <col min="8" max="8" width="13.6640625" style="33" customWidth="1"/>
    <col min="9" max="9" width="1.6640625" style="33" customWidth="1"/>
    <col min="10" max="16384" width="9" style="33"/>
  </cols>
  <sheetData>
    <row r="1" spans="1:8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  <c r="G1" s="494"/>
      <c r="H1" s="494"/>
    </row>
    <row r="2" spans="1:8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  <c r="G2" s="494"/>
      <c r="H2" s="494"/>
    </row>
    <row r="3" spans="1:8" s="32" customFormat="1" ht="20.100000000000001" customHeight="1">
      <c r="A3" s="494" t="s">
        <v>282</v>
      </c>
      <c r="B3" s="494"/>
      <c r="C3" s="494"/>
      <c r="D3" s="494"/>
      <c r="E3" s="494"/>
      <c r="F3" s="494"/>
      <c r="G3" s="494"/>
      <c r="H3" s="494"/>
    </row>
    <row r="4" spans="1:8" s="32" customFormat="1" ht="20.100000000000001" customHeight="1">
      <c r="A4" s="494" t="str">
        <f>'Rate Case Constants'!C12</f>
        <v>AS OF FEBRUARY 28, 2017</v>
      </c>
      <c r="B4" s="494"/>
      <c r="C4" s="494"/>
      <c r="D4" s="494"/>
      <c r="E4" s="494"/>
      <c r="F4" s="494"/>
      <c r="G4" s="494"/>
      <c r="H4" s="494"/>
    </row>
    <row r="5" spans="1:8" s="32" customFormat="1" ht="20.100000000000001" customHeight="1">
      <c r="A5" s="69"/>
      <c r="B5" s="69"/>
      <c r="C5" s="69"/>
      <c r="D5" s="69"/>
      <c r="E5" s="69"/>
      <c r="F5" s="69"/>
      <c r="G5" s="69"/>
      <c r="H5" s="69"/>
    </row>
    <row r="6" spans="1:8" s="32" customFormat="1" ht="20.100000000000001" customHeight="1">
      <c r="A6" s="31" t="s">
        <v>31</v>
      </c>
      <c r="B6" s="31"/>
      <c r="G6" s="38"/>
      <c r="H6" s="38" t="s">
        <v>281</v>
      </c>
    </row>
    <row r="7" spans="1:8" s="32" customFormat="1" ht="20.100000000000001" customHeight="1">
      <c r="A7" s="376" t="s">
        <v>54</v>
      </c>
      <c r="G7" s="38"/>
      <c r="H7" s="38" t="s">
        <v>64</v>
      </c>
    </row>
    <row r="8" spans="1:8" s="32" customFormat="1" ht="20.100000000000001" customHeight="1">
      <c r="A8" s="31" t="s">
        <v>259</v>
      </c>
      <c r="B8" s="31"/>
      <c r="F8" s="31"/>
      <c r="G8" s="39"/>
      <c r="H8" s="39" t="str">
        <f>'Rate Case Constants'!C36</f>
        <v>WITNESS:   C. M. GARRETT</v>
      </c>
    </row>
    <row r="9" spans="1:8" s="32" customFormat="1" ht="20.100000000000001" customHeight="1"/>
    <row r="10" spans="1:8" ht="69.95" customHeight="1">
      <c r="A10" s="40" t="s">
        <v>29</v>
      </c>
      <c r="B10" s="40" t="s">
        <v>32</v>
      </c>
      <c r="C10" s="43" t="s">
        <v>92</v>
      </c>
      <c r="D10" s="40" t="s">
        <v>110</v>
      </c>
      <c r="E10" s="40" t="s">
        <v>111</v>
      </c>
      <c r="F10" s="40" t="s">
        <v>112</v>
      </c>
      <c r="G10" s="40" t="s">
        <v>113</v>
      </c>
      <c r="H10" s="40" t="s">
        <v>114</v>
      </c>
    </row>
    <row r="11" spans="1:8" ht="23.1" customHeight="1">
      <c r="A11" s="44"/>
      <c r="B11" s="44"/>
      <c r="C11" s="45"/>
      <c r="D11" s="46" t="s">
        <v>40</v>
      </c>
      <c r="E11" s="46"/>
      <c r="F11" s="46" t="s">
        <v>40</v>
      </c>
      <c r="G11" s="46" t="s">
        <v>40</v>
      </c>
      <c r="H11" s="46" t="s">
        <v>40</v>
      </c>
    </row>
    <row r="12" spans="1:8" ht="23.1" customHeight="1">
      <c r="A12" s="37">
        <v>1</v>
      </c>
      <c r="B12" s="37">
        <v>252</v>
      </c>
      <c r="C12" s="42" t="s">
        <v>144</v>
      </c>
      <c r="D12" s="50">
        <f>SUM(INV!N$43:N$44)*1000</f>
        <v>5333825.2990410374</v>
      </c>
      <c r="E12" s="62">
        <v>1</v>
      </c>
      <c r="F12" s="50">
        <f>D12*E12</f>
        <v>5333825.2990410374</v>
      </c>
      <c r="G12" s="50">
        <v>0</v>
      </c>
      <c r="H12" s="50">
        <f>SUM(F12:G12)</f>
        <v>5333825.2990410374</v>
      </c>
    </row>
    <row r="13" spans="1:8" ht="18.95" customHeight="1">
      <c r="A13" s="34"/>
      <c r="B13" s="35"/>
      <c r="C13" s="42"/>
      <c r="D13" s="50"/>
      <c r="E13" s="62"/>
      <c r="F13" s="50"/>
      <c r="G13" s="50"/>
      <c r="H13" s="50"/>
    </row>
    <row r="14" spans="1:8" ht="18.95" customHeight="1">
      <c r="A14" s="34">
        <v>2</v>
      </c>
      <c r="B14" s="35">
        <v>255</v>
      </c>
      <c r="C14" s="42" t="s">
        <v>283</v>
      </c>
      <c r="D14" s="50"/>
      <c r="E14" s="62">
        <v>1</v>
      </c>
      <c r="F14" s="50">
        <f>D14*E14</f>
        <v>0</v>
      </c>
      <c r="G14" s="50">
        <v>0</v>
      </c>
      <c r="H14" s="50">
        <f t="shared" ref="H14" si="0">SUM(F14:G14)</f>
        <v>0</v>
      </c>
    </row>
    <row r="15" spans="1:8" ht="18.95" customHeight="1">
      <c r="A15" s="34"/>
      <c r="B15" s="35"/>
      <c r="C15" s="42"/>
      <c r="D15" s="50"/>
      <c r="E15" s="62"/>
      <c r="F15" s="50"/>
      <c r="G15" s="50"/>
      <c r="H15" s="50"/>
    </row>
    <row r="16" spans="1:8" ht="18.95" customHeight="1">
      <c r="A16" s="34">
        <v>3</v>
      </c>
      <c r="B16" s="34" t="s">
        <v>293</v>
      </c>
      <c r="C16" s="42" t="s">
        <v>1053</v>
      </c>
      <c r="D16" s="50">
        <f>'DefTax B'!B9</f>
        <v>212885940.06410787</v>
      </c>
      <c r="E16" s="62">
        <v>1</v>
      </c>
      <c r="F16" s="50">
        <f>D16*E16</f>
        <v>212885940.06410787</v>
      </c>
      <c r="G16" s="50">
        <f>'GLT DEFTAX'!P3</f>
        <v>-36037047.003845297</v>
      </c>
      <c r="H16" s="50">
        <f t="shared" ref="H16" si="1">SUM(F16:G16)</f>
        <v>176848893.06026256</v>
      </c>
    </row>
    <row r="17" spans="1:8" ht="18.95" customHeight="1">
      <c r="A17" s="34"/>
      <c r="B17" s="34"/>
      <c r="C17" s="42"/>
      <c r="D17" s="50"/>
      <c r="E17" s="62"/>
      <c r="F17" s="50"/>
      <c r="G17" s="50"/>
      <c r="H17" s="50"/>
    </row>
    <row r="18" spans="1:8" ht="18.95" customHeight="1">
      <c r="A18" s="34"/>
      <c r="B18" s="34"/>
      <c r="C18" s="31" t="s">
        <v>1695</v>
      </c>
      <c r="D18" s="50"/>
      <c r="E18" s="62"/>
      <c r="F18" s="50"/>
      <c r="G18" s="50"/>
      <c r="H18" s="50"/>
    </row>
    <row r="19" spans="1:8" ht="18.95" customHeight="1">
      <c r="A19" s="34"/>
      <c r="B19" s="34"/>
      <c r="C19" s="42"/>
      <c r="D19" s="50"/>
      <c r="E19" s="50"/>
      <c r="F19" s="50"/>
      <c r="G19" s="50"/>
      <c r="H19" s="50"/>
    </row>
    <row r="20" spans="1:8" s="32" customFormat="1" ht="19.5" customHeight="1">
      <c r="A20" s="494" t="str">
        <f>$A$1</f>
        <v>LOUISVILLE GAS AND ELECTRIC COMPANY</v>
      </c>
      <c r="B20" s="494"/>
      <c r="C20" s="494"/>
      <c r="D20" s="494"/>
      <c r="E20" s="494"/>
      <c r="F20" s="494"/>
      <c r="G20" s="494"/>
      <c r="H20" s="494"/>
    </row>
    <row r="21" spans="1:8" s="32" customFormat="1" ht="20.100000000000001" customHeight="1">
      <c r="A21" s="494" t="str">
        <f>$A$2</f>
        <v>CASE NO. 2016-00371 - GAS OPERATIONS</v>
      </c>
      <c r="B21" s="494"/>
      <c r="C21" s="494"/>
      <c r="D21" s="494"/>
      <c r="E21" s="494"/>
      <c r="F21" s="494"/>
      <c r="G21" s="494"/>
      <c r="H21" s="494"/>
    </row>
    <row r="22" spans="1:8" s="32" customFormat="1" ht="20.100000000000001" customHeight="1">
      <c r="A22" s="494" t="str">
        <f>A3</f>
        <v>CERTAIN DEFERRED CREDITS AND ACCUMULATED DEFERRED INCOME TAXES</v>
      </c>
      <c r="B22" s="494"/>
      <c r="C22" s="494"/>
      <c r="D22" s="494"/>
      <c r="E22" s="494"/>
      <c r="F22" s="494"/>
      <c r="G22" s="494"/>
      <c r="H22" s="494"/>
    </row>
    <row r="23" spans="1:8" s="32" customFormat="1" ht="20.100000000000001" customHeight="1">
      <c r="A23" s="493" t="str">
        <f>'Rate Case Constants'!C18</f>
        <v>AS OF JUNE 30, 2018</v>
      </c>
      <c r="B23" s="494"/>
      <c r="C23" s="494"/>
      <c r="D23" s="494"/>
      <c r="E23" s="494"/>
      <c r="F23" s="494"/>
      <c r="G23" s="494"/>
      <c r="H23" s="494"/>
    </row>
    <row r="24" spans="1:8" s="32" customFormat="1" ht="20.100000000000001" customHeight="1">
      <c r="A24" s="69"/>
      <c r="B24" s="69"/>
      <c r="C24" s="69"/>
      <c r="D24" s="69"/>
      <c r="E24" s="69"/>
      <c r="F24" s="69"/>
      <c r="G24" s="69"/>
      <c r="H24" s="69"/>
    </row>
    <row r="25" spans="1:8" s="32" customFormat="1" ht="20.100000000000001" customHeight="1">
      <c r="A25" s="31" t="s">
        <v>48</v>
      </c>
      <c r="B25" s="31"/>
      <c r="G25" s="38"/>
      <c r="H25" s="38" t="s">
        <v>281</v>
      </c>
    </row>
    <row r="26" spans="1:8" s="32" customFormat="1" ht="20.100000000000001" customHeight="1">
      <c r="A26" s="32" t="str">
        <f>$A$7</f>
        <v>TYPE OF FILING: _____ ORIGINAL  _____ UPDATED  __X__ REVISED</v>
      </c>
      <c r="G26" s="38"/>
      <c r="H26" s="38" t="s">
        <v>72</v>
      </c>
    </row>
    <row r="27" spans="1:8" s="32" customFormat="1" ht="20.100000000000001" customHeight="1">
      <c r="A27" s="31" t="s">
        <v>259</v>
      </c>
      <c r="B27" s="31"/>
      <c r="F27" s="31"/>
      <c r="G27" s="39"/>
      <c r="H27" s="39" t="str">
        <f>$H$8</f>
        <v>WITNESS:   C. M. GARRETT</v>
      </c>
    </row>
    <row r="28" spans="1:8" s="32" customFormat="1" ht="20.100000000000001" customHeight="1"/>
    <row r="29" spans="1:8" ht="69.95" customHeight="1">
      <c r="A29" s="40" t="s">
        <v>29</v>
      </c>
      <c r="B29" s="40" t="s">
        <v>32</v>
      </c>
      <c r="C29" s="43" t="s">
        <v>92</v>
      </c>
      <c r="D29" s="40" t="s">
        <v>294</v>
      </c>
      <c r="E29" s="40" t="s">
        <v>111</v>
      </c>
      <c r="F29" s="40" t="s">
        <v>112</v>
      </c>
      <c r="G29" s="40" t="s">
        <v>113</v>
      </c>
      <c r="H29" s="40" t="s">
        <v>114</v>
      </c>
    </row>
    <row r="30" spans="1:8" ht="23.1" customHeight="1">
      <c r="A30" s="44"/>
      <c r="B30" s="44"/>
      <c r="C30" s="45"/>
      <c r="D30" s="46" t="s">
        <v>40</v>
      </c>
      <c r="E30" s="46"/>
      <c r="F30" s="46" t="s">
        <v>40</v>
      </c>
      <c r="G30" s="46" t="s">
        <v>40</v>
      </c>
      <c r="H30" s="46" t="s">
        <v>40</v>
      </c>
    </row>
    <row r="31" spans="1:8" ht="23.1" customHeight="1">
      <c r="A31" s="37">
        <v>1</v>
      </c>
      <c r="B31" s="37">
        <v>252</v>
      </c>
      <c r="C31" s="42" t="s">
        <v>144</v>
      </c>
      <c r="D31" s="50">
        <f>SUM(INV!AC43:AC44)*1000</f>
        <v>5333825.2990410374</v>
      </c>
      <c r="E31" s="62">
        <v>1</v>
      </c>
      <c r="F31" s="50">
        <f>D31*E31</f>
        <v>5333825.2990410374</v>
      </c>
      <c r="G31" s="50">
        <v>0</v>
      </c>
      <c r="H31" s="50">
        <f>SUM(F31:G31)</f>
        <v>5333825.2990410374</v>
      </c>
    </row>
    <row r="32" spans="1:8" ht="18.95" customHeight="1">
      <c r="A32" s="34"/>
      <c r="B32" s="35"/>
      <c r="C32" s="42"/>
      <c r="D32" s="50"/>
      <c r="E32" s="62"/>
      <c r="F32" s="50"/>
      <c r="G32" s="50"/>
      <c r="H32" s="50"/>
    </row>
    <row r="33" spans="1:8" ht="18.95" customHeight="1">
      <c r="A33" s="34">
        <v>2</v>
      </c>
      <c r="B33" s="35">
        <v>255</v>
      </c>
      <c r="C33" s="42" t="s">
        <v>283</v>
      </c>
      <c r="D33" s="50"/>
      <c r="E33" s="62">
        <v>1</v>
      </c>
      <c r="F33" s="50">
        <f>D33*E33</f>
        <v>0</v>
      </c>
      <c r="G33" s="50">
        <v>0</v>
      </c>
      <c r="H33" s="50">
        <f t="shared" ref="H33" si="2">SUM(F33:G33)</f>
        <v>0</v>
      </c>
    </row>
    <row r="34" spans="1:8" ht="18.95" customHeight="1">
      <c r="A34" s="34"/>
      <c r="B34" s="35"/>
      <c r="C34" s="42"/>
      <c r="D34" s="50"/>
      <c r="E34" s="62"/>
      <c r="F34" s="50"/>
      <c r="G34" s="50"/>
      <c r="H34" s="50"/>
    </row>
    <row r="35" spans="1:8" ht="18.95" customHeight="1">
      <c r="A35" s="34">
        <v>3</v>
      </c>
      <c r="B35" s="34" t="s">
        <v>293</v>
      </c>
      <c r="C35" s="42" t="s">
        <v>1053</v>
      </c>
      <c r="D35" s="50">
        <f>'DefTax F'!O9</f>
        <v>228599464.09910825</v>
      </c>
      <c r="E35" s="62">
        <v>1</v>
      </c>
      <c r="F35" s="50">
        <f>D35*E35</f>
        <v>228599464.09910825</v>
      </c>
      <c r="G35" s="50">
        <f>'GLT DEFTAX'!AH3</f>
        <v>-6248190.948206611</v>
      </c>
      <c r="H35" s="50">
        <f t="shared" ref="H35" si="3">SUM(F35:G35)</f>
        <v>222351273.15090165</v>
      </c>
    </row>
    <row r="36" spans="1:8" ht="18.95" customHeight="1">
      <c r="A36" s="34"/>
      <c r="B36" s="34"/>
      <c r="C36" s="42"/>
      <c r="D36" s="50"/>
      <c r="E36" s="50"/>
      <c r="F36" s="50"/>
      <c r="G36" s="50"/>
      <c r="H36" s="50"/>
    </row>
    <row r="37" spans="1:8" ht="18.95" customHeight="1">
      <c r="C37" s="31" t="s">
        <v>1695</v>
      </c>
    </row>
    <row r="38" spans="1:8" ht="18.95" customHeight="1"/>
  </sheetData>
  <mergeCells count="8">
    <mergeCell ref="A20:H20"/>
    <mergeCell ref="A21:H21"/>
    <mergeCell ref="A22:H22"/>
    <mergeCell ref="A23:H23"/>
    <mergeCell ref="A1:H1"/>
    <mergeCell ref="A2:H2"/>
    <mergeCell ref="A3:H3"/>
    <mergeCell ref="A4:H4"/>
  </mergeCells>
  <pageMargins left="0.95" right="0.5" top="0.75" bottom="0.75" header="0.3" footer="0.3"/>
  <pageSetup scale="68" fitToHeight="0" orientation="portrait" r:id="rId1"/>
  <rowBreaks count="1" manualBreakCount="1">
    <brk id="1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3" tint="0.59999389629810485"/>
  </sheetPr>
  <dimension ref="A1"/>
  <sheetViews>
    <sheetView workbookViewId="0">
      <selection activeCell="G40" sqref="G40"/>
    </sheetView>
  </sheetViews>
  <sheetFormatPr defaultColWidth="9" defaultRowHeight="12.75"/>
  <cols>
    <col min="1" max="16384" width="9" style="349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E18"/>
  <sheetViews>
    <sheetView zoomScaleNormal="100" workbookViewId="0">
      <selection activeCell="E16" sqref="E16"/>
    </sheetView>
  </sheetViews>
  <sheetFormatPr defaultColWidth="9" defaultRowHeight="12.75"/>
  <cols>
    <col min="1" max="1" width="6" style="33" customWidth="1"/>
    <col min="2" max="2" width="8" style="33" customWidth="1"/>
    <col min="3" max="3" width="34.21875" style="33" customWidth="1"/>
    <col min="4" max="4" width="13.6640625" style="33" customWidth="1"/>
    <col min="5" max="5" width="55.109375" style="33" customWidth="1"/>
    <col min="6" max="6" width="1.6640625" style="33" customWidth="1"/>
    <col min="7" max="16384" width="9" style="33"/>
  </cols>
  <sheetData>
    <row r="1" spans="1:5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</row>
    <row r="2" spans="1:5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</row>
    <row r="3" spans="1:5" s="32" customFormat="1" ht="20.100000000000001" customHeight="1">
      <c r="A3" s="494" t="s">
        <v>297</v>
      </c>
      <c r="B3" s="494"/>
      <c r="C3" s="494"/>
      <c r="D3" s="494"/>
      <c r="E3" s="494"/>
    </row>
    <row r="4" spans="1:5" s="32" customFormat="1" ht="20.100000000000001" customHeight="1">
      <c r="A4" s="493" t="str">
        <f>'Rate Case Constants'!C15</f>
        <v>BASE YEAR FOR THE 12 MONTHS ENDED FEBRUARY 28, 2017</v>
      </c>
      <c r="B4" s="493"/>
      <c r="C4" s="493"/>
      <c r="D4" s="493"/>
      <c r="E4" s="493"/>
    </row>
    <row r="5" spans="1:5" s="32" customFormat="1" ht="20.100000000000001" customHeight="1">
      <c r="A5" s="493" t="str">
        <f>'Rate Case Constants'!C21</f>
        <v>FORECAST PERIOD FOR THE 12 MONTHS ENDED JUNE 30, 2018</v>
      </c>
      <c r="B5" s="493"/>
      <c r="C5" s="493"/>
      <c r="D5" s="493"/>
      <c r="E5" s="493"/>
    </row>
    <row r="6" spans="1:5" s="32" customFormat="1" ht="20.100000000000001" customHeight="1">
      <c r="A6" s="69"/>
      <c r="B6" s="69"/>
      <c r="C6" s="69"/>
      <c r="D6" s="69"/>
      <c r="E6" s="69"/>
    </row>
    <row r="7" spans="1:5" s="32" customFormat="1" ht="20.100000000000001" customHeight="1">
      <c r="A7" s="31" t="s">
        <v>61</v>
      </c>
      <c r="B7" s="31"/>
      <c r="E7" s="38" t="s">
        <v>296</v>
      </c>
    </row>
    <row r="8" spans="1:5" s="32" customFormat="1" ht="20.100000000000001" customHeight="1">
      <c r="A8" s="32" t="str">
        <f>'Rate Case Constants'!C29</f>
        <v>TYPE OF FILING: __X__ ORIGINAL  _____ UPDATED  _____ REVISED</v>
      </c>
      <c r="E8" s="38" t="s">
        <v>63</v>
      </c>
    </row>
    <row r="9" spans="1:5" s="32" customFormat="1" ht="20.100000000000001" customHeight="1">
      <c r="A9" s="31" t="s">
        <v>259</v>
      </c>
      <c r="B9" s="31"/>
      <c r="E9" s="39" t="str">
        <f>'Rate Case Constants'!C36</f>
        <v>WITNESS:   C. M. GARRETT</v>
      </c>
    </row>
    <row r="10" spans="1:5" s="32" customFormat="1" ht="20.100000000000001" customHeight="1"/>
    <row r="11" spans="1:5" ht="58.5" customHeight="1">
      <c r="A11" s="40" t="s">
        <v>29</v>
      </c>
      <c r="B11" s="40" t="s">
        <v>32</v>
      </c>
      <c r="C11" s="43" t="s">
        <v>33</v>
      </c>
      <c r="D11" s="40" t="s">
        <v>111</v>
      </c>
      <c r="E11" s="40" t="s">
        <v>295</v>
      </c>
    </row>
    <row r="12" spans="1:5" ht="23.1" customHeight="1">
      <c r="A12" s="44"/>
      <c r="B12" s="44"/>
      <c r="C12" s="45"/>
      <c r="D12" s="46"/>
      <c r="E12" s="46"/>
    </row>
    <row r="13" spans="1:5" s="32" customFormat="1" ht="20.100000000000001" customHeight="1">
      <c r="A13" s="494" t="s">
        <v>630</v>
      </c>
      <c r="B13" s="494"/>
      <c r="C13" s="494"/>
      <c r="D13" s="494"/>
      <c r="E13" s="494"/>
    </row>
    <row r="14" spans="1:5" ht="18.95" customHeight="1">
      <c r="A14" s="34"/>
      <c r="B14" s="35"/>
      <c r="C14" s="42"/>
      <c r="D14" s="62"/>
      <c r="E14" s="50"/>
    </row>
    <row r="15" spans="1:5" ht="18.95" customHeight="1">
      <c r="A15" s="34"/>
      <c r="B15" s="35"/>
      <c r="C15" s="42"/>
      <c r="D15" s="62"/>
      <c r="E15" s="50"/>
    </row>
    <row r="16" spans="1:5" ht="18.95" customHeight="1">
      <c r="A16" s="34"/>
      <c r="B16" s="35"/>
      <c r="C16" s="42"/>
      <c r="D16" s="62"/>
      <c r="E16" s="50"/>
    </row>
    <row r="17" spans="1:5" ht="18.95" customHeight="1">
      <c r="A17" s="34"/>
      <c r="B17" s="34"/>
      <c r="C17" s="42"/>
      <c r="D17" s="62"/>
      <c r="E17" s="50"/>
    </row>
    <row r="18" spans="1:5" ht="18.95" customHeight="1">
      <c r="A18" s="34"/>
      <c r="B18" s="34"/>
      <c r="C18" s="42"/>
      <c r="D18" s="50"/>
      <c r="E18" s="50"/>
    </row>
  </sheetData>
  <mergeCells count="6">
    <mergeCell ref="A13:E13"/>
    <mergeCell ref="A5:E5"/>
    <mergeCell ref="A1:E1"/>
    <mergeCell ref="A2:E2"/>
    <mergeCell ref="A3:E3"/>
    <mergeCell ref="A4:E4"/>
  </mergeCells>
  <pageMargins left="0.95" right="0.5" top="0.75" bottom="0.75" header="0.3" footer="0.3"/>
  <pageSetup scale="71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G43"/>
  <sheetViews>
    <sheetView zoomScaleNormal="100" workbookViewId="0">
      <selection sqref="A1:G1"/>
    </sheetView>
  </sheetViews>
  <sheetFormatPr defaultColWidth="9" defaultRowHeight="12.75"/>
  <cols>
    <col min="1" max="1" width="6" style="33" customWidth="1"/>
    <col min="2" max="2" width="34.21875" style="33" customWidth="1"/>
    <col min="3" max="6" width="13.6640625" style="33" customWidth="1"/>
    <col min="7" max="7" width="15.21875" style="33" customWidth="1"/>
    <col min="8" max="8" width="1.6640625" style="33" customWidth="1"/>
    <col min="9" max="16384" width="9" style="33"/>
  </cols>
  <sheetData>
    <row r="1" spans="1:7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  <c r="G1" s="494"/>
    </row>
    <row r="2" spans="1:7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  <c r="G2" s="494"/>
    </row>
    <row r="3" spans="1:7" s="32" customFormat="1" ht="20.100000000000001" customHeight="1">
      <c r="A3" s="494" t="s">
        <v>312</v>
      </c>
      <c r="B3" s="494"/>
      <c r="C3" s="494"/>
      <c r="D3" s="494"/>
      <c r="E3" s="494"/>
      <c r="F3" s="494"/>
      <c r="G3" s="494"/>
    </row>
    <row r="4" spans="1:7" s="32" customFormat="1" ht="20.100000000000001" customHeight="1">
      <c r="A4" s="493" t="str">
        <f>'Rate Case Constants'!C15</f>
        <v>BASE YEAR FOR THE 12 MONTHS ENDED FEBRUARY 28, 2017</v>
      </c>
      <c r="B4" s="493"/>
      <c r="C4" s="493"/>
      <c r="D4" s="493"/>
      <c r="E4" s="493"/>
      <c r="F4" s="493"/>
      <c r="G4" s="493"/>
    </row>
    <row r="5" spans="1:7" s="32" customFormat="1" ht="20.100000000000001" customHeight="1">
      <c r="A5" s="493" t="str">
        <f>'Rate Case Constants'!C21</f>
        <v>FORECAST PERIOD FOR THE 12 MONTHS ENDED JUNE 30, 2018</v>
      </c>
      <c r="B5" s="493"/>
      <c r="C5" s="493"/>
      <c r="D5" s="493"/>
      <c r="E5" s="493"/>
      <c r="F5" s="493"/>
      <c r="G5" s="493"/>
    </row>
    <row r="6" spans="1:7" s="32" customFormat="1" ht="20.100000000000001" customHeight="1">
      <c r="A6" s="80"/>
      <c r="B6" s="80"/>
      <c r="C6" s="80"/>
      <c r="D6" s="80"/>
      <c r="E6" s="80"/>
      <c r="F6" s="80"/>
      <c r="G6" s="80"/>
    </row>
    <row r="7" spans="1:7" s="32" customFormat="1" ht="20.100000000000001" customHeight="1">
      <c r="A7" s="31" t="s">
        <v>61</v>
      </c>
      <c r="G7" s="38" t="s">
        <v>311</v>
      </c>
    </row>
    <row r="8" spans="1:7" s="32" customFormat="1" ht="20.100000000000001" customHeight="1">
      <c r="A8" s="32" t="str">
        <f>'Rate Case Constants'!C29</f>
        <v>TYPE OF FILING: __X__ ORIGINAL  _____ UPDATED  _____ REVISED</v>
      </c>
      <c r="G8" s="38" t="s">
        <v>63</v>
      </c>
    </row>
    <row r="9" spans="1:7" s="32" customFormat="1" ht="20.100000000000001" customHeight="1">
      <c r="A9" s="31" t="s">
        <v>259</v>
      </c>
      <c r="G9" s="39" t="str">
        <f>'Rate Case Constants'!C36</f>
        <v>WITNESS:   C. M. GARRETT</v>
      </c>
    </row>
    <row r="10" spans="1:7" s="32" customFormat="1" ht="20.100000000000001" customHeight="1"/>
    <row r="11" spans="1:7" ht="58.5" customHeight="1">
      <c r="A11" s="40" t="s">
        <v>29</v>
      </c>
      <c r="B11" s="43" t="s">
        <v>313</v>
      </c>
      <c r="C11" s="40" t="s">
        <v>314</v>
      </c>
      <c r="D11" s="40" t="s">
        <v>315</v>
      </c>
      <c r="E11" s="40" t="s">
        <v>316</v>
      </c>
      <c r="F11" s="40" t="s">
        <v>318</v>
      </c>
      <c r="G11" s="40" t="s">
        <v>319</v>
      </c>
    </row>
    <row r="12" spans="1:7" ht="23.1" customHeight="1">
      <c r="A12" s="44" t="s">
        <v>176</v>
      </c>
      <c r="B12" s="44" t="s">
        <v>177</v>
      </c>
      <c r="C12" s="44" t="s">
        <v>180</v>
      </c>
      <c r="D12" s="44" t="s">
        <v>188</v>
      </c>
      <c r="E12" s="44" t="s">
        <v>317</v>
      </c>
      <c r="F12" s="44" t="s">
        <v>190</v>
      </c>
      <c r="G12" s="44" t="s">
        <v>320</v>
      </c>
    </row>
    <row r="13" spans="1:7" ht="23.1" customHeight="1">
      <c r="A13" s="37"/>
      <c r="B13" s="37"/>
      <c r="C13" s="37"/>
      <c r="D13" s="37"/>
      <c r="E13" s="37"/>
      <c r="F13" s="37"/>
      <c r="G13" s="37"/>
    </row>
    <row r="14" spans="1:7" s="32" customFormat="1" ht="20.100000000000001" customHeight="1">
      <c r="A14" s="494" t="s">
        <v>630</v>
      </c>
      <c r="B14" s="494"/>
      <c r="C14" s="494"/>
      <c r="D14" s="494"/>
      <c r="E14" s="494"/>
      <c r="F14" s="494"/>
      <c r="G14" s="494"/>
    </row>
    <row r="15" spans="1:7" ht="18.95" customHeight="1">
      <c r="A15" s="34"/>
      <c r="B15" s="42"/>
      <c r="C15" s="50"/>
      <c r="D15" s="50"/>
      <c r="E15" s="50"/>
      <c r="F15" s="50"/>
      <c r="G15" s="62"/>
    </row>
    <row r="16" spans="1:7" ht="18.95" customHeight="1">
      <c r="A16" s="34"/>
      <c r="B16" s="42"/>
      <c r="C16" s="50"/>
      <c r="D16" s="50"/>
      <c r="E16" s="50"/>
      <c r="F16" s="50"/>
      <c r="G16" s="62"/>
    </row>
    <row r="17" spans="1:7" ht="18.95" customHeight="1">
      <c r="A17" s="34"/>
      <c r="B17" s="42"/>
      <c r="C17" s="50"/>
      <c r="D17" s="50"/>
      <c r="E17" s="50"/>
      <c r="F17" s="50"/>
      <c r="G17" s="62"/>
    </row>
    <row r="18" spans="1:7" ht="18.95" customHeight="1">
      <c r="A18" s="34"/>
      <c r="B18" s="42"/>
      <c r="C18" s="50"/>
      <c r="D18" s="50"/>
      <c r="E18" s="50"/>
      <c r="F18" s="50"/>
      <c r="G18" s="62"/>
    </row>
    <row r="19" spans="1:7" ht="18.95" customHeight="1">
      <c r="A19" s="34"/>
      <c r="B19" s="42"/>
      <c r="C19" s="50"/>
      <c r="D19" s="50"/>
      <c r="E19" s="50"/>
      <c r="F19" s="50"/>
      <c r="G19" s="50"/>
    </row>
    <row r="20" spans="1:7">
      <c r="C20" s="50"/>
      <c r="D20" s="50"/>
      <c r="E20" s="50"/>
      <c r="F20" s="50"/>
    </row>
    <row r="21" spans="1:7">
      <c r="C21" s="50"/>
      <c r="D21" s="50"/>
      <c r="E21" s="50"/>
      <c r="F21" s="50"/>
    </row>
    <row r="22" spans="1:7">
      <c r="C22" s="50"/>
      <c r="D22" s="50"/>
      <c r="E22" s="50"/>
      <c r="F22" s="50"/>
    </row>
    <row r="23" spans="1:7">
      <c r="C23" s="50"/>
      <c r="D23" s="50"/>
      <c r="E23" s="50"/>
      <c r="F23" s="50"/>
    </row>
    <row r="24" spans="1:7">
      <c r="C24" s="50"/>
      <c r="D24" s="50"/>
      <c r="E24" s="50"/>
      <c r="F24" s="50"/>
    </row>
    <row r="25" spans="1:7">
      <c r="C25" s="50"/>
      <c r="D25" s="50"/>
      <c r="E25" s="50"/>
      <c r="F25" s="50"/>
    </row>
    <row r="26" spans="1:7">
      <c r="C26" s="50"/>
      <c r="D26" s="50"/>
      <c r="E26" s="50"/>
      <c r="F26" s="50"/>
    </row>
    <row r="27" spans="1:7">
      <c r="C27" s="50"/>
      <c r="D27" s="50"/>
      <c r="E27" s="50"/>
      <c r="F27" s="50"/>
    </row>
    <row r="28" spans="1:7">
      <c r="C28" s="50"/>
      <c r="D28" s="50"/>
      <c r="E28" s="50"/>
      <c r="F28" s="50"/>
    </row>
    <row r="29" spans="1:7">
      <c r="C29" s="50"/>
      <c r="D29" s="50"/>
      <c r="E29" s="50"/>
      <c r="F29" s="50"/>
    </row>
    <row r="30" spans="1:7">
      <c r="C30" s="50"/>
      <c r="D30" s="50"/>
      <c r="E30" s="50"/>
      <c r="F30" s="50"/>
    </row>
    <row r="31" spans="1:7">
      <c r="C31" s="50"/>
      <c r="D31" s="50"/>
      <c r="E31" s="50"/>
      <c r="F31" s="50"/>
    </row>
    <row r="32" spans="1:7">
      <c r="C32" s="50"/>
      <c r="D32" s="50"/>
      <c r="E32" s="50"/>
      <c r="F32" s="50"/>
    </row>
    <row r="33" spans="3:6">
      <c r="C33" s="50"/>
      <c r="D33" s="50"/>
      <c r="E33" s="50"/>
      <c r="F33" s="50"/>
    </row>
    <row r="34" spans="3:6">
      <c r="C34" s="50"/>
      <c r="D34" s="50"/>
      <c r="E34" s="50"/>
      <c r="F34" s="50"/>
    </row>
    <row r="35" spans="3:6">
      <c r="C35" s="50"/>
      <c r="D35" s="50"/>
      <c r="E35" s="50"/>
      <c r="F35" s="50"/>
    </row>
    <row r="36" spans="3:6">
      <c r="C36" s="50"/>
      <c r="D36" s="50"/>
      <c r="E36" s="50"/>
      <c r="F36" s="50"/>
    </row>
    <row r="37" spans="3:6">
      <c r="C37" s="50"/>
      <c r="D37" s="50"/>
      <c r="E37" s="50"/>
      <c r="F37" s="50"/>
    </row>
    <row r="38" spans="3:6">
      <c r="C38" s="50"/>
      <c r="D38" s="50"/>
      <c r="E38" s="50"/>
      <c r="F38" s="50"/>
    </row>
    <row r="39" spans="3:6">
      <c r="C39" s="50"/>
      <c r="D39" s="50"/>
      <c r="E39" s="50"/>
      <c r="F39" s="50"/>
    </row>
    <row r="40" spans="3:6">
      <c r="C40" s="50"/>
      <c r="D40" s="50"/>
      <c r="E40" s="50"/>
      <c r="F40" s="50"/>
    </row>
    <row r="41" spans="3:6">
      <c r="C41" s="50"/>
      <c r="D41" s="50"/>
      <c r="E41" s="50"/>
      <c r="F41" s="50"/>
    </row>
    <row r="42" spans="3:6">
      <c r="C42" s="50"/>
      <c r="D42" s="50"/>
      <c r="E42" s="50"/>
      <c r="F42" s="50"/>
    </row>
    <row r="43" spans="3:6">
      <c r="C43" s="50"/>
      <c r="D43" s="50"/>
      <c r="E43" s="50"/>
      <c r="F43" s="50"/>
    </row>
  </sheetData>
  <mergeCells count="6">
    <mergeCell ref="A14:G14"/>
    <mergeCell ref="A1:G1"/>
    <mergeCell ref="A2:G2"/>
    <mergeCell ref="A3:G3"/>
    <mergeCell ref="A4:G4"/>
    <mergeCell ref="A5:G5"/>
  </mergeCells>
  <pageMargins left="0.95" right="0.5" top="0.75" bottom="0.75" header="0.3" footer="0.3"/>
  <pageSetup scale="75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E18"/>
  <sheetViews>
    <sheetView zoomScaleNormal="100" workbookViewId="0">
      <selection activeCell="E27" sqref="E27"/>
    </sheetView>
  </sheetViews>
  <sheetFormatPr defaultColWidth="9" defaultRowHeight="12.75"/>
  <cols>
    <col min="1" max="1" width="6" style="33" customWidth="1"/>
    <col min="2" max="2" width="8" style="33" customWidth="1"/>
    <col min="3" max="3" width="26.44140625" style="33" customWidth="1"/>
    <col min="4" max="4" width="38.6640625" style="33" customWidth="1"/>
    <col min="5" max="5" width="36.77734375" style="33" customWidth="1"/>
    <col min="6" max="6" width="1.6640625" style="33" customWidth="1"/>
    <col min="7" max="16384" width="9" style="33"/>
  </cols>
  <sheetData>
    <row r="1" spans="1:5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</row>
    <row r="2" spans="1:5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</row>
    <row r="3" spans="1:5" s="32" customFormat="1" ht="20.100000000000001" customHeight="1">
      <c r="A3" s="494" t="s">
        <v>323</v>
      </c>
      <c r="B3" s="494"/>
      <c r="C3" s="494"/>
      <c r="D3" s="494"/>
      <c r="E3" s="494"/>
    </row>
    <row r="4" spans="1:5" s="32" customFormat="1" ht="20.100000000000001" customHeight="1">
      <c r="A4" s="493" t="str">
        <f>'Rate Case Constants'!C15</f>
        <v>BASE YEAR FOR THE 12 MONTHS ENDED FEBRUARY 28, 2017</v>
      </c>
      <c r="B4" s="493"/>
      <c r="C4" s="493"/>
      <c r="D4" s="493"/>
      <c r="E4" s="493"/>
    </row>
    <row r="5" spans="1:5" s="32" customFormat="1" ht="20.100000000000001" customHeight="1">
      <c r="A5" s="493" t="str">
        <f>'Rate Case Constants'!C21</f>
        <v>FORECAST PERIOD FOR THE 12 MONTHS ENDED JUNE 30, 2018</v>
      </c>
      <c r="B5" s="493"/>
      <c r="C5" s="493"/>
      <c r="D5" s="493"/>
      <c r="E5" s="493"/>
    </row>
    <row r="6" spans="1:5" s="32" customFormat="1" ht="20.100000000000001" customHeight="1">
      <c r="A6" s="80"/>
      <c r="B6" s="80"/>
      <c r="C6" s="80"/>
      <c r="D6" s="80"/>
      <c r="E6" s="80"/>
    </row>
    <row r="7" spans="1:5" s="32" customFormat="1" ht="20.100000000000001" customHeight="1">
      <c r="A7" s="31" t="s">
        <v>61</v>
      </c>
      <c r="B7" s="31"/>
      <c r="D7" s="38"/>
      <c r="E7" s="38" t="s">
        <v>324</v>
      </c>
    </row>
    <row r="8" spans="1:5" s="32" customFormat="1" ht="20.100000000000001" customHeight="1">
      <c r="A8" s="32" t="str">
        <f>'Rate Case Constants'!C29</f>
        <v>TYPE OF FILING: __X__ ORIGINAL  _____ UPDATED  _____ REVISED</v>
      </c>
      <c r="D8" s="38"/>
      <c r="E8" s="38" t="s">
        <v>63</v>
      </c>
    </row>
    <row r="9" spans="1:5" s="32" customFormat="1" ht="20.100000000000001" customHeight="1">
      <c r="A9" s="31" t="s">
        <v>259</v>
      </c>
      <c r="B9" s="31"/>
      <c r="D9" s="39"/>
      <c r="E9" s="39" t="str">
        <f>'Rate Case Constants'!C36</f>
        <v>WITNESS:   C. M. GARRETT</v>
      </c>
    </row>
    <row r="10" spans="1:5" s="32" customFormat="1" ht="20.100000000000001" customHeight="1"/>
    <row r="11" spans="1:5" ht="58.5" customHeight="1">
      <c r="A11" s="40" t="s">
        <v>29</v>
      </c>
      <c r="B11" s="40" t="s">
        <v>32</v>
      </c>
      <c r="C11" s="43" t="s">
        <v>92</v>
      </c>
      <c r="D11" s="40" t="s">
        <v>321</v>
      </c>
      <c r="E11" s="40" t="s">
        <v>322</v>
      </c>
    </row>
    <row r="12" spans="1:5" ht="23.1" customHeight="1">
      <c r="A12" s="44"/>
      <c r="B12" s="44"/>
      <c r="C12" s="45"/>
      <c r="D12" s="46"/>
      <c r="E12" s="46"/>
    </row>
    <row r="13" spans="1:5" s="32" customFormat="1" ht="20.100000000000001" customHeight="1">
      <c r="A13" s="494" t="s">
        <v>630</v>
      </c>
      <c r="B13" s="494"/>
      <c r="C13" s="494"/>
      <c r="D13" s="494"/>
      <c r="E13" s="494"/>
    </row>
    <row r="14" spans="1:5" ht="18.95" customHeight="1">
      <c r="A14" s="34"/>
      <c r="B14" s="35"/>
      <c r="C14" s="42"/>
      <c r="D14" s="50"/>
      <c r="E14" s="50"/>
    </row>
    <row r="15" spans="1:5" ht="18.95" customHeight="1">
      <c r="A15" s="34"/>
      <c r="B15" s="35"/>
      <c r="C15" s="42"/>
      <c r="D15" s="50"/>
      <c r="E15" s="50"/>
    </row>
    <row r="16" spans="1:5" ht="18.95" customHeight="1">
      <c r="A16" s="34"/>
      <c r="B16" s="35"/>
      <c r="C16" s="42"/>
      <c r="D16" s="50"/>
      <c r="E16" s="50"/>
    </row>
    <row r="17" spans="1:5" ht="18.95" customHeight="1">
      <c r="A17" s="34"/>
      <c r="B17" s="34"/>
      <c r="C17" s="42"/>
      <c r="D17" s="50"/>
      <c r="E17" s="50"/>
    </row>
    <row r="18" spans="1:5" ht="18.95" customHeight="1">
      <c r="A18" s="34"/>
      <c r="B18" s="34"/>
      <c r="C18" s="42"/>
      <c r="D18" s="50"/>
      <c r="E18" s="50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71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T2192"/>
  <sheetViews>
    <sheetView showRuler="0" zoomScale="70" zoomScaleNormal="70" workbookViewId="0">
      <selection activeCell="H78" sqref="H78"/>
    </sheetView>
  </sheetViews>
  <sheetFormatPr defaultColWidth="9" defaultRowHeight="12.75"/>
  <cols>
    <col min="1" max="1" width="5.33203125" style="138" customWidth="1"/>
    <col min="2" max="2" width="17.44140625" style="138" customWidth="1"/>
    <col min="3" max="3" width="22.21875" style="138" customWidth="1"/>
    <col min="4" max="4" width="16.21875" style="138" customWidth="1"/>
    <col min="5" max="5" width="11.6640625" style="138" customWidth="1"/>
    <col min="6" max="6" width="13.6640625" style="138" customWidth="1"/>
    <col min="7" max="7" width="11.6640625" style="138" customWidth="1"/>
    <col min="8" max="8" width="15.6640625" style="138" customWidth="1"/>
    <col min="9" max="9" width="11.6640625" style="138" customWidth="1"/>
    <col min="10" max="10" width="15.6640625" style="138" customWidth="1"/>
    <col min="11" max="11" width="11.6640625" style="138" customWidth="1"/>
    <col min="12" max="12" width="15.6640625" style="138" customWidth="1"/>
    <col min="13" max="13" width="11.6640625" style="138" customWidth="1"/>
    <col min="14" max="14" width="13.6640625" style="138" customWidth="1"/>
    <col min="15" max="15" width="11.6640625" style="138" customWidth="1"/>
    <col min="16" max="16" width="15.6640625" style="138" customWidth="1"/>
    <col min="17" max="17" width="5.44140625" style="138" customWidth="1"/>
    <col min="18" max="19" width="16.77734375" style="138" bestFit="1" customWidth="1"/>
    <col min="20" max="20" width="12.33203125" style="138" customWidth="1"/>
    <col min="21" max="21" width="13.21875" style="138" customWidth="1"/>
    <col min="22" max="22" width="9" style="138"/>
    <col min="23" max="24" width="16.77734375" style="138" bestFit="1" customWidth="1"/>
    <col min="25" max="25" width="9" style="138"/>
    <col min="26" max="26" width="16.77734375" style="138" bestFit="1" customWidth="1"/>
    <col min="27" max="27" width="17.109375" style="138" bestFit="1" customWidth="1"/>
    <col min="28" max="16384" width="9" style="138"/>
  </cols>
  <sheetData>
    <row r="1" spans="1:46" s="137" customFormat="1" ht="15" customHeight="1">
      <c r="A1" s="136" t="str">
        <f>'Rate Case Constants'!C9</f>
        <v>LOUISVILLE GAS AND ELECTRIC COMPANY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</row>
    <row r="2" spans="1:46" s="137" customFormat="1" ht="15" customHeight="1">
      <c r="A2" s="136" t="str">
        <f>'Rate Case Constants'!C10</f>
        <v>CASE NO. 2016-00371 - GAS OPERATIONS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</row>
    <row r="3" spans="1:46" s="137" customFormat="1" ht="15" customHeight="1">
      <c r="A3" s="136" t="s">
        <v>637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</row>
    <row r="4" spans="1:46" s="137" customFormat="1" ht="15" customHeight="1">
      <c r="A4" s="139" t="s">
        <v>1351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</row>
    <row r="5" spans="1:46" s="140" customFormat="1">
      <c r="B5" s="141"/>
      <c r="D5" s="84"/>
      <c r="E5" s="84"/>
      <c r="F5" s="84"/>
      <c r="G5" s="84"/>
      <c r="H5" s="84"/>
      <c r="I5" s="84"/>
      <c r="J5" s="84"/>
      <c r="K5" s="84"/>
      <c r="L5" s="84"/>
    </row>
    <row r="6" spans="1:46" s="137" customFormat="1" ht="15" customHeight="1">
      <c r="A6" s="31" t="s">
        <v>61</v>
      </c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42" t="s">
        <v>304</v>
      </c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</row>
    <row r="7" spans="1:46" s="137" customFormat="1" ht="15" customHeight="1">
      <c r="A7" s="138" t="str">
        <f>'Rate Case Constants'!C29</f>
        <v>TYPE OF FILING: __X__ ORIGINAL  _____ UPDATED  _____ REVISED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42" t="s">
        <v>1286</v>
      </c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</row>
    <row r="8" spans="1:46" s="137" customFormat="1" ht="15" customHeight="1">
      <c r="A8" s="138" t="s">
        <v>299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42" t="str">
        <f>'Rate Case Constants'!C36</f>
        <v>WITNESS:   C. M. GARRETT</v>
      </c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</row>
    <row r="9" spans="1:46" ht="15" customHeight="1" thickBot="1"/>
    <row r="10" spans="1:46" s="137" customFormat="1" ht="18" customHeight="1">
      <c r="A10" s="143"/>
      <c r="B10" s="143"/>
      <c r="C10" s="143"/>
      <c r="D10" s="146" t="s">
        <v>325</v>
      </c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</row>
    <row r="11" spans="1:46" s="137" customFormat="1" ht="18" customHeight="1">
      <c r="A11" s="144" t="s">
        <v>309</v>
      </c>
      <c r="B11" s="138"/>
      <c r="C11" s="138"/>
      <c r="D11" s="400" t="s">
        <v>305</v>
      </c>
      <c r="E11" s="138"/>
      <c r="F11" s="400" t="s">
        <v>308</v>
      </c>
      <c r="G11" s="138"/>
      <c r="H11" s="138"/>
      <c r="I11" s="138"/>
      <c r="J11" s="138"/>
      <c r="K11" s="138"/>
      <c r="L11" s="138"/>
      <c r="M11" s="138"/>
      <c r="N11" s="138"/>
      <c r="O11" s="138"/>
      <c r="P11" s="145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</row>
    <row r="12" spans="1:46" s="137" customFormat="1" ht="18" customHeight="1" thickBot="1">
      <c r="A12" s="144" t="s">
        <v>310</v>
      </c>
      <c r="B12" s="144" t="s">
        <v>92</v>
      </c>
      <c r="C12" s="138"/>
      <c r="D12" s="400" t="s">
        <v>306</v>
      </c>
      <c r="E12" s="400" t="s">
        <v>307</v>
      </c>
      <c r="F12" s="400" t="s">
        <v>306</v>
      </c>
      <c r="G12" s="144" t="s">
        <v>307</v>
      </c>
      <c r="H12" s="145">
        <v>2015</v>
      </c>
      <c r="I12" s="144" t="s">
        <v>307</v>
      </c>
      <c r="J12" s="145">
        <v>2014</v>
      </c>
      <c r="K12" s="144" t="s">
        <v>307</v>
      </c>
      <c r="L12" s="145">
        <v>2013</v>
      </c>
      <c r="M12" s="144" t="s">
        <v>307</v>
      </c>
      <c r="N12" s="145">
        <v>2012</v>
      </c>
      <c r="O12" s="144" t="s">
        <v>307</v>
      </c>
      <c r="P12" s="145">
        <v>2011</v>
      </c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</row>
    <row r="13" spans="1:46" s="137" customFormat="1" ht="15" customHeight="1">
      <c r="A13" s="146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</row>
    <row r="14" spans="1:46" s="137" customFormat="1" ht="15" customHeight="1">
      <c r="A14" s="144">
        <v>1</v>
      </c>
      <c r="B14" s="497" t="s">
        <v>335</v>
      </c>
      <c r="C14" s="497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</row>
    <row r="15" spans="1:46" s="137" customFormat="1" ht="15" customHeight="1">
      <c r="A15" s="144"/>
      <c r="B15" s="148"/>
      <c r="C15" s="14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66"/>
      <c r="S15" s="167"/>
      <c r="T15" s="167"/>
      <c r="U15" s="168"/>
      <c r="V15" s="149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</row>
    <row r="16" spans="1:46" s="137" customFormat="1" ht="15" customHeight="1">
      <c r="A16" s="144">
        <f>A14+1</f>
        <v>2</v>
      </c>
      <c r="B16" s="150" t="s">
        <v>284</v>
      </c>
      <c r="C16" s="138"/>
      <c r="D16" s="151"/>
      <c r="E16" s="152"/>
      <c r="F16" s="151"/>
      <c r="G16" s="152"/>
      <c r="H16" s="151"/>
      <c r="I16" s="152"/>
      <c r="J16" s="151"/>
      <c r="K16" s="152"/>
      <c r="L16" s="151"/>
      <c r="M16" s="152"/>
      <c r="N16" s="151"/>
      <c r="O16" s="152"/>
      <c r="P16" s="151"/>
      <c r="Q16" s="153"/>
      <c r="R16" s="112"/>
      <c r="S16" s="169"/>
      <c r="T16" s="169"/>
      <c r="U16" s="170"/>
      <c r="V16" s="149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</row>
    <row r="17" spans="1:46" s="137" customFormat="1" ht="15" customHeight="1">
      <c r="A17" s="144">
        <f t="shared" ref="A17:A21" si="0">A16+1</f>
        <v>3</v>
      </c>
      <c r="B17" s="138" t="s">
        <v>300</v>
      </c>
      <c r="C17" s="138"/>
      <c r="D17" s="94">
        <v>6959365809.3692312</v>
      </c>
      <c r="E17" s="154">
        <f t="shared" ref="E17:O21" si="1">(+D17-F17)/F17</f>
        <v>3.021960223247936E-2</v>
      </c>
      <c r="F17" s="94">
        <v>6755225579.3699999</v>
      </c>
      <c r="G17" s="154">
        <f t="shared" si="1"/>
        <v>0.10135119219951014</v>
      </c>
      <c r="H17" s="94">
        <v>6133579940</v>
      </c>
      <c r="I17" s="154">
        <f t="shared" si="1"/>
        <v>7.4851886070008478E-2</v>
      </c>
      <c r="J17" s="94">
        <v>5706441994</v>
      </c>
      <c r="K17" s="154">
        <f t="shared" si="1"/>
        <v>0.12551914089713595</v>
      </c>
      <c r="L17" s="94">
        <v>5070053264</v>
      </c>
      <c r="M17" s="154">
        <f t="shared" si="1"/>
        <v>3.8141913383808887E-2</v>
      </c>
      <c r="N17" s="94">
        <v>4883776677</v>
      </c>
      <c r="O17" s="154">
        <f t="shared" si="1"/>
        <v>4.3091900755634502E-2</v>
      </c>
      <c r="P17" s="94">
        <v>4682019555</v>
      </c>
      <c r="Q17" s="155"/>
      <c r="R17" s="88"/>
      <c r="S17" s="171"/>
      <c r="T17" s="171"/>
      <c r="U17" s="171"/>
      <c r="V17" s="156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</row>
    <row r="18" spans="1:46" s="137" customFormat="1" ht="15" customHeight="1">
      <c r="A18" s="333">
        <f t="shared" si="0"/>
        <v>4</v>
      </c>
      <c r="B18" s="138" t="s">
        <v>135</v>
      </c>
      <c r="C18" s="138"/>
      <c r="D18" s="399">
        <v>331294178.70769238</v>
      </c>
      <c r="E18" s="154">
        <f t="shared" si="1"/>
        <v>1.5809783103789739</v>
      </c>
      <c r="F18" s="399">
        <v>128359923.59</v>
      </c>
      <c r="G18" s="154">
        <f t="shared" si="1"/>
        <v>-0.67074239584612705</v>
      </c>
      <c r="H18" s="399">
        <v>389846497</v>
      </c>
      <c r="I18" s="154">
        <f t="shared" si="1"/>
        <v>-0.42357688285216749</v>
      </c>
      <c r="J18" s="399">
        <v>676320025</v>
      </c>
      <c r="K18" s="154">
        <f t="shared" si="1"/>
        <v>3.8204915583253188E-2</v>
      </c>
      <c r="L18" s="399">
        <v>651432116</v>
      </c>
      <c r="M18" s="154">
        <f t="shared" si="1"/>
        <v>1.5213659983766052</v>
      </c>
      <c r="N18" s="399">
        <v>258364758</v>
      </c>
      <c r="O18" s="154">
        <f t="shared" si="1"/>
        <v>0.20015378185224661</v>
      </c>
      <c r="P18" s="399">
        <v>215276377</v>
      </c>
      <c r="Q18" s="138"/>
      <c r="R18" s="88"/>
      <c r="S18" s="173"/>
      <c r="T18" s="173"/>
      <c r="U18" s="173"/>
      <c r="V18" s="156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</row>
    <row r="19" spans="1:46" s="137" customFormat="1" ht="15" customHeight="1">
      <c r="A19" s="144">
        <f t="shared" si="0"/>
        <v>5</v>
      </c>
      <c r="B19" s="138" t="s">
        <v>336</v>
      </c>
      <c r="C19" s="138"/>
      <c r="D19" s="86">
        <v>7290659988.0769234</v>
      </c>
      <c r="E19" s="154">
        <f t="shared" si="1"/>
        <v>5.9136983907859916E-2</v>
      </c>
      <c r="F19" s="86">
        <v>6883585502.96</v>
      </c>
      <c r="G19" s="154">
        <f t="shared" si="1"/>
        <v>5.5210106136435615E-2</v>
      </c>
      <c r="H19" s="86">
        <v>6523426437</v>
      </c>
      <c r="I19" s="154">
        <f t="shared" si="1"/>
        <v>2.2038173690523744E-2</v>
      </c>
      <c r="J19" s="86">
        <f>J17+J18</f>
        <v>6382762019</v>
      </c>
      <c r="K19" s="154">
        <f t="shared" si="1"/>
        <v>0.11557779057018232</v>
      </c>
      <c r="L19" s="86">
        <f>L17+L18</f>
        <v>5721485380</v>
      </c>
      <c r="M19" s="154">
        <f t="shared" si="1"/>
        <v>0.11266589072340442</v>
      </c>
      <c r="N19" s="86">
        <f>N17+N18</f>
        <v>5142141435</v>
      </c>
      <c r="O19" s="154">
        <f t="shared" si="1"/>
        <v>4.9996060356517574E-2</v>
      </c>
      <c r="P19" s="86">
        <f>P17+P18</f>
        <v>4897295932</v>
      </c>
      <c r="Q19" s="155"/>
      <c r="R19" s="88"/>
      <c r="S19" s="173"/>
      <c r="T19" s="173"/>
      <c r="U19" s="173"/>
      <c r="V19" s="156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</row>
    <row r="20" spans="1:46" s="137" customFormat="1" ht="15" customHeight="1">
      <c r="A20" s="333">
        <f t="shared" si="0"/>
        <v>6</v>
      </c>
      <c r="B20" s="138" t="s">
        <v>337</v>
      </c>
      <c r="C20" s="138"/>
      <c r="D20" s="95">
        <v>2191150622.9774151</v>
      </c>
      <c r="E20" s="154">
        <f t="shared" si="1"/>
        <v>5.1381441708325509E-2</v>
      </c>
      <c r="F20" s="95">
        <v>2084068194.5242901</v>
      </c>
      <c r="G20" s="154">
        <f t="shared" si="1"/>
        <v>3.3796055107033943E-2</v>
      </c>
      <c r="H20" s="95">
        <v>2015937461</v>
      </c>
      <c r="I20" s="154">
        <f t="shared" si="1"/>
        <v>-0.16587405237601238</v>
      </c>
      <c r="J20" s="95">
        <v>2416826220</v>
      </c>
      <c r="K20" s="154">
        <f t="shared" si="1"/>
        <v>4.8909514148057803E-2</v>
      </c>
      <c r="L20" s="95">
        <v>2304132232</v>
      </c>
      <c r="M20" s="154">
        <f t="shared" si="1"/>
        <v>4.6497510327957278E-2</v>
      </c>
      <c r="N20" s="95">
        <v>2201756057</v>
      </c>
      <c r="O20" s="154">
        <f t="shared" si="1"/>
        <v>3.9606995347705509E-2</v>
      </c>
      <c r="P20" s="95">
        <v>2117873453</v>
      </c>
      <c r="Q20" s="138"/>
      <c r="R20" s="88"/>
      <c r="S20" s="173"/>
      <c r="T20" s="173"/>
      <c r="U20" s="173"/>
      <c r="V20" s="156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</row>
    <row r="21" spans="1:46" s="137" customFormat="1" ht="15" customHeight="1">
      <c r="A21" s="144">
        <f t="shared" si="0"/>
        <v>7</v>
      </c>
      <c r="B21" s="138" t="s">
        <v>338</v>
      </c>
      <c r="C21" s="138"/>
      <c r="D21" s="87">
        <v>5099509365.0995083</v>
      </c>
      <c r="E21" s="154">
        <f t="shared" si="1"/>
        <v>6.2504630650362991E-2</v>
      </c>
      <c r="F21" s="87">
        <v>4799517308.43571</v>
      </c>
      <c r="G21" s="154">
        <f t="shared" si="1"/>
        <v>6.4787364759094634E-2</v>
      </c>
      <c r="H21" s="87">
        <v>4507488976</v>
      </c>
      <c r="I21" s="154">
        <f t="shared" si="1"/>
        <v>0.13655117088293542</v>
      </c>
      <c r="J21" s="87">
        <f>J19-J20</f>
        <v>3965935799</v>
      </c>
      <c r="K21" s="154">
        <f t="shared" si="1"/>
        <v>0.16052852229248155</v>
      </c>
      <c r="L21" s="87">
        <f>L19-L20</f>
        <v>3417353148</v>
      </c>
      <c r="M21" s="154">
        <f t="shared" si="1"/>
        <v>0.16221267238256548</v>
      </c>
      <c r="N21" s="87">
        <f>N19-N20</f>
        <v>2940385378</v>
      </c>
      <c r="O21" s="154">
        <f t="shared" si="1"/>
        <v>5.7912354172911615E-2</v>
      </c>
      <c r="P21" s="87">
        <f>P19-P20</f>
        <v>2779422479</v>
      </c>
      <c r="Q21" s="138"/>
      <c r="R21" s="88"/>
      <c r="S21" s="173"/>
      <c r="T21" s="173"/>
      <c r="U21" s="173"/>
      <c r="V21" s="156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</row>
    <row r="22" spans="1:46" s="137" customFormat="1" ht="15" customHeight="1">
      <c r="A22" s="144"/>
      <c r="B22" s="138"/>
      <c r="C22" s="138"/>
      <c r="D22" s="88"/>
      <c r="E22" s="157"/>
      <c r="F22" s="88"/>
      <c r="G22" s="157"/>
      <c r="H22" s="88"/>
      <c r="I22" s="157"/>
      <c r="J22" s="88"/>
      <c r="K22" s="157"/>
      <c r="L22" s="88"/>
      <c r="M22" s="157"/>
      <c r="N22" s="88"/>
      <c r="O22" s="157"/>
      <c r="P22" s="88"/>
      <c r="Q22" s="138"/>
      <c r="R22" s="88"/>
      <c r="S22" s="173"/>
      <c r="T22" s="173"/>
      <c r="U22" s="173"/>
      <c r="V22" s="156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</row>
    <row r="23" spans="1:46" s="137" customFormat="1" ht="15" customHeight="1">
      <c r="A23" s="144">
        <f>A21+1</f>
        <v>8</v>
      </c>
      <c r="B23" s="150" t="s">
        <v>339</v>
      </c>
      <c r="C23" s="138"/>
      <c r="D23" s="89"/>
      <c r="E23" s="157"/>
      <c r="F23" s="89"/>
      <c r="G23" s="157"/>
      <c r="H23" s="89"/>
      <c r="I23" s="157"/>
      <c r="J23" s="89"/>
      <c r="K23" s="157"/>
      <c r="L23" s="89"/>
      <c r="M23" s="157"/>
      <c r="N23" s="89"/>
      <c r="O23" s="157"/>
      <c r="P23" s="89"/>
      <c r="Q23" s="138"/>
      <c r="R23" s="174"/>
      <c r="S23" s="169"/>
      <c r="T23" s="169"/>
      <c r="U23" s="173"/>
      <c r="V23" s="149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</row>
    <row r="24" spans="1:46" s="137" customFormat="1" ht="15" customHeight="1">
      <c r="A24" s="144">
        <f t="shared" ref="A24:A28" si="2">A23+1</f>
        <v>9</v>
      </c>
      <c r="B24" s="138" t="s">
        <v>340</v>
      </c>
      <c r="C24" s="138"/>
      <c r="D24" s="94">
        <v>567535.13000000012</v>
      </c>
      <c r="E24" s="154">
        <f t="shared" ref="E24:O28" si="3">(+D24-F24)/F24</f>
        <v>2.0512443313761882E-16</v>
      </c>
      <c r="F24" s="94">
        <v>567535.13</v>
      </c>
      <c r="G24" s="154">
        <f t="shared" si="3"/>
        <v>2.2906076278054502E-7</v>
      </c>
      <c r="H24" s="94">
        <v>567535</v>
      </c>
      <c r="I24" s="154">
        <f t="shared" si="3"/>
        <v>-9.1012794603310965E-4</v>
      </c>
      <c r="J24" s="94">
        <v>568052</v>
      </c>
      <c r="K24" s="154">
        <f t="shared" si="3"/>
        <v>0.16066127117553192</v>
      </c>
      <c r="L24" s="94">
        <v>489421</v>
      </c>
      <c r="M24" s="154">
        <f t="shared" si="3"/>
        <v>-7.1395503272934258E-2</v>
      </c>
      <c r="N24" s="94">
        <v>527050</v>
      </c>
      <c r="O24" s="154">
        <f t="shared" si="3"/>
        <v>43.368212812526309</v>
      </c>
      <c r="P24" s="94">
        <v>11879</v>
      </c>
      <c r="Q24" s="155"/>
      <c r="R24" s="112"/>
      <c r="S24" s="169"/>
      <c r="T24" s="169"/>
      <c r="U24" s="173"/>
      <c r="V24" s="149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</row>
    <row r="25" spans="1:46" s="137" customFormat="1" ht="15" customHeight="1">
      <c r="A25" s="144">
        <f t="shared" si="2"/>
        <v>10</v>
      </c>
      <c r="B25" s="138" t="s">
        <v>341</v>
      </c>
      <c r="C25" s="138"/>
      <c r="D25" s="91">
        <v>0</v>
      </c>
      <c r="E25" s="154">
        <v>0</v>
      </c>
      <c r="F25" s="91">
        <v>0</v>
      </c>
      <c r="G25" s="154">
        <v>0</v>
      </c>
      <c r="H25" s="91">
        <v>0</v>
      </c>
      <c r="I25" s="154">
        <v>0</v>
      </c>
      <c r="J25" s="91">
        <v>0</v>
      </c>
      <c r="K25" s="154">
        <v>0</v>
      </c>
      <c r="L25" s="91">
        <v>0</v>
      </c>
      <c r="M25" s="154">
        <v>0</v>
      </c>
      <c r="N25" s="91">
        <v>0</v>
      </c>
      <c r="O25" s="154">
        <v>0</v>
      </c>
      <c r="P25" s="91">
        <v>0</v>
      </c>
      <c r="Q25" s="155"/>
      <c r="R25" s="174"/>
      <c r="S25" s="169"/>
      <c r="T25" s="169"/>
      <c r="U25" s="173"/>
      <c r="V25" s="149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</row>
    <row r="26" spans="1:46" s="137" customFormat="1" ht="15" customHeight="1">
      <c r="A26" s="144">
        <f t="shared" si="2"/>
        <v>11</v>
      </c>
      <c r="B26" s="138" t="s">
        <v>342</v>
      </c>
      <c r="C26" s="138"/>
      <c r="D26" s="91">
        <v>594286</v>
      </c>
      <c r="E26" s="154">
        <f t="shared" si="3"/>
        <v>0</v>
      </c>
      <c r="F26" s="91">
        <v>594286</v>
      </c>
      <c r="G26" s="154">
        <f t="shared" si="3"/>
        <v>0</v>
      </c>
      <c r="H26" s="91">
        <v>594286</v>
      </c>
      <c r="I26" s="154">
        <f t="shared" si="3"/>
        <v>0</v>
      </c>
      <c r="J26" s="91">
        <v>594286</v>
      </c>
      <c r="K26" s="154">
        <f t="shared" si="3"/>
        <v>0</v>
      </c>
      <c r="L26" s="91">
        <v>594286</v>
      </c>
      <c r="M26" s="154">
        <f t="shared" si="3"/>
        <v>0</v>
      </c>
      <c r="N26" s="91">
        <v>594286</v>
      </c>
      <c r="O26" s="154">
        <f t="shared" si="3"/>
        <v>0</v>
      </c>
      <c r="P26" s="91">
        <v>594286</v>
      </c>
      <c r="Q26" s="155"/>
      <c r="R26" s="174"/>
      <c r="S26" s="173"/>
      <c r="T26" s="173"/>
      <c r="U26" s="173"/>
      <c r="V26" s="149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</row>
    <row r="27" spans="1:46" s="137" customFormat="1" ht="15" customHeight="1">
      <c r="A27" s="333">
        <f t="shared" si="2"/>
        <v>12</v>
      </c>
      <c r="B27" s="138" t="s">
        <v>343</v>
      </c>
      <c r="C27" s="138"/>
      <c r="D27" s="95">
        <v>8722689.6999999899</v>
      </c>
      <c r="E27" s="154">
        <f t="shared" si="3"/>
        <v>0</v>
      </c>
      <c r="F27" s="95">
        <v>8722689.6999999899</v>
      </c>
      <c r="G27" s="154">
        <f t="shared" si="3"/>
        <v>-4.2684457440801384E-2</v>
      </c>
      <c r="H27" s="95">
        <v>9111614</v>
      </c>
      <c r="I27" s="154">
        <f t="shared" si="3"/>
        <v>-0.56348726744005007</v>
      </c>
      <c r="J27" s="95">
        <v>20873650</v>
      </c>
      <c r="K27" s="154">
        <f t="shared" si="3"/>
        <v>-6.0824785498754766E-2</v>
      </c>
      <c r="L27" s="95">
        <v>22225512</v>
      </c>
      <c r="M27" s="154">
        <f t="shared" si="3"/>
        <v>-0.29993148463645658</v>
      </c>
      <c r="N27" s="95">
        <v>31747624</v>
      </c>
      <c r="O27" s="154">
        <f t="shared" si="3"/>
        <v>0.10056227861659611</v>
      </c>
      <c r="P27" s="95">
        <v>28846731</v>
      </c>
      <c r="Q27" s="138"/>
      <c r="R27" s="88"/>
      <c r="S27" s="173"/>
      <c r="T27" s="173"/>
      <c r="U27" s="173"/>
      <c r="V27" s="156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</row>
    <row r="28" spans="1:46" s="137" customFormat="1" ht="15" customHeight="1">
      <c r="A28" s="144">
        <f t="shared" si="2"/>
        <v>13</v>
      </c>
      <c r="B28" s="138" t="s">
        <v>344</v>
      </c>
      <c r="C28" s="138"/>
      <c r="D28" s="90">
        <v>9884510.8299999908</v>
      </c>
      <c r="E28" s="154">
        <f t="shared" si="3"/>
        <v>0</v>
      </c>
      <c r="F28" s="90">
        <v>9884510.8299999908</v>
      </c>
      <c r="G28" s="154">
        <f t="shared" si="3"/>
        <v>-3.7857266824582937E-2</v>
      </c>
      <c r="H28" s="90">
        <v>10273435</v>
      </c>
      <c r="I28" s="154">
        <f t="shared" si="3"/>
        <v>-0.5337883193619456</v>
      </c>
      <c r="J28" s="90">
        <f>SUM(J24:J27)</f>
        <v>22035988</v>
      </c>
      <c r="K28" s="154">
        <f t="shared" si="3"/>
        <v>-5.4623494678221522E-2</v>
      </c>
      <c r="L28" s="90">
        <f>SUM(L24:L27)</f>
        <v>23309219</v>
      </c>
      <c r="M28" s="154">
        <f t="shared" si="3"/>
        <v>-0.29084403644045931</v>
      </c>
      <c r="N28" s="90">
        <f>SUM(N24:N27)</f>
        <v>32868960</v>
      </c>
      <c r="O28" s="154">
        <f t="shared" si="3"/>
        <v>0.1159839765841702</v>
      </c>
      <c r="P28" s="90">
        <f>SUM(P24:P27)</f>
        <v>29452896</v>
      </c>
      <c r="Q28" s="138"/>
      <c r="R28" s="175"/>
      <c r="S28" s="169"/>
      <c r="T28" s="169"/>
      <c r="U28" s="169"/>
      <c r="V28" s="149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</row>
    <row r="29" spans="1:46" s="137" customFormat="1" ht="15" customHeight="1">
      <c r="A29" s="144"/>
      <c r="B29" s="138"/>
      <c r="C29" s="138"/>
      <c r="D29" s="89"/>
      <c r="E29" s="157"/>
      <c r="F29" s="89"/>
      <c r="G29" s="157"/>
      <c r="H29" s="89"/>
      <c r="I29" s="157"/>
      <c r="J29" s="89"/>
      <c r="K29" s="157"/>
      <c r="L29" s="89"/>
      <c r="M29" s="157"/>
      <c r="N29" s="89"/>
      <c r="O29" s="157"/>
      <c r="P29" s="89"/>
      <c r="Q29" s="138"/>
      <c r="R29" s="174"/>
      <c r="S29" s="169"/>
      <c r="T29" s="169"/>
      <c r="U29" s="173"/>
      <c r="V29" s="149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</row>
    <row r="30" spans="1:46" s="137" customFormat="1" ht="15" customHeight="1">
      <c r="A30" s="144">
        <f>A28+1</f>
        <v>14</v>
      </c>
      <c r="B30" s="150" t="s">
        <v>285</v>
      </c>
      <c r="C30" s="138"/>
      <c r="D30" s="88"/>
      <c r="E30" s="152"/>
      <c r="F30" s="88"/>
      <c r="G30" s="152"/>
      <c r="H30" s="88"/>
      <c r="I30" s="152"/>
      <c r="J30" s="88"/>
      <c r="K30" s="152"/>
      <c r="L30" s="88"/>
      <c r="M30" s="152"/>
      <c r="N30" s="88"/>
      <c r="O30" s="152"/>
      <c r="P30" s="88"/>
      <c r="Q30" s="138"/>
      <c r="R30" s="112"/>
      <c r="S30" s="169"/>
      <c r="T30" s="169"/>
      <c r="U30" s="173"/>
      <c r="V30" s="149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</row>
    <row r="31" spans="1:46" s="137" customFormat="1" ht="15" customHeight="1">
      <c r="A31" s="144">
        <f t="shared" ref="A31:A47" si="4">A30+1</f>
        <v>15</v>
      </c>
      <c r="B31" s="138" t="s">
        <v>345</v>
      </c>
      <c r="C31" s="138"/>
      <c r="D31" s="94">
        <v>5000000</v>
      </c>
      <c r="E31" s="154">
        <f t="shared" ref="E31:O47" si="5">(+D31-F31)/F31</f>
        <v>0</v>
      </c>
      <c r="F31" s="94">
        <v>5000000</v>
      </c>
      <c r="G31" s="154">
        <f t="shared" si="5"/>
        <v>0.81853626743248864</v>
      </c>
      <c r="H31" s="94">
        <v>2749464</v>
      </c>
      <c r="I31" s="154">
        <f t="shared" si="5"/>
        <v>-0.38513599641475588</v>
      </c>
      <c r="J31" s="94">
        <v>4471662</v>
      </c>
      <c r="K31" s="154">
        <f t="shared" si="5"/>
        <v>0.28949172249263289</v>
      </c>
      <c r="L31" s="94">
        <v>3467771</v>
      </c>
      <c r="M31" s="154">
        <f t="shared" si="5"/>
        <v>-0.52960834867384332</v>
      </c>
      <c r="N31" s="94">
        <v>7372093</v>
      </c>
      <c r="O31" s="154">
        <f t="shared" si="5"/>
        <v>-0.70417538021430959</v>
      </c>
      <c r="P31" s="94">
        <v>24920485</v>
      </c>
      <c r="Q31" s="138"/>
      <c r="R31" s="174"/>
      <c r="S31" s="169"/>
      <c r="T31" s="169"/>
      <c r="U31" s="173"/>
      <c r="V31" s="149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</row>
    <row r="32" spans="1:46" s="137" customFormat="1" ht="15" customHeight="1">
      <c r="A32" s="144">
        <f t="shared" si="4"/>
        <v>16</v>
      </c>
      <c r="B32" s="138" t="s">
        <v>346</v>
      </c>
      <c r="C32" s="138"/>
      <c r="D32" s="91">
        <v>0</v>
      </c>
      <c r="E32" s="154">
        <v>0</v>
      </c>
      <c r="F32" s="91">
        <v>0</v>
      </c>
      <c r="G32" s="154">
        <v>0</v>
      </c>
      <c r="H32" s="91">
        <v>0</v>
      </c>
      <c r="I32" s="154">
        <v>0</v>
      </c>
      <c r="J32" s="91">
        <v>0</v>
      </c>
      <c r="K32" s="154">
        <v>0</v>
      </c>
      <c r="L32" s="91">
        <v>0</v>
      </c>
      <c r="M32" s="154">
        <v>0</v>
      </c>
      <c r="N32" s="91">
        <v>0</v>
      </c>
      <c r="O32" s="154">
        <f t="shared" si="5"/>
        <v>-1</v>
      </c>
      <c r="P32" s="91">
        <v>12277</v>
      </c>
      <c r="Q32" s="138"/>
      <c r="R32" s="88"/>
      <c r="S32" s="173"/>
      <c r="T32" s="173"/>
      <c r="U32" s="173"/>
      <c r="V32" s="149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</row>
    <row r="33" spans="1:46" s="137" customFormat="1" ht="15" customHeight="1">
      <c r="A33" s="144">
        <f t="shared" si="4"/>
        <v>17</v>
      </c>
      <c r="B33" s="138" t="s">
        <v>347</v>
      </c>
      <c r="C33" s="138"/>
      <c r="D33" s="91">
        <v>19789.999999999996</v>
      </c>
      <c r="E33" s="154">
        <f t="shared" si="5"/>
        <v>-1.8382914639169848E-16</v>
      </c>
      <c r="F33" s="91">
        <v>19790</v>
      </c>
      <c r="G33" s="154">
        <v>1</v>
      </c>
      <c r="H33" s="91">
        <v>0</v>
      </c>
      <c r="I33" s="154">
        <v>0</v>
      </c>
      <c r="J33" s="91">
        <v>0</v>
      </c>
      <c r="K33" s="154">
        <f t="shared" si="5"/>
        <v>-1</v>
      </c>
      <c r="L33" s="91">
        <v>20090</v>
      </c>
      <c r="M33" s="154">
        <f t="shared" si="5"/>
        <v>0</v>
      </c>
      <c r="N33" s="91">
        <v>20090</v>
      </c>
      <c r="O33" s="154">
        <f t="shared" si="5"/>
        <v>0</v>
      </c>
      <c r="P33" s="91">
        <v>20090</v>
      </c>
      <c r="Q33" s="155"/>
      <c r="R33" s="88"/>
      <c r="S33" s="173"/>
      <c r="T33" s="173"/>
      <c r="U33" s="173"/>
      <c r="V33" s="156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</row>
    <row r="34" spans="1:46" s="137" customFormat="1" ht="15" customHeight="1">
      <c r="A34" s="144">
        <f t="shared" si="4"/>
        <v>18</v>
      </c>
      <c r="B34" s="138" t="s">
        <v>348</v>
      </c>
      <c r="C34" s="138"/>
      <c r="D34" s="91">
        <v>0</v>
      </c>
      <c r="E34" s="154">
        <v>0</v>
      </c>
      <c r="F34" s="91">
        <v>0</v>
      </c>
      <c r="G34" s="154">
        <f t="shared" si="5"/>
        <v>-1</v>
      </c>
      <c r="H34" s="91">
        <v>16031632</v>
      </c>
      <c r="I34" s="154">
        <f t="shared" si="5"/>
        <v>1.9271105002274989</v>
      </c>
      <c r="J34" s="91">
        <v>5476948</v>
      </c>
      <c r="K34" s="154">
        <f t="shared" si="5"/>
        <v>0.20787594641187748</v>
      </c>
      <c r="L34" s="91">
        <v>4534363</v>
      </c>
      <c r="M34" s="154">
        <f t="shared" si="5"/>
        <v>-0.68327936218939123</v>
      </c>
      <c r="N34" s="91">
        <v>14316601</v>
      </c>
      <c r="O34" s="154">
        <f t="shared" si="5"/>
        <v>431.99664287442533</v>
      </c>
      <c r="P34" s="91">
        <v>33064</v>
      </c>
      <c r="Q34" s="155"/>
      <c r="R34" s="88"/>
      <c r="S34" s="173"/>
      <c r="T34" s="173"/>
      <c r="U34" s="173"/>
      <c r="V34" s="156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</row>
    <row r="35" spans="1:46" s="137" customFormat="1" ht="15" customHeight="1">
      <c r="A35" s="144">
        <f t="shared" si="4"/>
        <v>19</v>
      </c>
      <c r="B35" s="138" t="s">
        <v>349</v>
      </c>
      <c r="C35" s="138"/>
      <c r="D35" s="91">
        <v>105845277.21996294</v>
      </c>
      <c r="E35" s="154">
        <f t="shared" si="5"/>
        <v>-0.1046976124411079</v>
      </c>
      <c r="F35" s="91">
        <v>118222936.396448</v>
      </c>
      <c r="G35" s="154">
        <f t="shared" si="5"/>
        <v>0.27360426772065305</v>
      </c>
      <c r="H35" s="91">
        <v>92825487</v>
      </c>
      <c r="I35" s="154">
        <f t="shared" si="5"/>
        <v>-0.1415469993777832</v>
      </c>
      <c r="J35" s="91">
        <v>108131123</v>
      </c>
      <c r="K35" s="154">
        <f t="shared" si="5"/>
        <v>5.2890042634154942E-2</v>
      </c>
      <c r="L35" s="91">
        <v>102699350</v>
      </c>
      <c r="M35" s="154">
        <f t="shared" si="5"/>
        <v>0.70172245393907751</v>
      </c>
      <c r="N35" s="91">
        <v>60350235</v>
      </c>
      <c r="O35" s="154">
        <f t="shared" si="5"/>
        <v>-2.3816977540793132E-2</v>
      </c>
      <c r="P35" s="91">
        <v>61822664</v>
      </c>
      <c r="Q35" s="138"/>
      <c r="R35" s="88"/>
      <c r="S35" s="173"/>
      <c r="T35" s="173"/>
      <c r="U35" s="173"/>
      <c r="V35" s="156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</row>
    <row r="36" spans="1:46" s="137" customFormat="1" ht="15" customHeight="1">
      <c r="A36" s="144">
        <f t="shared" si="4"/>
        <v>20</v>
      </c>
      <c r="B36" s="138" t="s">
        <v>350</v>
      </c>
      <c r="C36" s="138"/>
      <c r="D36" s="91">
        <v>9566819.089999998</v>
      </c>
      <c r="E36" s="154">
        <f t="shared" si="5"/>
        <v>-3.8939696292113259E-16</v>
      </c>
      <c r="F36" s="91">
        <v>9566819.0900000017</v>
      </c>
      <c r="G36" s="154">
        <f t="shared" si="5"/>
        <v>0.40331084502414466</v>
      </c>
      <c r="H36" s="91">
        <v>6817320</v>
      </c>
      <c r="I36" s="154">
        <f t="shared" si="5"/>
        <v>-0.32730418829941166</v>
      </c>
      <c r="J36" s="91">
        <v>10134328</v>
      </c>
      <c r="K36" s="154">
        <f t="shared" si="5"/>
        <v>2.0296333435017362E-2</v>
      </c>
      <c r="L36" s="91">
        <v>9932730</v>
      </c>
      <c r="M36" s="154">
        <f t="shared" si="5"/>
        <v>-0.38375767400136779</v>
      </c>
      <c r="N36" s="91">
        <v>16118221</v>
      </c>
      <c r="O36" s="154">
        <f t="shared" si="5"/>
        <v>0.24490463456857672</v>
      </c>
      <c r="P36" s="91">
        <v>12947354</v>
      </c>
      <c r="Q36" s="155"/>
      <c r="R36" s="88"/>
      <c r="S36" s="173"/>
      <c r="T36" s="173"/>
      <c r="U36" s="173"/>
      <c r="V36" s="156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</row>
    <row r="37" spans="1:46" s="137" customFormat="1" ht="15" customHeight="1">
      <c r="A37" s="144">
        <f t="shared" si="4"/>
        <v>21</v>
      </c>
      <c r="B37" s="138" t="s">
        <v>351</v>
      </c>
      <c r="C37" s="160"/>
      <c r="D37" s="91">
        <v>1540606.7699999989</v>
      </c>
      <c r="E37" s="154">
        <f t="shared" si="5"/>
        <v>0</v>
      </c>
      <c r="F37" s="91">
        <v>1540606.7699999989</v>
      </c>
      <c r="G37" s="154">
        <f t="shared" si="5"/>
        <v>0.30040505168762294</v>
      </c>
      <c r="H37" s="91">
        <v>1184713</v>
      </c>
      <c r="I37" s="154">
        <f t="shared" si="5"/>
        <v>-0.25679009867325281</v>
      </c>
      <c r="J37" s="91">
        <v>1594049</v>
      </c>
      <c r="K37" s="154">
        <f t="shared" si="5"/>
        <v>-0.12838628469943922</v>
      </c>
      <c r="L37" s="91">
        <v>1828848</v>
      </c>
      <c r="M37" s="154">
        <f t="shared" si="5"/>
        <v>0.50148518997131419</v>
      </c>
      <c r="N37" s="91">
        <v>1218026</v>
      </c>
      <c r="O37" s="154">
        <f t="shared" si="5"/>
        <v>-0.33655354002136273</v>
      </c>
      <c r="P37" s="91">
        <v>1835907</v>
      </c>
      <c r="Q37" s="155"/>
      <c r="R37" s="88"/>
      <c r="S37" s="173"/>
      <c r="T37" s="173"/>
      <c r="U37" s="173"/>
      <c r="V37" s="156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</row>
    <row r="38" spans="1:46" s="137" customFormat="1" ht="15" customHeight="1">
      <c r="A38" s="144">
        <f t="shared" si="4"/>
        <v>22</v>
      </c>
      <c r="B38" s="138" t="s">
        <v>352</v>
      </c>
      <c r="C38" s="138"/>
      <c r="D38" s="91">
        <v>23378018.979230665</v>
      </c>
      <c r="E38" s="154">
        <f t="shared" si="5"/>
        <v>-3.3163824088220939E-2</v>
      </c>
      <c r="F38" s="91">
        <v>24179917.509999998</v>
      </c>
      <c r="G38" s="154">
        <f t="shared" si="5"/>
        <v>0.47659704835914563</v>
      </c>
      <c r="H38" s="91">
        <v>16375434</v>
      </c>
      <c r="I38" s="154">
        <f t="shared" si="5"/>
        <v>-0.83154409615304847</v>
      </c>
      <c r="J38" s="91">
        <v>97209024</v>
      </c>
      <c r="K38" s="154">
        <f t="shared" si="5"/>
        <v>892.99939301972688</v>
      </c>
      <c r="L38" s="91">
        <v>108735</v>
      </c>
      <c r="M38" s="154">
        <f t="shared" si="5"/>
        <v>-0.99204130630463805</v>
      </c>
      <c r="N38" s="91">
        <v>13662418</v>
      </c>
      <c r="O38" s="154">
        <f t="shared" si="5"/>
        <v>0.25149268592598373</v>
      </c>
      <c r="P38" s="91">
        <v>10916898</v>
      </c>
      <c r="Q38" s="155"/>
      <c r="R38" s="176"/>
      <c r="S38" s="173"/>
      <c r="T38" s="173"/>
      <c r="U38" s="173"/>
      <c r="V38" s="156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</row>
    <row r="39" spans="1:46" s="137" customFormat="1" ht="15" customHeight="1">
      <c r="A39" s="144">
        <f t="shared" si="4"/>
        <v>23</v>
      </c>
      <c r="B39" s="138" t="s">
        <v>353</v>
      </c>
      <c r="C39" s="138"/>
      <c r="D39" s="91">
        <v>38152019.006351657</v>
      </c>
      <c r="E39" s="154">
        <f t="shared" si="5"/>
        <v>-0.30074990466683821</v>
      </c>
      <c r="F39" s="91">
        <v>54561335.437750503</v>
      </c>
      <c r="G39" s="154">
        <f t="shared" si="5"/>
        <v>-0.23196575667791958</v>
      </c>
      <c r="H39" s="91">
        <v>71040238</v>
      </c>
      <c r="I39" s="154">
        <f t="shared" si="5"/>
        <v>6.7196643797979086E-2</v>
      </c>
      <c r="J39" s="91">
        <v>66567149</v>
      </c>
      <c r="K39" s="154">
        <f t="shared" si="5"/>
        <v>3.7004610467281485E-2</v>
      </c>
      <c r="L39" s="91">
        <v>64191758</v>
      </c>
      <c r="M39" s="154">
        <f t="shared" si="5"/>
        <v>5.0608155183422668E-2</v>
      </c>
      <c r="N39" s="91">
        <v>61099619</v>
      </c>
      <c r="O39" s="154">
        <f t="shared" si="5"/>
        <v>0.16374583053553252</v>
      </c>
      <c r="P39" s="91">
        <v>52502546</v>
      </c>
      <c r="Q39" s="138"/>
      <c r="R39" s="88"/>
      <c r="S39" s="173"/>
      <c r="T39" s="173"/>
      <c r="U39" s="173"/>
      <c r="V39" s="156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</row>
    <row r="40" spans="1:46" s="137" customFormat="1" ht="15" customHeight="1">
      <c r="A40" s="144">
        <f t="shared" si="4"/>
        <v>24</v>
      </c>
      <c r="B40" s="138" t="s">
        <v>354</v>
      </c>
      <c r="C40" s="138"/>
      <c r="D40" s="91">
        <v>34072187.127884619</v>
      </c>
      <c r="E40" s="154">
        <f t="shared" si="5"/>
        <v>-1.1052672091047107E-2</v>
      </c>
      <c r="F40" s="91">
        <v>34452984.670000002</v>
      </c>
      <c r="G40" s="154">
        <f t="shared" si="5"/>
        <v>7.5033377596741321E-2</v>
      </c>
      <c r="H40" s="91">
        <v>32048293</v>
      </c>
      <c r="I40" s="154">
        <f t="shared" si="5"/>
        <v>-9.5458587690943203E-2</v>
      </c>
      <c r="J40" s="91">
        <v>35430432</v>
      </c>
      <c r="K40" s="154">
        <f t="shared" si="5"/>
        <v>-1.0785793370832368E-2</v>
      </c>
      <c r="L40" s="91">
        <v>35816744</v>
      </c>
      <c r="M40" s="154">
        <f t="shared" si="5"/>
        <v>9.4389232822072858E-2</v>
      </c>
      <c r="N40" s="91">
        <v>32727610</v>
      </c>
      <c r="O40" s="154">
        <f t="shared" si="5"/>
        <v>6.8623817958769012E-2</v>
      </c>
      <c r="P40" s="91">
        <v>30625941</v>
      </c>
      <c r="Q40" s="155"/>
      <c r="R40" s="88"/>
      <c r="S40" s="173"/>
      <c r="T40" s="173"/>
      <c r="U40" s="173"/>
      <c r="V40" s="156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</row>
    <row r="41" spans="1:46" s="137" customFormat="1" ht="15" customHeight="1">
      <c r="A41" s="144">
        <f>A40+1</f>
        <v>25</v>
      </c>
      <c r="B41" s="138" t="s">
        <v>355</v>
      </c>
      <c r="C41" s="138"/>
      <c r="D41" s="91">
        <v>6421864.5299999909</v>
      </c>
      <c r="E41" s="154">
        <f t="shared" si="5"/>
        <v>1.4502370304835438E-16</v>
      </c>
      <c r="F41" s="91">
        <v>6421864.52999999</v>
      </c>
      <c r="G41" s="154">
        <f t="shared" si="5"/>
        <v>0.15777527399937225</v>
      </c>
      <c r="H41" s="91">
        <v>5546728</v>
      </c>
      <c r="I41" s="154">
        <f t="shared" si="5"/>
        <v>-0.12689304442627591</v>
      </c>
      <c r="J41" s="91">
        <v>6352862</v>
      </c>
      <c r="K41" s="154">
        <f t="shared" si="5"/>
        <v>2.6836028519927484E-2</v>
      </c>
      <c r="L41" s="91">
        <v>6186832</v>
      </c>
      <c r="M41" s="154">
        <f t="shared" si="5"/>
        <v>5.5769054870765035E-2</v>
      </c>
      <c r="N41" s="91">
        <v>5860024</v>
      </c>
      <c r="O41" s="154">
        <f t="shared" si="5"/>
        <v>4.7086164117397536E-2</v>
      </c>
      <c r="P41" s="91">
        <v>5596506</v>
      </c>
      <c r="Q41" s="155"/>
      <c r="R41" s="88"/>
      <c r="S41" s="173"/>
      <c r="T41" s="173"/>
      <c r="U41" s="173"/>
      <c r="V41" s="156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</row>
    <row r="42" spans="1:46" s="137" customFormat="1" ht="15" customHeight="1">
      <c r="A42" s="144">
        <f t="shared" si="4"/>
        <v>26</v>
      </c>
      <c r="B42" s="138" t="s">
        <v>634</v>
      </c>
      <c r="C42" s="138"/>
      <c r="D42" s="91">
        <v>24895211.389706697</v>
      </c>
      <c r="E42" s="154">
        <f t="shared" si="5"/>
        <v>0.61863394795205684</v>
      </c>
      <c r="F42" s="91">
        <v>15380383.823782301</v>
      </c>
      <c r="G42" s="154">
        <f t="shared" si="5"/>
        <v>-0.6343971882141366</v>
      </c>
      <c r="H42" s="91">
        <v>42068560</v>
      </c>
      <c r="I42" s="154">
        <f t="shared" si="5"/>
        <v>-0.22313040264403977</v>
      </c>
      <c r="J42" s="91">
        <v>54151379</v>
      </c>
      <c r="K42" s="154">
        <f t="shared" si="5"/>
        <v>0.1389048006675011</v>
      </c>
      <c r="L42" s="91">
        <v>47546888</v>
      </c>
      <c r="M42" s="154">
        <f t="shared" si="5"/>
        <v>0.13179513695665102</v>
      </c>
      <c r="N42" s="91">
        <v>42010154</v>
      </c>
      <c r="O42" s="154">
        <f t="shared" si="5"/>
        <v>-0.21163366227474475</v>
      </c>
      <c r="P42" s="91">
        <v>53287605</v>
      </c>
      <c r="Q42" s="155"/>
      <c r="R42" s="88"/>
      <c r="S42" s="173"/>
      <c r="T42" s="173"/>
      <c r="U42" s="173"/>
      <c r="V42" s="156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</row>
    <row r="43" spans="1:46" s="137" customFormat="1" ht="15" customHeight="1">
      <c r="A43" s="144">
        <f t="shared" si="4"/>
        <v>27</v>
      </c>
      <c r="B43" s="138" t="s">
        <v>356</v>
      </c>
      <c r="C43" s="138"/>
      <c r="D43" s="91">
        <v>17690066.994896464</v>
      </c>
      <c r="E43" s="154">
        <f t="shared" si="5"/>
        <v>5.7177042243149429E-2</v>
      </c>
      <c r="F43" s="91">
        <v>16733306.048115799</v>
      </c>
      <c r="G43" s="154">
        <f t="shared" si="5"/>
        <v>1.5852777740962778</v>
      </c>
      <c r="H43" s="91">
        <v>6472537</v>
      </c>
      <c r="I43" s="154">
        <f t="shared" si="5"/>
        <v>-0.15246384455653783</v>
      </c>
      <c r="J43" s="91">
        <v>7636886</v>
      </c>
      <c r="K43" s="154">
        <f t="shared" si="5"/>
        <v>0.48992931655764027</v>
      </c>
      <c r="L43" s="91">
        <v>5125670</v>
      </c>
      <c r="M43" s="154">
        <f t="shared" si="5"/>
        <v>-0.26532240390633993</v>
      </c>
      <c r="N43" s="91">
        <v>6976761</v>
      </c>
      <c r="O43" s="154">
        <f t="shared" si="5"/>
        <v>0.27491062802417898</v>
      </c>
      <c r="P43" s="91">
        <v>5472353</v>
      </c>
      <c r="Q43" s="155"/>
      <c r="R43" s="88"/>
      <c r="S43" s="173"/>
      <c r="T43" s="173"/>
      <c r="U43" s="173"/>
      <c r="V43" s="156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</row>
    <row r="44" spans="1:46" s="137" customFormat="1" ht="15" customHeight="1">
      <c r="A44" s="144">
        <f t="shared" si="4"/>
        <v>28</v>
      </c>
      <c r="B44" s="138" t="s">
        <v>635</v>
      </c>
      <c r="C44" s="138"/>
      <c r="D44" s="91">
        <v>669472.1</v>
      </c>
      <c r="E44" s="154">
        <f t="shared" si="5"/>
        <v>0</v>
      </c>
      <c r="F44" s="91">
        <v>669472.1</v>
      </c>
      <c r="G44" s="154">
        <f t="shared" si="5"/>
        <v>0.45883092545379262</v>
      </c>
      <c r="H44" s="91">
        <v>458910</v>
      </c>
      <c r="I44" s="154">
        <f t="shared" si="5"/>
        <v>-0.41947530009146006</v>
      </c>
      <c r="J44" s="91">
        <v>790509</v>
      </c>
      <c r="K44" s="154">
        <f t="shared" si="5"/>
        <v>0.40583168980645806</v>
      </c>
      <c r="L44" s="91">
        <v>562307</v>
      </c>
      <c r="M44" s="154">
        <f t="shared" si="5"/>
        <v>0.55804713151660412</v>
      </c>
      <c r="N44" s="91">
        <v>360905</v>
      </c>
      <c r="O44" s="154">
        <f t="shared" si="5"/>
        <v>11.502338310181175</v>
      </c>
      <c r="P44" s="91">
        <v>28867</v>
      </c>
      <c r="Q44" s="138"/>
      <c r="R44" s="88"/>
      <c r="S44" s="173"/>
      <c r="T44" s="173"/>
      <c r="U44" s="173"/>
      <c r="V44" s="156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</row>
    <row r="45" spans="1:46" s="137" customFormat="1" ht="15" customHeight="1">
      <c r="A45" s="144">
        <f t="shared" si="4"/>
        <v>29</v>
      </c>
      <c r="B45" s="138" t="s">
        <v>357</v>
      </c>
      <c r="C45" s="138"/>
      <c r="D45" s="95">
        <v>71482859.889999941</v>
      </c>
      <c r="E45" s="154">
        <f t="shared" si="5"/>
        <v>4.1691564150561507E-16</v>
      </c>
      <c r="F45" s="95">
        <v>71482859.889999911</v>
      </c>
      <c r="G45" s="154">
        <f t="shared" si="5"/>
        <v>6.6247823997269861E-2</v>
      </c>
      <c r="H45" s="91">
        <v>67041506</v>
      </c>
      <c r="I45" s="154">
        <f t="shared" si="5"/>
        <v>-0.12219871607686528</v>
      </c>
      <c r="J45" s="91">
        <v>76374354</v>
      </c>
      <c r="K45" s="154">
        <f t="shared" si="5"/>
        <v>-0.1030859120139743</v>
      </c>
      <c r="L45" s="91">
        <v>85152363</v>
      </c>
      <c r="M45" s="154">
        <f t="shared" si="5"/>
        <v>0.18032289855196212</v>
      </c>
      <c r="N45" s="91">
        <v>72143278</v>
      </c>
      <c r="O45" s="154">
        <f t="shared" si="5"/>
        <v>0.11960220947351803</v>
      </c>
      <c r="P45" s="91">
        <v>64436527</v>
      </c>
      <c r="Q45" s="138"/>
      <c r="R45" s="88"/>
      <c r="S45" s="173"/>
      <c r="T45" s="173"/>
      <c r="U45" s="173"/>
      <c r="V45" s="156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</row>
    <row r="46" spans="1:46" s="137" customFormat="1" ht="15" customHeight="1">
      <c r="A46" s="144">
        <f t="shared" si="4"/>
        <v>30</v>
      </c>
      <c r="B46" s="138" t="s">
        <v>358</v>
      </c>
      <c r="C46" s="138"/>
      <c r="D46" s="95">
        <v>0</v>
      </c>
      <c r="E46" s="154">
        <v>0</v>
      </c>
      <c r="F46" s="95">
        <v>0</v>
      </c>
      <c r="G46" s="154">
        <f t="shared" si="5"/>
        <v>-1</v>
      </c>
      <c r="H46" s="95">
        <v>571</v>
      </c>
      <c r="I46" s="154">
        <f t="shared" si="5"/>
        <v>-0.90978037604676887</v>
      </c>
      <c r="J46" s="95">
        <v>6329</v>
      </c>
      <c r="K46" s="154">
        <f t="shared" si="5"/>
        <v>-0.84836723448094109</v>
      </c>
      <c r="L46" s="95">
        <v>41739</v>
      </c>
      <c r="M46" s="154">
        <f t="shared" si="5"/>
        <v>-0.99415751324144419</v>
      </c>
      <c r="N46" s="95">
        <v>7144047</v>
      </c>
      <c r="O46" s="154">
        <f t="shared" si="5"/>
        <v>2842.9677547770702</v>
      </c>
      <c r="P46" s="95">
        <v>2512</v>
      </c>
      <c r="Q46" s="138"/>
      <c r="R46" s="88"/>
      <c r="S46" s="173"/>
      <c r="T46" s="173"/>
      <c r="U46" s="173"/>
      <c r="V46" s="156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</row>
    <row r="47" spans="1:46" s="137" customFormat="1" ht="15" customHeight="1">
      <c r="A47" s="144">
        <f t="shared" si="4"/>
        <v>31</v>
      </c>
      <c r="B47" s="138" t="s">
        <v>286</v>
      </c>
      <c r="C47" s="138"/>
      <c r="D47" s="90">
        <v>335652979.55803299</v>
      </c>
      <c r="E47" s="154">
        <f t="shared" si="5"/>
        <v>-5.4900816059506051E-2</v>
      </c>
      <c r="F47" s="90">
        <v>355151062.72609651</v>
      </c>
      <c r="G47" s="154">
        <f t="shared" si="5"/>
        <v>-8.7663262456104379E-3</v>
      </c>
      <c r="H47" s="90">
        <v>358291967</v>
      </c>
      <c r="I47" s="154">
        <f t="shared" si="5"/>
        <v>-0.23951951404839952</v>
      </c>
      <c r="J47" s="90">
        <f>SUM(J31:J36)-J37+SUM(J38:J40)+SUM(J41:J46)</f>
        <v>471138936</v>
      </c>
      <c r="K47" s="154">
        <f t="shared" si="5"/>
        <v>0.29590958915078786</v>
      </c>
      <c r="L47" s="90">
        <f>SUM(L31:L36)-L37+SUM(L38:L40)+SUM(L41:L46)</f>
        <v>363558492</v>
      </c>
      <c r="M47" s="154">
        <f t="shared" si="5"/>
        <v>7.2621022414821698E-2</v>
      </c>
      <c r="N47" s="90">
        <f>SUM(N31:N36)-N37+SUM(N38:N40)+SUM(N41:N46)</f>
        <v>338944030</v>
      </c>
      <c r="O47" s="154">
        <f t="shared" si="5"/>
        <v>5.6592351186547457E-2</v>
      </c>
      <c r="P47" s="90">
        <f>SUM(P31:P36)-P37+SUM(P38:P40)+SUM(P41:P46)</f>
        <v>320789782</v>
      </c>
      <c r="Q47" s="138"/>
      <c r="R47" s="88"/>
      <c r="S47" s="173"/>
      <c r="T47" s="173"/>
      <c r="U47" s="173"/>
      <c r="V47" s="156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</row>
    <row r="48" spans="1:46" s="137" customFormat="1" ht="15" customHeight="1">
      <c r="A48" s="144"/>
      <c r="B48" s="150"/>
      <c r="C48" s="138"/>
      <c r="D48" s="92"/>
      <c r="E48" s="157"/>
      <c r="F48" s="92"/>
      <c r="G48" s="157"/>
      <c r="H48" s="92"/>
      <c r="I48" s="157"/>
      <c r="J48" s="92"/>
      <c r="K48" s="157"/>
      <c r="L48" s="92"/>
      <c r="M48" s="157"/>
      <c r="N48" s="92"/>
      <c r="O48" s="157"/>
      <c r="P48" s="92"/>
      <c r="Q48" s="138"/>
      <c r="R48" s="88"/>
      <c r="S48" s="173"/>
      <c r="T48" s="173"/>
      <c r="U48" s="173"/>
      <c r="V48" s="156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</row>
    <row r="49" spans="1:46" s="137" customFormat="1" ht="15" customHeight="1">
      <c r="A49" s="144">
        <f>A47+1</f>
        <v>32</v>
      </c>
      <c r="B49" s="150" t="s">
        <v>359</v>
      </c>
      <c r="C49" s="138"/>
      <c r="D49" s="92"/>
      <c r="E49" s="157"/>
      <c r="F49" s="92"/>
      <c r="G49" s="157"/>
      <c r="H49" s="92"/>
      <c r="I49" s="157"/>
      <c r="J49" s="159"/>
      <c r="K49" s="157"/>
      <c r="L49" s="92"/>
      <c r="M49" s="157"/>
      <c r="N49" s="92"/>
      <c r="O49" s="157"/>
      <c r="P49" s="92"/>
      <c r="Q49" s="138"/>
      <c r="R49" s="88"/>
      <c r="S49" s="172"/>
      <c r="T49" s="172"/>
      <c r="U49" s="172"/>
      <c r="V49" s="156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</row>
    <row r="50" spans="1:46" s="137" customFormat="1" ht="15" customHeight="1">
      <c r="A50" s="144">
        <f t="shared" ref="A50:A55" si="6">A49+1</f>
        <v>33</v>
      </c>
      <c r="B50" s="138" t="s">
        <v>360</v>
      </c>
      <c r="C50" s="138"/>
      <c r="D50" s="94">
        <v>16270974.936578054</v>
      </c>
      <c r="E50" s="154">
        <f t="shared" ref="E50:O55" si="7">(+D50-F50)/F50</f>
        <v>0.13779141838455394</v>
      </c>
      <c r="F50" s="94">
        <v>14300490.119427798</v>
      </c>
      <c r="G50" s="154">
        <f t="shared" si="7"/>
        <v>-9.9575075743113278E-2</v>
      </c>
      <c r="H50" s="94">
        <v>15881935</v>
      </c>
      <c r="I50" s="154">
        <f t="shared" si="7"/>
        <v>0.22192417299353412</v>
      </c>
      <c r="J50" s="94">
        <v>12997480</v>
      </c>
      <c r="K50" s="154">
        <f t="shared" si="7"/>
        <v>-6.9312298959332372E-2</v>
      </c>
      <c r="L50" s="94">
        <v>13965458</v>
      </c>
      <c r="M50" s="154">
        <f t="shared" si="7"/>
        <v>6.3927975542876866E-2</v>
      </c>
      <c r="N50" s="94">
        <v>13126319</v>
      </c>
      <c r="O50" s="154">
        <f t="shared" si="7"/>
        <v>-1.4998729945044328E-2</v>
      </c>
      <c r="P50" s="94">
        <v>13326195</v>
      </c>
      <c r="Q50" s="155"/>
      <c r="R50" s="174"/>
      <c r="S50" s="169"/>
      <c r="T50" s="169"/>
      <c r="U50" s="173"/>
      <c r="V50" s="149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</row>
    <row r="51" spans="1:46" s="137" customFormat="1" ht="15" customHeight="1">
      <c r="A51" s="144">
        <f t="shared" si="6"/>
        <v>34</v>
      </c>
      <c r="B51" s="138" t="s">
        <v>361</v>
      </c>
      <c r="C51" s="138"/>
      <c r="D51" s="91">
        <v>499833666.8663404</v>
      </c>
      <c r="E51" s="154">
        <f t="shared" si="7"/>
        <v>-1.7483675691117005E-2</v>
      </c>
      <c r="F51" s="91">
        <v>508728104.05255204</v>
      </c>
      <c r="G51" s="154">
        <f t="shared" si="7"/>
        <v>0.17106990458105834</v>
      </c>
      <c r="H51" s="91">
        <v>434413097</v>
      </c>
      <c r="I51" s="154">
        <f t="shared" si="7"/>
        <v>5.7943552999905522E-2</v>
      </c>
      <c r="J51" s="91">
        <v>410620298</v>
      </c>
      <c r="K51" s="154">
        <f t="shared" si="7"/>
        <v>0.31332600856044729</v>
      </c>
      <c r="L51" s="91">
        <v>312656793</v>
      </c>
      <c r="M51" s="154">
        <f t="shared" si="7"/>
        <v>-0.23455151460063894</v>
      </c>
      <c r="N51" s="91">
        <v>408462227</v>
      </c>
      <c r="O51" s="154">
        <f t="shared" si="7"/>
        <v>2.8584775616623023E-2</v>
      </c>
      <c r="P51" s="91">
        <v>397110901</v>
      </c>
      <c r="Q51" s="138"/>
      <c r="R51" s="174"/>
      <c r="S51" s="169"/>
      <c r="T51" s="169"/>
      <c r="U51" s="173"/>
      <c r="V51" s="149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</row>
    <row r="52" spans="1:46" s="137" customFormat="1" ht="15" customHeight="1">
      <c r="A52" s="144">
        <f t="shared" si="6"/>
        <v>35</v>
      </c>
      <c r="B52" s="138" t="s">
        <v>362</v>
      </c>
      <c r="C52" s="138"/>
      <c r="D52" s="91">
        <v>6960584.6303004557</v>
      </c>
      <c r="E52" s="154">
        <f t="shared" si="7"/>
        <v>-6.2904774908429745E-2</v>
      </c>
      <c r="F52" s="91">
        <v>7427830.6450876296</v>
      </c>
      <c r="G52" s="154">
        <f t="shared" si="7"/>
        <v>0.12785222993338102</v>
      </c>
      <c r="H52" s="91">
        <v>6585819</v>
      </c>
      <c r="I52" s="154">
        <f t="shared" si="7"/>
        <v>0.75518026937667271</v>
      </c>
      <c r="J52" s="91">
        <v>3752218</v>
      </c>
      <c r="K52" s="154">
        <f t="shared" si="7"/>
        <v>1.5115323305860024</v>
      </c>
      <c r="L52" s="91">
        <v>1493995.5</v>
      </c>
      <c r="M52" s="154">
        <f t="shared" si="7"/>
        <v>-0.23069589275847846</v>
      </c>
      <c r="N52" s="91">
        <v>1942009</v>
      </c>
      <c r="O52" s="154">
        <f t="shared" si="7"/>
        <v>0.31154083046758713</v>
      </c>
      <c r="P52" s="91">
        <v>1480708</v>
      </c>
      <c r="Q52" s="155"/>
      <c r="R52" s="177"/>
      <c r="S52" s="169"/>
      <c r="T52" s="169"/>
      <c r="U52" s="173"/>
      <c r="V52" s="149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</row>
    <row r="53" spans="1:46" s="137" customFormat="1" ht="15" customHeight="1">
      <c r="A53" s="144">
        <f t="shared" si="6"/>
        <v>36</v>
      </c>
      <c r="B53" s="138" t="s">
        <v>363</v>
      </c>
      <c r="C53" s="138"/>
      <c r="D53" s="91">
        <v>15646685.396319101</v>
      </c>
      <c r="E53" s="154">
        <f t="shared" si="7"/>
        <v>-5.9844899310869164E-2</v>
      </c>
      <c r="F53" s="91">
        <v>16642663.9443323</v>
      </c>
      <c r="G53" s="154">
        <f t="shared" si="7"/>
        <v>-1.3116631812115876E-2</v>
      </c>
      <c r="H53" s="91">
        <v>16863861</v>
      </c>
      <c r="I53" s="154">
        <f t="shared" si="7"/>
        <v>-6.4743166618065895E-2</v>
      </c>
      <c r="J53" s="91">
        <v>18031262</v>
      </c>
      <c r="K53" s="154">
        <f t="shared" si="7"/>
        <v>-2.2306285826943842E-2</v>
      </c>
      <c r="L53" s="91">
        <v>18442649</v>
      </c>
      <c r="M53" s="154">
        <f t="shared" si="7"/>
        <v>-7.63918550864644E-2</v>
      </c>
      <c r="N53" s="91">
        <v>19968045</v>
      </c>
      <c r="O53" s="154">
        <f t="shared" si="7"/>
        <v>-4.7501646046818759E-2</v>
      </c>
      <c r="P53" s="91">
        <v>20963863</v>
      </c>
      <c r="Q53" s="155"/>
      <c r="R53" s="174"/>
      <c r="S53" s="169"/>
      <c r="T53" s="169"/>
      <c r="U53" s="173"/>
      <c r="V53" s="149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</row>
    <row r="54" spans="1:46" s="137" customFormat="1" ht="15" customHeight="1">
      <c r="A54" s="144">
        <f t="shared" si="6"/>
        <v>37</v>
      </c>
      <c r="B54" s="138" t="s">
        <v>364</v>
      </c>
      <c r="C54" s="138"/>
      <c r="D54" s="91">
        <v>284296675.48999995</v>
      </c>
      <c r="E54" s="154">
        <f t="shared" si="7"/>
        <v>-2.0965649588641492E-16</v>
      </c>
      <c r="F54" s="91">
        <v>284296675.49000001</v>
      </c>
      <c r="G54" s="154">
        <f t="shared" si="7"/>
        <v>8.8665690797744071E-2</v>
      </c>
      <c r="H54" s="91">
        <v>261142312</v>
      </c>
      <c r="I54" s="154">
        <f t="shared" si="7"/>
        <v>0.65409120451724923</v>
      </c>
      <c r="J54" s="91">
        <v>157876610</v>
      </c>
      <c r="K54" s="154">
        <f t="shared" si="7"/>
        <v>0.20517847639070089</v>
      </c>
      <c r="L54" s="91">
        <v>130998531</v>
      </c>
      <c r="M54" s="154">
        <f t="shared" si="7"/>
        <v>0.22604068295686816</v>
      </c>
      <c r="N54" s="91">
        <v>106846806</v>
      </c>
      <c r="O54" s="154">
        <f t="shared" si="7"/>
        <v>3.4844490522818869</v>
      </c>
      <c r="P54" s="91">
        <v>23826072</v>
      </c>
      <c r="Q54" s="138"/>
      <c r="R54" s="88"/>
      <c r="S54" s="178"/>
      <c r="T54" s="178"/>
      <c r="U54" s="178"/>
      <c r="V54" s="156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</row>
    <row r="55" spans="1:46" s="137" customFormat="1" ht="15" customHeight="1">
      <c r="A55" s="144">
        <f t="shared" si="6"/>
        <v>38</v>
      </c>
      <c r="B55" s="138" t="s">
        <v>301</v>
      </c>
      <c r="C55" s="138"/>
      <c r="D55" s="90">
        <v>823008587.31953788</v>
      </c>
      <c r="E55" s="154">
        <f t="shared" si="7"/>
        <v>-1.0088067912414501E-2</v>
      </c>
      <c r="F55" s="90">
        <v>831395764.25139976</v>
      </c>
      <c r="G55" s="154">
        <f t="shared" si="7"/>
        <v>0.13132459425681703</v>
      </c>
      <c r="H55" s="90">
        <v>734887024</v>
      </c>
      <c r="I55" s="154">
        <f t="shared" si="7"/>
        <v>0.21815677812997442</v>
      </c>
      <c r="J55" s="90">
        <f>SUM(J50:J54)</f>
        <v>603277868</v>
      </c>
      <c r="K55" s="154">
        <f t="shared" si="7"/>
        <v>0.26325722211337027</v>
      </c>
      <c r="L55" s="90">
        <f>SUM(L50:L54)</f>
        <v>477557426.5</v>
      </c>
      <c r="M55" s="154">
        <f t="shared" si="7"/>
        <v>-0.1322587209894871</v>
      </c>
      <c r="N55" s="90">
        <f>SUM(N50:N54)</f>
        <v>550345406</v>
      </c>
      <c r="O55" s="154">
        <f t="shared" si="7"/>
        <v>0.20502754607361712</v>
      </c>
      <c r="P55" s="90">
        <f>SUM(P50:P54)</f>
        <v>456707739</v>
      </c>
      <c r="Q55" s="138"/>
      <c r="R55" s="88"/>
      <c r="S55" s="173"/>
      <c r="T55" s="173"/>
      <c r="U55" s="173"/>
      <c r="V55" s="156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</row>
    <row r="56" spans="1:46" s="137" customFormat="1" ht="15" customHeight="1">
      <c r="A56" s="144"/>
      <c r="B56" s="138"/>
      <c r="C56" s="138"/>
      <c r="D56" s="92"/>
      <c r="E56" s="161"/>
      <c r="F56" s="92"/>
      <c r="G56" s="161"/>
      <c r="H56" s="92"/>
      <c r="I56" s="161"/>
      <c r="J56" s="92"/>
      <c r="K56" s="161"/>
      <c r="L56" s="92"/>
      <c r="M56" s="161"/>
      <c r="N56" s="92"/>
      <c r="O56" s="161"/>
      <c r="P56" s="92"/>
      <c r="Q56" s="138"/>
      <c r="R56" s="175"/>
      <c r="S56" s="169"/>
      <c r="T56" s="169"/>
      <c r="U56" s="173"/>
      <c r="V56" s="149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</row>
    <row r="57" spans="1:46" s="137" customFormat="1" ht="15" customHeight="1" thickBot="1">
      <c r="A57" s="341">
        <f>A55+1</f>
        <v>39</v>
      </c>
      <c r="B57" s="138" t="s">
        <v>302</v>
      </c>
      <c r="C57" s="138"/>
      <c r="D57" s="93">
        <f>D21+D28+D47+D55</f>
        <v>6268055442.8070793</v>
      </c>
      <c r="E57" s="154">
        <f t="shared" ref="E57:O57" si="8">(+D57-F57)/F57</f>
        <v>4.5381775698556601E-2</v>
      </c>
      <c r="F57" s="93">
        <f>F21+F28+F47+F55</f>
        <v>5995948646.243206</v>
      </c>
      <c r="G57" s="154">
        <f t="shared" si="8"/>
        <v>6.8617227780345666E-2</v>
      </c>
      <c r="H57" s="93">
        <f>H21+H28+H47+H55</f>
        <v>5610941402</v>
      </c>
      <c r="I57" s="154">
        <f t="shared" si="8"/>
        <v>0.10835849542945528</v>
      </c>
      <c r="J57" s="93">
        <f>J21+J28+J47+J55</f>
        <v>5062388591</v>
      </c>
      <c r="K57" s="154">
        <f t="shared" si="8"/>
        <v>0.18230983798098391</v>
      </c>
      <c r="L57" s="93">
        <f>L21+L28+L47+L55</f>
        <v>4281778285.5</v>
      </c>
      <c r="M57" s="154">
        <f t="shared" si="8"/>
        <v>0.10853844927842622</v>
      </c>
      <c r="N57" s="93">
        <f>N21+N28+N47+N55</f>
        <v>3862543774</v>
      </c>
      <c r="O57" s="154">
        <f t="shared" si="8"/>
        <v>7.7005622674658977E-2</v>
      </c>
      <c r="P57" s="93">
        <f>P21+P28+P47+P55</f>
        <v>3586372896</v>
      </c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</row>
    <row r="58" spans="1:46" s="137" customFormat="1" ht="15" customHeight="1" thickTop="1">
      <c r="A58" s="144"/>
      <c r="B58" s="138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79"/>
      <c r="S58" s="169"/>
      <c r="T58" s="169"/>
      <c r="U58" s="173"/>
      <c r="V58" s="149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</row>
    <row r="59" spans="1:46" s="137" customFormat="1" ht="15" customHeight="1">
      <c r="A59" s="136"/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</row>
    <row r="60" spans="1:46" s="137" customFormat="1" ht="15" customHeight="1">
      <c r="A60" s="136" t="str">
        <f>+A1</f>
        <v>LOUISVILLE GAS AND ELECTRIC COMPANY</v>
      </c>
      <c r="B60" s="136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</row>
    <row r="61" spans="1:46" s="137" customFormat="1" ht="15" customHeight="1">
      <c r="A61" s="136" t="str">
        <f>+A2</f>
        <v>CASE NO. 2016-00371 - GAS OPERATIONS</v>
      </c>
      <c r="B61" s="136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</row>
    <row r="62" spans="1:46" s="137" customFormat="1" ht="15" customHeight="1">
      <c r="A62" s="139" t="str">
        <f>+A3</f>
        <v>COMPARATIVE BALANCE SHEETS - TOTAL COMPANY</v>
      </c>
      <c r="B62" s="136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</row>
    <row r="63" spans="1:46" s="137" customFormat="1" ht="15" customHeight="1">
      <c r="A63" s="136" t="str">
        <f>+A4</f>
        <v>AS OF  DECEMBER 31, 2011 - 2015 AND BASE AND FORECASTED PERIODS</v>
      </c>
      <c r="B63" s="136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</row>
    <row r="64" spans="1:46" s="137" customFormat="1" ht="15" customHeight="1">
      <c r="A64" s="139"/>
      <c r="B64" s="136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</row>
    <row r="65" spans="1:46" s="137" customFormat="1" ht="15" customHeight="1">
      <c r="A65" s="162" t="str">
        <f>+A6</f>
        <v>DATA:__X__BASE  PERIOD__X__FORECASTED  PERIOD</v>
      </c>
      <c r="B65" s="138"/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42" t="s">
        <v>304</v>
      </c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</row>
    <row r="66" spans="1:46" s="137" customFormat="1" ht="15" customHeight="1">
      <c r="A66" s="162" t="str">
        <f>+A7</f>
        <v>TYPE OF FILING: __X__ ORIGINAL  _____ UPDATED  _____ REVISED</v>
      </c>
      <c r="B66" s="138"/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42" t="s">
        <v>1285</v>
      </c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</row>
    <row r="67" spans="1:46" s="137" customFormat="1" ht="15" customHeight="1">
      <c r="A67" s="162" t="str">
        <f>+A8</f>
        <v xml:space="preserve">WORKPAPER REFERENCE NO(S).:  </v>
      </c>
      <c r="B67" s="138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42" t="str">
        <f>P8</f>
        <v>WITNESS:   C. M. GARRETT</v>
      </c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</row>
    <row r="68" spans="1:46" ht="15" customHeight="1" thickBot="1"/>
    <row r="69" spans="1:46" s="137" customFormat="1" ht="18" customHeight="1">
      <c r="A69" s="143"/>
      <c r="B69" s="143"/>
      <c r="C69" s="143"/>
      <c r="D69" s="146" t="s">
        <v>325</v>
      </c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</row>
    <row r="70" spans="1:46" s="137" customFormat="1" ht="18" customHeight="1">
      <c r="A70" s="144" t="s">
        <v>309</v>
      </c>
      <c r="B70" s="138"/>
      <c r="C70" s="138"/>
      <c r="D70" s="144" t="s">
        <v>305</v>
      </c>
      <c r="E70" s="138"/>
      <c r="F70" s="144" t="s">
        <v>308</v>
      </c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</row>
    <row r="71" spans="1:46" s="137" customFormat="1" ht="18" customHeight="1" thickBot="1">
      <c r="A71" s="144" t="s">
        <v>310</v>
      </c>
      <c r="B71" s="144" t="s">
        <v>92</v>
      </c>
      <c r="C71" s="138"/>
      <c r="D71" s="144" t="s">
        <v>306</v>
      </c>
      <c r="E71" s="144" t="s">
        <v>307</v>
      </c>
      <c r="F71" s="144" t="s">
        <v>306</v>
      </c>
      <c r="G71" s="144" t="s">
        <v>307</v>
      </c>
      <c r="H71" s="145">
        <f>+H12</f>
        <v>2015</v>
      </c>
      <c r="I71" s="144" t="s">
        <v>307</v>
      </c>
      <c r="J71" s="145">
        <f>+J12</f>
        <v>2014</v>
      </c>
      <c r="K71" s="144" t="s">
        <v>307</v>
      </c>
      <c r="L71" s="145">
        <f>+L12</f>
        <v>2013</v>
      </c>
      <c r="M71" s="144" t="s">
        <v>307</v>
      </c>
      <c r="N71" s="145">
        <f>+N12</f>
        <v>2012</v>
      </c>
      <c r="O71" s="144" t="s">
        <v>307</v>
      </c>
      <c r="P71" s="145">
        <f>+P12</f>
        <v>2011</v>
      </c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</row>
    <row r="72" spans="1:46" s="137" customFormat="1" ht="15" customHeight="1">
      <c r="A72" s="146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</row>
    <row r="73" spans="1:46" s="137" customFormat="1" ht="15" customHeight="1">
      <c r="A73" s="144">
        <v>1</v>
      </c>
      <c r="B73" s="497" t="s">
        <v>365</v>
      </c>
      <c r="C73" s="497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53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</row>
    <row r="74" spans="1:46" s="137" customFormat="1" ht="15" customHeight="1">
      <c r="A74" s="144"/>
      <c r="B74" s="148"/>
      <c r="C74" s="14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53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</row>
    <row r="75" spans="1:46" s="137" customFormat="1" ht="15" customHeight="1">
      <c r="A75" s="144">
        <f>A73+1</f>
        <v>2</v>
      </c>
      <c r="B75" s="150" t="s">
        <v>287</v>
      </c>
      <c r="C75" s="138"/>
      <c r="D75" s="163"/>
      <c r="E75" s="152"/>
      <c r="F75" s="163"/>
      <c r="G75" s="152"/>
      <c r="H75" s="163"/>
      <c r="I75" s="152"/>
      <c r="J75" s="163"/>
      <c r="K75" s="152"/>
      <c r="L75" s="163"/>
      <c r="M75" s="152"/>
      <c r="N75" s="163"/>
      <c r="O75" s="152"/>
      <c r="P75" s="163"/>
      <c r="Q75" s="155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</row>
    <row r="76" spans="1:46" s="137" customFormat="1" ht="15" customHeight="1">
      <c r="A76" s="144">
        <f>A75+1</f>
        <v>3</v>
      </c>
      <c r="B76" s="138" t="s">
        <v>366</v>
      </c>
      <c r="C76" s="138"/>
      <c r="D76" s="94">
        <v>425170424.08999991</v>
      </c>
      <c r="E76" s="154">
        <f t="shared" ref="E76:O82" si="9">(+D76-F76)/F76</f>
        <v>-1.4019000710824028E-16</v>
      </c>
      <c r="F76" s="94">
        <v>425170424.08999997</v>
      </c>
      <c r="G76" s="154">
        <f t="shared" si="9"/>
        <v>2.1167976108788861E-10</v>
      </c>
      <c r="H76" s="94">
        <v>425170424</v>
      </c>
      <c r="I76" s="154">
        <f t="shared" si="9"/>
        <v>0</v>
      </c>
      <c r="J76" s="94">
        <v>425170424</v>
      </c>
      <c r="K76" s="154">
        <f t="shared" si="9"/>
        <v>0</v>
      </c>
      <c r="L76" s="94">
        <v>425170424</v>
      </c>
      <c r="M76" s="154">
        <f t="shared" si="9"/>
        <v>0</v>
      </c>
      <c r="N76" s="94">
        <v>425170424</v>
      </c>
      <c r="O76" s="154">
        <f t="shared" si="9"/>
        <v>0</v>
      </c>
      <c r="P76" s="94">
        <v>425170424</v>
      </c>
      <c r="Q76" s="155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</row>
    <row r="77" spans="1:46" s="137" customFormat="1" ht="15" customHeight="1">
      <c r="A77" s="144">
        <f t="shared" ref="A77:A82" si="10">A76+1</f>
        <v>4</v>
      </c>
      <c r="B77" s="138" t="s">
        <v>367</v>
      </c>
      <c r="C77" s="138"/>
      <c r="D77" s="164">
        <v>566733062.37208724</v>
      </c>
      <c r="E77" s="154">
        <f t="shared" si="9"/>
        <v>2.8595656215979842E-2</v>
      </c>
      <c r="F77" s="164">
        <v>550977499.2216059</v>
      </c>
      <c r="G77" s="154">
        <f t="shared" si="9"/>
        <v>0.32103078305471877</v>
      </c>
      <c r="H77" s="164">
        <v>417081499</v>
      </c>
      <c r="I77" s="154">
        <f t="shared" si="9"/>
        <v>0.27516077881250017</v>
      </c>
      <c r="J77" s="164">
        <v>327081499</v>
      </c>
      <c r="K77" s="154">
        <f t="shared" si="9"/>
        <v>0.92875697483957254</v>
      </c>
      <c r="L77" s="164">
        <v>169581499</v>
      </c>
      <c r="M77" s="154">
        <f t="shared" si="9"/>
        <v>1.0289358414115066</v>
      </c>
      <c r="N77" s="164">
        <v>83581499</v>
      </c>
      <c r="O77" s="154">
        <f t="shared" si="9"/>
        <v>0</v>
      </c>
      <c r="P77" s="164">
        <v>83581499</v>
      </c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</row>
    <row r="78" spans="1:46" s="137" customFormat="1" ht="15" customHeight="1">
      <c r="A78" s="144">
        <f t="shared" si="10"/>
        <v>5</v>
      </c>
      <c r="B78" s="138" t="s">
        <v>368</v>
      </c>
      <c r="C78" s="138"/>
      <c r="D78" s="164">
        <v>835888.63999999978</v>
      </c>
      <c r="E78" s="154">
        <f t="shared" si="9"/>
        <v>-2.7854265809123764E-16</v>
      </c>
      <c r="F78" s="164">
        <v>835888.64000000001</v>
      </c>
      <c r="G78" s="154">
        <f t="shared" si="9"/>
        <v>-4.3067919303403942E-7</v>
      </c>
      <c r="H78" s="164">
        <v>835889</v>
      </c>
      <c r="I78" s="154">
        <f t="shared" si="9"/>
        <v>0</v>
      </c>
      <c r="J78" s="164">
        <v>835889</v>
      </c>
      <c r="K78" s="154">
        <f t="shared" si="9"/>
        <v>0</v>
      </c>
      <c r="L78" s="164">
        <v>835889</v>
      </c>
      <c r="M78" s="154">
        <f t="shared" si="9"/>
        <v>0</v>
      </c>
      <c r="N78" s="164">
        <v>835889</v>
      </c>
      <c r="O78" s="154">
        <f t="shared" si="9"/>
        <v>0</v>
      </c>
      <c r="P78" s="164">
        <v>835889</v>
      </c>
      <c r="Q78" s="155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</row>
    <row r="79" spans="1:46" s="137" customFormat="1" ht="15" customHeight="1">
      <c r="A79" s="144">
        <f t="shared" si="10"/>
        <v>6</v>
      </c>
      <c r="B79" s="138" t="s">
        <v>369</v>
      </c>
      <c r="C79" s="138"/>
      <c r="D79" s="91">
        <v>0</v>
      </c>
      <c r="E79" s="154">
        <v>0</v>
      </c>
      <c r="F79" s="91">
        <v>0</v>
      </c>
      <c r="G79" s="154">
        <v>0</v>
      </c>
      <c r="H79" s="91">
        <v>0</v>
      </c>
      <c r="I79" s="154">
        <v>0</v>
      </c>
      <c r="J79" s="91">
        <v>0</v>
      </c>
      <c r="K79" s="154">
        <v>0</v>
      </c>
      <c r="L79" s="91">
        <v>0</v>
      </c>
      <c r="M79" s="154">
        <v>0</v>
      </c>
      <c r="N79" s="91">
        <v>0</v>
      </c>
      <c r="O79" s="154">
        <v>0</v>
      </c>
      <c r="P79" s="91">
        <v>0</v>
      </c>
      <c r="Q79" s="155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</row>
    <row r="80" spans="1:46" s="137" customFormat="1" ht="15" customHeight="1">
      <c r="A80" s="144">
        <f t="shared" si="10"/>
        <v>7</v>
      </c>
      <c r="B80" s="138" t="s">
        <v>370</v>
      </c>
      <c r="C80" s="138"/>
      <c r="D80" s="164">
        <v>1231418268.2604768</v>
      </c>
      <c r="E80" s="154">
        <f t="shared" si="9"/>
        <v>3.9606138656161784E-2</v>
      </c>
      <c r="F80" s="164">
        <v>1184504614.2688801</v>
      </c>
      <c r="G80" s="154">
        <f t="shared" si="9"/>
        <v>7.7944945534502624E-2</v>
      </c>
      <c r="H80" s="164">
        <v>1098854463</v>
      </c>
      <c r="I80" s="154">
        <f t="shared" si="9"/>
        <v>6.4332941131038296E-2</v>
      </c>
      <c r="J80" s="164">
        <v>1032434890</v>
      </c>
      <c r="K80" s="154">
        <f t="shared" si="9"/>
        <v>5.7494399287063909E-2</v>
      </c>
      <c r="L80" s="164">
        <v>976302939</v>
      </c>
      <c r="M80" s="154">
        <f t="shared" si="9"/>
        <v>6.513250147335431E-2</v>
      </c>
      <c r="N80" s="164">
        <v>916602336</v>
      </c>
      <c r="O80" s="154">
        <f t="shared" si="9"/>
        <v>5.4863800593603469E-2</v>
      </c>
      <c r="P80" s="164">
        <v>868929558</v>
      </c>
      <c r="Q80" s="155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</row>
    <row r="81" spans="1:46" s="137" customFormat="1" ht="15" customHeight="1">
      <c r="A81" s="144">
        <f t="shared" si="10"/>
        <v>8</v>
      </c>
      <c r="B81" s="138" t="s">
        <v>371</v>
      </c>
      <c r="C81" s="138"/>
      <c r="D81" s="95">
        <v>0</v>
      </c>
      <c r="E81" s="154">
        <v>0</v>
      </c>
      <c r="F81" s="95">
        <v>0</v>
      </c>
      <c r="G81" s="154">
        <v>0</v>
      </c>
      <c r="H81" s="95">
        <v>0</v>
      </c>
      <c r="I81" s="154">
        <v>0</v>
      </c>
      <c r="J81" s="95">
        <v>0</v>
      </c>
      <c r="K81" s="154">
        <v>0</v>
      </c>
      <c r="L81" s="95">
        <v>0</v>
      </c>
      <c r="M81" s="154">
        <v>0</v>
      </c>
      <c r="N81" s="95">
        <v>0</v>
      </c>
      <c r="O81" s="154">
        <v>0</v>
      </c>
      <c r="P81" s="95">
        <v>0</v>
      </c>
      <c r="Q81" s="155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</row>
    <row r="82" spans="1:46" s="137" customFormat="1" ht="15" customHeight="1">
      <c r="A82" s="144">
        <f t="shared" si="10"/>
        <v>9</v>
      </c>
      <c r="B82" s="138" t="s">
        <v>372</v>
      </c>
      <c r="C82" s="138"/>
      <c r="D82" s="90">
        <v>2222485866.0825639</v>
      </c>
      <c r="E82" s="154">
        <f t="shared" si="9"/>
        <v>2.9015989469671311E-2</v>
      </c>
      <c r="F82" s="90">
        <v>2159816648.940486</v>
      </c>
      <c r="G82" s="154">
        <f t="shared" si="9"/>
        <v>0.11315234256251537</v>
      </c>
      <c r="H82" s="90">
        <v>1940270497</v>
      </c>
      <c r="I82" s="154">
        <f t="shared" si="9"/>
        <v>8.7686460171937555E-2</v>
      </c>
      <c r="J82" s="90">
        <f>SUM(J76,J77,-J78,J79,J80,J81)</f>
        <v>1783850924</v>
      </c>
      <c r="K82" s="154">
        <f t="shared" si="9"/>
        <v>0.13605233070890935</v>
      </c>
      <c r="L82" s="90">
        <f>SUM(L76,L77,-L78,L79,L80,L81)</f>
        <v>1570218973</v>
      </c>
      <c r="M82" s="154">
        <f t="shared" si="9"/>
        <v>0.10228060660249681</v>
      </c>
      <c r="N82" s="90">
        <f>SUM(N76,N77,-N78,N79,N80,N81)</f>
        <v>1424518370</v>
      </c>
      <c r="O82" s="154">
        <f t="shared" si="9"/>
        <v>3.4624636398588989E-2</v>
      </c>
      <c r="P82" s="90">
        <v>1376845592</v>
      </c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</row>
    <row r="83" spans="1:46" s="137" customFormat="1" ht="15" customHeight="1">
      <c r="A83" s="144"/>
      <c r="B83" s="138"/>
      <c r="C83" s="138"/>
      <c r="D83" s="158"/>
      <c r="E83" s="157"/>
      <c r="F83" s="158"/>
      <c r="G83" s="157"/>
      <c r="H83" s="158"/>
      <c r="I83" s="157"/>
      <c r="J83" s="158"/>
      <c r="K83" s="157"/>
      <c r="L83" s="158"/>
      <c r="M83" s="157"/>
      <c r="N83" s="158"/>
      <c r="O83" s="157"/>
      <c r="P83" s="15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</row>
    <row r="84" spans="1:46" s="137" customFormat="1" ht="15" customHeight="1">
      <c r="A84" s="144">
        <f>A82+1</f>
        <v>10</v>
      </c>
      <c r="B84" s="150" t="s">
        <v>288</v>
      </c>
      <c r="C84" s="138"/>
      <c r="D84" s="159"/>
      <c r="E84" s="152"/>
      <c r="F84" s="159"/>
      <c r="G84" s="152"/>
      <c r="H84" s="159"/>
      <c r="I84" s="152"/>
      <c r="J84" s="159"/>
      <c r="K84" s="152"/>
      <c r="L84" s="159"/>
      <c r="M84" s="152"/>
      <c r="N84" s="159"/>
      <c r="O84" s="152"/>
      <c r="P84" s="159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</row>
    <row r="85" spans="1:46" s="137" customFormat="1" ht="15" customHeight="1">
      <c r="A85" s="144">
        <f t="shared" ref="A85:A86" si="11">A84+1</f>
        <v>11</v>
      </c>
      <c r="B85" s="138" t="s">
        <v>373</v>
      </c>
      <c r="C85" s="138"/>
      <c r="D85" s="94">
        <v>1822403280.840637</v>
      </c>
      <c r="E85" s="154">
        <f t="shared" ref="E85:O87" si="12">(+D85-F85)/F85</f>
        <v>0.11807820750114371</v>
      </c>
      <c r="F85" s="94">
        <v>1629942582.38306</v>
      </c>
      <c r="G85" s="154">
        <f t="shared" si="12"/>
        <v>-1.4979418748672469E-2</v>
      </c>
      <c r="H85" s="94">
        <v>1654729468</v>
      </c>
      <c r="I85" s="154">
        <f t="shared" si="12"/>
        <v>0.22143369793374315</v>
      </c>
      <c r="J85" s="94">
        <v>1354743586</v>
      </c>
      <c r="K85" s="154">
        <f t="shared" si="12"/>
        <v>2.5163637272510627E-4</v>
      </c>
      <c r="L85" s="94">
        <v>1354402769</v>
      </c>
      <c r="M85" s="154">
        <f t="shared" si="12"/>
        <v>0.22468930855888378</v>
      </c>
      <c r="N85" s="94">
        <v>1105915402</v>
      </c>
      <c r="O85" s="154">
        <f t="shared" si="12"/>
        <v>2.5312138527471467E-4</v>
      </c>
      <c r="P85" s="94">
        <v>1105635542</v>
      </c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</row>
    <row r="86" spans="1:46" s="137" customFormat="1" ht="15" customHeight="1">
      <c r="A86" s="144">
        <f t="shared" si="11"/>
        <v>12</v>
      </c>
      <c r="B86" s="138" t="s">
        <v>392</v>
      </c>
      <c r="C86" s="138"/>
      <c r="D86" s="95">
        <v>0</v>
      </c>
      <c r="E86" s="154">
        <v>0</v>
      </c>
      <c r="F86" s="95">
        <v>0</v>
      </c>
      <c r="G86" s="154">
        <v>0</v>
      </c>
      <c r="H86" s="95">
        <v>0</v>
      </c>
      <c r="I86" s="154">
        <v>0</v>
      </c>
      <c r="J86" s="95">
        <v>0</v>
      </c>
      <c r="K86" s="154">
        <v>0</v>
      </c>
      <c r="L86" s="95">
        <v>0</v>
      </c>
      <c r="M86" s="154">
        <v>0</v>
      </c>
      <c r="N86" s="95">
        <v>0</v>
      </c>
      <c r="O86" s="154">
        <v>0</v>
      </c>
      <c r="P86" s="95">
        <v>0</v>
      </c>
      <c r="Q86" s="155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</row>
    <row r="87" spans="1:46" s="137" customFormat="1" ht="15" customHeight="1">
      <c r="A87" s="144">
        <f>A86+1</f>
        <v>13</v>
      </c>
      <c r="B87" s="138" t="s">
        <v>374</v>
      </c>
      <c r="C87" s="138"/>
      <c r="D87" s="90">
        <v>1822403280.840637</v>
      </c>
      <c r="E87" s="154">
        <f t="shared" si="12"/>
        <v>0.11807820750114371</v>
      </c>
      <c r="F87" s="90">
        <v>1629942582.38306</v>
      </c>
      <c r="G87" s="154">
        <f t="shared" si="12"/>
        <v>-1.4979418748672469E-2</v>
      </c>
      <c r="H87" s="90">
        <v>1654729468</v>
      </c>
      <c r="I87" s="154">
        <f t="shared" si="12"/>
        <v>0.22143369793374315</v>
      </c>
      <c r="J87" s="90">
        <f>SUM(J85:J86)</f>
        <v>1354743586</v>
      </c>
      <c r="K87" s="154">
        <f t="shared" si="12"/>
        <v>2.5163637272510627E-4</v>
      </c>
      <c r="L87" s="90">
        <f>SUM(L85:L86)</f>
        <v>1354402769</v>
      </c>
      <c r="M87" s="154">
        <f t="shared" si="12"/>
        <v>0.22468930855888378</v>
      </c>
      <c r="N87" s="90">
        <f>SUM(N85:N86)</f>
        <v>1105915402</v>
      </c>
      <c r="O87" s="154">
        <f t="shared" si="12"/>
        <v>2.5312138527471467E-4</v>
      </c>
      <c r="P87" s="90">
        <v>1105635542</v>
      </c>
      <c r="Q87" s="155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</row>
    <row r="88" spans="1:46" s="137" customFormat="1" ht="15" customHeight="1">
      <c r="A88" s="144"/>
      <c r="B88" s="138"/>
      <c r="C88" s="138"/>
      <c r="D88" s="164"/>
      <c r="E88" s="152"/>
      <c r="F88" s="164"/>
      <c r="G88" s="152"/>
      <c r="H88" s="164"/>
      <c r="I88" s="152"/>
      <c r="J88" s="164"/>
      <c r="K88" s="152"/>
      <c r="L88" s="164"/>
      <c r="M88" s="152"/>
      <c r="N88" s="164"/>
      <c r="O88" s="152"/>
      <c r="P88" s="164"/>
      <c r="Q88" s="155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</row>
    <row r="89" spans="1:46" s="137" customFormat="1" ht="15" customHeight="1">
      <c r="A89" s="144">
        <f>A87+1</f>
        <v>14</v>
      </c>
      <c r="B89" s="150" t="s">
        <v>375</v>
      </c>
      <c r="C89" s="138"/>
      <c r="D89" s="164"/>
      <c r="E89" s="152"/>
      <c r="F89" s="164"/>
      <c r="G89" s="152"/>
      <c r="H89" s="164"/>
      <c r="I89" s="152"/>
      <c r="J89" s="164"/>
      <c r="K89" s="152"/>
      <c r="L89" s="164"/>
      <c r="M89" s="152"/>
      <c r="N89" s="164"/>
      <c r="O89" s="152"/>
      <c r="P89" s="164"/>
      <c r="Q89" s="155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</row>
    <row r="90" spans="1:46" s="137" customFormat="1" ht="15" customHeight="1">
      <c r="A90" s="144">
        <f>A89+1</f>
        <v>15</v>
      </c>
      <c r="B90" s="138" t="s">
        <v>638</v>
      </c>
      <c r="C90" s="138"/>
      <c r="D90" s="94">
        <v>0</v>
      </c>
      <c r="E90" s="154">
        <v>0</v>
      </c>
      <c r="F90" s="94">
        <v>0</v>
      </c>
      <c r="G90" s="154">
        <v>0</v>
      </c>
      <c r="H90" s="94">
        <v>0</v>
      </c>
      <c r="I90" s="154">
        <v>0</v>
      </c>
      <c r="J90" s="94">
        <v>0</v>
      </c>
      <c r="K90" s="154">
        <v>0</v>
      </c>
      <c r="L90" s="94">
        <v>0</v>
      </c>
      <c r="M90" s="154">
        <v>0</v>
      </c>
      <c r="N90" s="94">
        <v>0</v>
      </c>
      <c r="O90" s="154">
        <v>0</v>
      </c>
      <c r="P90" s="94">
        <v>0</v>
      </c>
      <c r="Q90" s="155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8"/>
    </row>
    <row r="91" spans="1:46" s="137" customFormat="1" ht="15" customHeight="1">
      <c r="A91" s="144">
        <f t="shared" ref="A91:A92" si="13">A90+1</f>
        <v>16</v>
      </c>
      <c r="B91" s="138" t="s">
        <v>639</v>
      </c>
      <c r="C91" s="138"/>
      <c r="D91" s="164">
        <v>139964967.10793868</v>
      </c>
      <c r="E91" s="154">
        <f t="shared" ref="E91:O92" si="14">(+D91-F91)/F91</f>
        <v>-0.11804577287211657</v>
      </c>
      <c r="F91" s="164">
        <v>158698674.83229801</v>
      </c>
      <c r="G91" s="154">
        <f t="shared" si="14"/>
        <v>0.19946819075852917</v>
      </c>
      <c r="H91" s="164">
        <v>132307531</v>
      </c>
      <c r="I91" s="154">
        <f t="shared" si="14"/>
        <v>-7.070945728068373E-2</v>
      </c>
      <c r="J91" s="164">
        <v>142374774</v>
      </c>
      <c r="K91" s="154">
        <f t="shared" si="14"/>
        <v>0.49707546960006649</v>
      </c>
      <c r="L91" s="164">
        <v>95101935</v>
      </c>
      <c r="M91" s="154">
        <f t="shared" si="14"/>
        <v>-0.4895564159995785</v>
      </c>
      <c r="N91" s="164">
        <v>186312333</v>
      </c>
      <c r="O91" s="154">
        <f t="shared" si="14"/>
        <v>1.1832920393799507E-2</v>
      </c>
      <c r="P91" s="164">
        <v>184133496</v>
      </c>
      <c r="Q91" s="155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</row>
    <row r="92" spans="1:46" s="137" customFormat="1" ht="15" customHeight="1">
      <c r="A92" s="144">
        <f t="shared" si="13"/>
        <v>17</v>
      </c>
      <c r="B92" s="138" t="s">
        <v>376</v>
      </c>
      <c r="C92" s="138"/>
      <c r="D92" s="90">
        <v>139964967.10793868</v>
      </c>
      <c r="E92" s="154">
        <f t="shared" si="14"/>
        <v>-0.11804577287211657</v>
      </c>
      <c r="F92" s="90">
        <v>158698674.83229801</v>
      </c>
      <c r="G92" s="154">
        <f t="shared" si="14"/>
        <v>0.19946819075852917</v>
      </c>
      <c r="H92" s="90">
        <v>132307531</v>
      </c>
      <c r="I92" s="154">
        <f t="shared" si="14"/>
        <v>-7.070945728068373E-2</v>
      </c>
      <c r="J92" s="90">
        <f>SUM(J90:J91)</f>
        <v>142374774</v>
      </c>
      <c r="K92" s="154">
        <f t="shared" si="14"/>
        <v>0.49707546960006649</v>
      </c>
      <c r="L92" s="90">
        <f>SUM(L90:L91)</f>
        <v>95101935</v>
      </c>
      <c r="M92" s="154">
        <f t="shared" si="14"/>
        <v>-0.4895564159995785</v>
      </c>
      <c r="N92" s="90">
        <f>SUM(N90:N91)</f>
        <v>186312333</v>
      </c>
      <c r="O92" s="154">
        <f t="shared" si="14"/>
        <v>1.1832920393799507E-2</v>
      </c>
      <c r="P92" s="90">
        <v>184133496</v>
      </c>
      <c r="Q92" s="155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</row>
    <row r="93" spans="1:46" s="137" customFormat="1" ht="15" customHeight="1">
      <c r="A93" s="144"/>
      <c r="B93" s="138"/>
      <c r="C93" s="138"/>
      <c r="D93" s="164"/>
      <c r="E93" s="152"/>
      <c r="F93" s="164"/>
      <c r="G93" s="152"/>
      <c r="H93" s="164"/>
      <c r="I93" s="152"/>
      <c r="J93" s="164"/>
      <c r="K93" s="152"/>
      <c r="L93" s="164"/>
      <c r="M93" s="152"/>
      <c r="N93" s="164"/>
      <c r="O93" s="152"/>
      <c r="P93" s="164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</row>
    <row r="94" spans="1:46" s="137" customFormat="1" ht="15" customHeight="1">
      <c r="A94" s="144">
        <f>A92+1</f>
        <v>18</v>
      </c>
      <c r="B94" s="150" t="s">
        <v>289</v>
      </c>
      <c r="C94" s="138"/>
      <c r="D94" s="159"/>
      <c r="E94" s="157"/>
      <c r="F94" s="159"/>
      <c r="G94" s="157"/>
      <c r="H94" s="159"/>
      <c r="I94" s="157"/>
      <c r="J94" s="159"/>
      <c r="K94" s="157"/>
      <c r="L94" s="159"/>
      <c r="M94" s="157"/>
      <c r="N94" s="159"/>
      <c r="O94" s="157"/>
      <c r="P94" s="159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</row>
    <row r="95" spans="1:46" s="137" customFormat="1" ht="15" customHeight="1">
      <c r="A95" s="144">
        <f>A94+1</f>
        <v>19</v>
      </c>
      <c r="B95" s="138" t="s">
        <v>390</v>
      </c>
      <c r="C95" s="138"/>
      <c r="D95" s="94">
        <v>159467796.15777436</v>
      </c>
      <c r="E95" s="154">
        <f t="shared" ref="E95:O104" si="15">(+D95-F95)/F95</f>
        <v>-9.6581228772121858E-2</v>
      </c>
      <c r="F95" s="94">
        <v>176515920.67434499</v>
      </c>
      <c r="G95" s="154">
        <f t="shared" si="15"/>
        <v>0.24333972115881058</v>
      </c>
      <c r="H95" s="94">
        <v>141969180</v>
      </c>
      <c r="I95" s="154">
        <f t="shared" si="15"/>
        <v>-0.46214929678389449</v>
      </c>
      <c r="J95" s="94">
        <v>263956483</v>
      </c>
      <c r="K95" s="154">
        <v>1</v>
      </c>
      <c r="L95" s="94">
        <v>19996778</v>
      </c>
      <c r="M95" s="154">
        <f t="shared" ref="M95" si="16">(+L95-N95)/N95</f>
        <v>-0.6363737501084008</v>
      </c>
      <c r="N95" s="94">
        <v>54992669</v>
      </c>
      <c r="O95" s="154">
        <v>1</v>
      </c>
      <c r="P95" s="94">
        <v>0</v>
      </c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</row>
    <row r="96" spans="1:46" s="137" customFormat="1" ht="15" customHeight="1">
      <c r="A96" s="144">
        <f>A95+1</f>
        <v>20</v>
      </c>
      <c r="B96" s="138" t="s">
        <v>377</v>
      </c>
      <c r="C96" s="138"/>
      <c r="D96" s="164">
        <v>136966021.49556941</v>
      </c>
      <c r="E96" s="154">
        <f t="shared" si="15"/>
        <v>-4.6316448101534992E-2</v>
      </c>
      <c r="F96" s="164">
        <v>143617892.14348498</v>
      </c>
      <c r="G96" s="154">
        <f t="shared" si="15"/>
        <v>-0.16575350239394282</v>
      </c>
      <c r="H96" s="164">
        <v>172152826</v>
      </c>
      <c r="I96" s="154">
        <f t="shared" si="15"/>
        <v>-0.29784278575059708</v>
      </c>
      <c r="J96" s="164">
        <v>245177038</v>
      </c>
      <c r="K96" s="154">
        <f t="shared" si="15"/>
        <v>0.43504061624308021</v>
      </c>
      <c r="L96" s="164">
        <v>170850243</v>
      </c>
      <c r="M96" s="154">
        <f t="shared" si="15"/>
        <v>0.40526961455429872</v>
      </c>
      <c r="N96" s="164">
        <v>121578266</v>
      </c>
      <c r="O96" s="154">
        <f t="shared" si="15"/>
        <v>0.24251146728328055</v>
      </c>
      <c r="P96" s="164">
        <v>97848808</v>
      </c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</row>
    <row r="97" spans="1:46" s="137" customFormat="1" ht="15" customHeight="1">
      <c r="A97" s="144">
        <f>A96+1</f>
        <v>21</v>
      </c>
      <c r="B97" s="138" t="s">
        <v>391</v>
      </c>
      <c r="C97" s="138"/>
      <c r="D97" s="91">
        <v>0</v>
      </c>
      <c r="E97" s="154">
        <v>0</v>
      </c>
      <c r="F97" s="91">
        <v>0</v>
      </c>
      <c r="G97" s="154">
        <v>0</v>
      </c>
      <c r="H97" s="91">
        <v>0</v>
      </c>
      <c r="I97" s="154">
        <v>0</v>
      </c>
      <c r="J97" s="91">
        <v>0</v>
      </c>
      <c r="K97" s="154">
        <v>0</v>
      </c>
      <c r="L97" s="91">
        <v>0</v>
      </c>
      <c r="M97" s="154">
        <v>0</v>
      </c>
      <c r="N97" s="91">
        <v>0</v>
      </c>
      <c r="O97" s="154">
        <v>0</v>
      </c>
      <c r="P97" s="91">
        <v>0</v>
      </c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</row>
    <row r="98" spans="1:46" s="137" customFormat="1" ht="15" customHeight="1">
      <c r="A98" s="144">
        <f>A97+1</f>
        <v>22</v>
      </c>
      <c r="B98" s="138" t="s">
        <v>378</v>
      </c>
      <c r="C98" s="138"/>
      <c r="D98" s="164">
        <v>25831423.525602359</v>
      </c>
      <c r="E98" s="154">
        <f t="shared" si="15"/>
        <v>0.17124286688594759</v>
      </c>
      <c r="F98" s="164">
        <v>22054711.499999899</v>
      </c>
      <c r="G98" s="154">
        <f t="shared" si="15"/>
        <v>-0.1021326206752841</v>
      </c>
      <c r="H98" s="164">
        <v>24563440</v>
      </c>
      <c r="I98" s="154">
        <f t="shared" si="15"/>
        <v>0.22718932814548751</v>
      </c>
      <c r="J98" s="164">
        <v>20016015</v>
      </c>
      <c r="K98" s="154">
        <f t="shared" si="15"/>
        <v>-0.17611737453797099</v>
      </c>
      <c r="L98" s="164">
        <v>24294741</v>
      </c>
      <c r="M98" s="154">
        <f t="shared" si="15"/>
        <v>6.54812880062806E-2</v>
      </c>
      <c r="N98" s="164">
        <v>22801659</v>
      </c>
      <c r="O98" s="154">
        <f t="shared" si="15"/>
        <v>-0.10681296998099295</v>
      </c>
      <c r="P98" s="164">
        <v>25528426</v>
      </c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</row>
    <row r="99" spans="1:46" s="137" customFormat="1" ht="15" customHeight="1">
      <c r="A99" s="144">
        <f t="shared" ref="A99:A104" si="17">A98+1</f>
        <v>23</v>
      </c>
      <c r="B99" s="138" t="s">
        <v>379</v>
      </c>
      <c r="C99" s="138"/>
      <c r="D99" s="164">
        <v>26279736.800000008</v>
      </c>
      <c r="E99" s="154">
        <f t="shared" si="15"/>
        <v>4.2526570872603804E-16</v>
      </c>
      <c r="F99" s="164">
        <v>26279736.799999997</v>
      </c>
      <c r="G99" s="154">
        <f t="shared" si="15"/>
        <v>3.4411808976076236E-2</v>
      </c>
      <c r="H99" s="164">
        <v>25405488</v>
      </c>
      <c r="I99" s="154">
        <f t="shared" si="15"/>
        <v>3.703560382416933E-2</v>
      </c>
      <c r="J99" s="164">
        <v>24498183</v>
      </c>
      <c r="K99" s="154">
        <f t="shared" si="15"/>
        <v>1.7554490657720828E-2</v>
      </c>
      <c r="L99" s="164">
        <v>24075549</v>
      </c>
      <c r="M99" s="154">
        <f t="shared" si="15"/>
        <v>2.6055023678849501E-2</v>
      </c>
      <c r="N99" s="164">
        <v>23464189</v>
      </c>
      <c r="O99" s="154">
        <f t="shared" si="15"/>
        <v>4.9333434461596201E-2</v>
      </c>
      <c r="P99" s="164">
        <v>22361042</v>
      </c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</row>
    <row r="100" spans="1:46" s="137" customFormat="1" ht="15" customHeight="1">
      <c r="A100" s="144">
        <f t="shared" si="17"/>
        <v>24</v>
      </c>
      <c r="B100" s="138" t="s">
        <v>380</v>
      </c>
      <c r="C100" s="138"/>
      <c r="D100" s="164">
        <v>24664266.593519066</v>
      </c>
      <c r="E100" s="154">
        <f t="shared" si="15"/>
        <v>-0.30599751432485583</v>
      </c>
      <c r="F100" s="164">
        <v>35539161.750299796</v>
      </c>
      <c r="G100" s="154">
        <f t="shared" si="15"/>
        <v>0.78360030422794991</v>
      </c>
      <c r="H100" s="164">
        <v>19925519</v>
      </c>
      <c r="I100" s="154">
        <f t="shared" si="15"/>
        <v>5.596069649724305E-2</v>
      </c>
      <c r="J100" s="164">
        <v>18869565</v>
      </c>
      <c r="K100" s="154">
        <f t="shared" si="15"/>
        <v>0.64445454398886592</v>
      </c>
      <c r="L100" s="164">
        <v>11474665</v>
      </c>
      <c r="M100" s="154">
        <f t="shared" si="15"/>
        <v>5.611753419053354</v>
      </c>
      <c r="N100" s="164">
        <v>1735495</v>
      </c>
      <c r="O100" s="154">
        <f t="shared" si="15"/>
        <v>-0.86936284564748567</v>
      </c>
      <c r="P100" s="164">
        <v>13284850</v>
      </c>
      <c r="Q100" s="155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</row>
    <row r="101" spans="1:46" s="137" customFormat="1" ht="15" customHeight="1">
      <c r="A101" s="144">
        <f t="shared" si="17"/>
        <v>25</v>
      </c>
      <c r="B101" s="138" t="s">
        <v>381</v>
      </c>
      <c r="C101" s="138"/>
      <c r="D101" s="164">
        <v>17023959.615886714</v>
      </c>
      <c r="E101" s="154">
        <f t="shared" si="15"/>
        <v>-0.12209935199035107</v>
      </c>
      <c r="F101" s="164">
        <v>19391669.950902697</v>
      </c>
      <c r="G101" s="154">
        <f t="shared" si="15"/>
        <v>0.77147832536748584</v>
      </c>
      <c r="H101" s="164">
        <v>10946603</v>
      </c>
      <c r="I101" s="154">
        <f t="shared" si="15"/>
        <v>0.86455184151398856</v>
      </c>
      <c r="J101" s="164">
        <v>5870903</v>
      </c>
      <c r="K101" s="154">
        <f t="shared" si="15"/>
        <v>5.2084509354226989E-2</v>
      </c>
      <c r="L101" s="164">
        <v>5580258</v>
      </c>
      <c r="M101" s="154">
        <f t="shared" si="15"/>
        <v>9.0216095065574056E-2</v>
      </c>
      <c r="N101" s="164">
        <v>5118488</v>
      </c>
      <c r="O101" s="154">
        <f t="shared" si="15"/>
        <v>-0.1214034919079158</v>
      </c>
      <c r="P101" s="164">
        <v>5825755</v>
      </c>
      <c r="Q101" s="155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</row>
    <row r="102" spans="1:46" s="137" customFormat="1" ht="15" customHeight="1">
      <c r="A102" s="144">
        <f t="shared" si="17"/>
        <v>26</v>
      </c>
      <c r="B102" s="138" t="s">
        <v>382</v>
      </c>
      <c r="C102" s="138"/>
      <c r="D102" s="164">
        <v>1488056.46</v>
      </c>
      <c r="E102" s="154">
        <f t="shared" si="15"/>
        <v>0</v>
      </c>
      <c r="F102" s="164">
        <v>1488056.46</v>
      </c>
      <c r="G102" s="154">
        <v>0</v>
      </c>
      <c r="H102" s="91">
        <v>0</v>
      </c>
      <c r="I102" s="154">
        <v>0</v>
      </c>
      <c r="J102" s="91">
        <v>0</v>
      </c>
      <c r="K102" s="154">
        <v>0</v>
      </c>
      <c r="L102" s="91">
        <v>0</v>
      </c>
      <c r="M102" s="154">
        <v>0</v>
      </c>
      <c r="N102" s="91">
        <v>0</v>
      </c>
      <c r="O102" s="154">
        <v>0</v>
      </c>
      <c r="P102" s="91">
        <v>0</v>
      </c>
      <c r="Q102" s="155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</row>
    <row r="103" spans="1:46" s="137" customFormat="1" ht="15" customHeight="1">
      <c r="A103" s="144">
        <f t="shared" si="17"/>
        <v>27</v>
      </c>
      <c r="B103" s="138" t="s">
        <v>383</v>
      </c>
      <c r="C103" s="138"/>
      <c r="D103" s="164">
        <v>59754884.972157128</v>
      </c>
      <c r="E103" s="154">
        <f t="shared" si="15"/>
        <v>-0.24880558824398946</v>
      </c>
      <c r="F103" s="164">
        <v>79546498.265971705</v>
      </c>
      <c r="G103" s="154">
        <f t="shared" si="15"/>
        <v>0.13543751226710757</v>
      </c>
      <c r="H103" s="164">
        <v>70058015</v>
      </c>
      <c r="I103" s="154">
        <f t="shared" si="15"/>
        <v>-0.21859363726916503</v>
      </c>
      <c r="J103" s="164">
        <v>89656315</v>
      </c>
      <c r="K103" s="154">
        <f t="shared" si="15"/>
        <v>2.7296546899173837</v>
      </c>
      <c r="L103" s="164">
        <v>24038771</v>
      </c>
      <c r="M103" s="154">
        <f t="shared" si="15"/>
        <v>-5.7022386546520573E-2</v>
      </c>
      <c r="N103" s="164">
        <v>25492409</v>
      </c>
      <c r="O103" s="154">
        <f t="shared" si="15"/>
        <v>0.14953858211119034</v>
      </c>
      <c r="P103" s="164">
        <v>22176210</v>
      </c>
      <c r="Q103" s="155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</row>
    <row r="104" spans="1:46" s="137" customFormat="1" ht="15" customHeight="1">
      <c r="A104" s="144">
        <f t="shared" si="17"/>
        <v>28</v>
      </c>
      <c r="B104" s="138" t="s">
        <v>290</v>
      </c>
      <c r="C104" s="138"/>
      <c r="D104" s="90">
        <v>451476145.62050903</v>
      </c>
      <c r="E104" s="154">
        <f t="shared" si="15"/>
        <v>-0.10498407904038624</v>
      </c>
      <c r="F104" s="90">
        <v>504433647.54500407</v>
      </c>
      <c r="G104" s="154">
        <f t="shared" si="15"/>
        <v>8.4754388570500008E-2</v>
      </c>
      <c r="H104" s="90">
        <v>465021071</v>
      </c>
      <c r="I104" s="154">
        <f t="shared" si="15"/>
        <v>-0.30390704570157512</v>
      </c>
      <c r="J104" s="90">
        <f>SUM(J95:J103)</f>
        <v>668044502</v>
      </c>
      <c r="K104" s="154">
        <f t="shared" si="15"/>
        <v>1.383226095600492</v>
      </c>
      <c r="L104" s="90">
        <f>SUM(L95:L103)</f>
        <v>280311005</v>
      </c>
      <c r="M104" s="154">
        <f t="shared" si="15"/>
        <v>9.8469775681723534E-2</v>
      </c>
      <c r="N104" s="90">
        <f>SUM(N95:N103)</f>
        <v>255183175</v>
      </c>
      <c r="O104" s="154">
        <f t="shared" si="15"/>
        <v>0.36443283430884682</v>
      </c>
      <c r="P104" s="90">
        <v>187025091</v>
      </c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</row>
    <row r="105" spans="1:46" s="137" customFormat="1" ht="15" customHeight="1">
      <c r="A105" s="144"/>
      <c r="B105" s="138"/>
      <c r="C105" s="138"/>
      <c r="D105" s="158"/>
      <c r="E105" s="157"/>
      <c r="F105" s="158"/>
      <c r="G105" s="157"/>
      <c r="H105" s="158"/>
      <c r="I105" s="157"/>
      <c r="J105" s="158"/>
      <c r="K105" s="157"/>
      <c r="L105" s="158"/>
      <c r="M105" s="157"/>
      <c r="N105" s="158"/>
      <c r="O105" s="157"/>
      <c r="P105" s="15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</row>
    <row r="106" spans="1:46" s="137" customFormat="1" ht="15" customHeight="1">
      <c r="A106" s="144">
        <f>A104+1</f>
        <v>29</v>
      </c>
      <c r="B106" s="150" t="s">
        <v>291</v>
      </c>
      <c r="C106" s="138"/>
      <c r="D106" s="159"/>
      <c r="E106" s="152"/>
      <c r="F106" s="159"/>
      <c r="G106" s="152"/>
      <c r="H106" s="159"/>
      <c r="I106" s="152"/>
      <c r="J106" s="159"/>
      <c r="K106" s="152"/>
      <c r="L106" s="159"/>
      <c r="M106" s="152"/>
      <c r="N106" s="159"/>
      <c r="O106" s="152"/>
      <c r="P106" s="159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</row>
    <row r="107" spans="1:46" s="137" customFormat="1" ht="15" customHeight="1">
      <c r="A107" s="144">
        <f>A106+1</f>
        <v>30</v>
      </c>
      <c r="B107" s="138" t="s">
        <v>144</v>
      </c>
      <c r="C107" s="138"/>
      <c r="D107" s="94">
        <v>6777844.3799999999</v>
      </c>
      <c r="E107" s="154">
        <f t="shared" ref="E107:O114" si="18">(+D107-F107)/F107</f>
        <v>0</v>
      </c>
      <c r="F107" s="94">
        <v>6777844.3799999999</v>
      </c>
      <c r="G107" s="154">
        <f t="shared" si="18"/>
        <v>-8.7607030944804765E-2</v>
      </c>
      <c r="H107" s="94">
        <v>7428646</v>
      </c>
      <c r="I107" s="154">
        <f t="shared" si="18"/>
        <v>-9.7813943586212912E-2</v>
      </c>
      <c r="J107" s="94">
        <v>8234051</v>
      </c>
      <c r="K107" s="154">
        <f t="shared" si="18"/>
        <v>0.22021643369726698</v>
      </c>
      <c r="L107" s="94">
        <v>6748025</v>
      </c>
      <c r="M107" s="154">
        <f t="shared" si="18"/>
        <v>5.6706619622278768E-3</v>
      </c>
      <c r="N107" s="94">
        <v>6709975</v>
      </c>
      <c r="O107" s="154">
        <f t="shared" si="18"/>
        <v>-8.172701106639399E-2</v>
      </c>
      <c r="P107" s="94">
        <v>7307168</v>
      </c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</row>
    <row r="108" spans="1:46" s="137" customFormat="1" ht="15" customHeight="1">
      <c r="A108" s="144">
        <f t="shared" ref="A108:A114" si="19">A107+1</f>
        <v>31</v>
      </c>
      <c r="B108" s="138" t="s">
        <v>384</v>
      </c>
      <c r="C108" s="138"/>
      <c r="D108" s="164">
        <v>35325685.278205045</v>
      </c>
      <c r="E108" s="154">
        <f t="shared" si="18"/>
        <v>-2.4953234008279021E-2</v>
      </c>
      <c r="F108" s="164">
        <v>36229734.316666603</v>
      </c>
      <c r="G108" s="154">
        <f t="shared" si="18"/>
        <v>4.5788263031001315E-2</v>
      </c>
      <c r="H108" s="164">
        <v>34643470</v>
      </c>
      <c r="I108" s="154">
        <f t="shared" si="18"/>
        <v>-3.7202798446616725E-2</v>
      </c>
      <c r="J108" s="164">
        <v>35982105</v>
      </c>
      <c r="K108" s="154">
        <f t="shared" si="18"/>
        <v>-4.7358699696869691E-2</v>
      </c>
      <c r="L108" s="164">
        <v>37770885</v>
      </c>
      <c r="M108" s="154">
        <f t="shared" si="18"/>
        <v>-5.2678138046767409E-2</v>
      </c>
      <c r="N108" s="164">
        <v>39871227</v>
      </c>
      <c r="O108" s="154">
        <f t="shared" si="18"/>
        <v>-6.6659505112076536E-2</v>
      </c>
      <c r="P108" s="164">
        <v>42718844</v>
      </c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</row>
    <row r="109" spans="1:46" s="137" customFormat="1" ht="15" customHeight="1">
      <c r="A109" s="144">
        <f t="shared" si="19"/>
        <v>32</v>
      </c>
      <c r="B109" s="138" t="s">
        <v>385</v>
      </c>
      <c r="C109" s="138"/>
      <c r="D109" s="164">
        <v>5249411.47</v>
      </c>
      <c r="E109" s="154">
        <f t="shared" si="18"/>
        <v>0</v>
      </c>
      <c r="F109" s="164">
        <v>5249411.47</v>
      </c>
      <c r="G109" s="154">
        <f t="shared" si="18"/>
        <v>0.30659437942129542</v>
      </c>
      <c r="H109" s="164">
        <v>4017629</v>
      </c>
      <c r="I109" s="154">
        <f t="shared" si="18"/>
        <v>-0.72499629176165992</v>
      </c>
      <c r="J109" s="164">
        <v>14609363</v>
      </c>
      <c r="K109" s="154">
        <f t="shared" si="18"/>
        <v>-0.1465315070375372</v>
      </c>
      <c r="L109" s="164">
        <v>17117636</v>
      </c>
      <c r="M109" s="154">
        <f t="shared" si="18"/>
        <v>1.3102852800062408</v>
      </c>
      <c r="N109" s="164">
        <v>7409317</v>
      </c>
      <c r="O109" s="154">
        <f t="shared" si="18"/>
        <v>0.44702850401152888</v>
      </c>
      <c r="P109" s="164">
        <v>5120367</v>
      </c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</row>
    <row r="110" spans="1:46" s="137" customFormat="1" ht="15" customHeight="1">
      <c r="A110" s="144">
        <f t="shared" si="19"/>
        <v>33</v>
      </c>
      <c r="B110" s="138" t="s">
        <v>386</v>
      </c>
      <c r="C110" s="138"/>
      <c r="D110" s="164">
        <v>76109847.189817026</v>
      </c>
      <c r="E110" s="154">
        <f t="shared" si="18"/>
        <v>-5.3473150366199713E-2</v>
      </c>
      <c r="F110" s="164">
        <v>80409601.92440711</v>
      </c>
      <c r="G110" s="154">
        <f t="shared" si="18"/>
        <v>-0.10204306566932937</v>
      </c>
      <c r="H110" s="164">
        <v>89547281</v>
      </c>
      <c r="I110" s="154">
        <f t="shared" si="18"/>
        <v>6.9365653490287987E-4</v>
      </c>
      <c r="J110" s="164">
        <v>89485209</v>
      </c>
      <c r="K110" s="154">
        <f t="shared" si="18"/>
        <v>-3.3262968452328116E-2</v>
      </c>
      <c r="L110" s="164">
        <v>92564168</v>
      </c>
      <c r="M110" s="154">
        <f t="shared" si="18"/>
        <v>0.64631649535916524</v>
      </c>
      <c r="N110" s="164">
        <v>56225014</v>
      </c>
      <c r="O110" s="154">
        <f t="shared" si="18"/>
        <v>-4.081678818762885E-2</v>
      </c>
      <c r="P110" s="164">
        <v>58617596</v>
      </c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</row>
    <row r="111" spans="1:46" s="137" customFormat="1" ht="15" customHeight="1">
      <c r="A111" s="144">
        <f t="shared" si="19"/>
        <v>34</v>
      </c>
      <c r="B111" s="138" t="s">
        <v>387</v>
      </c>
      <c r="C111" s="138"/>
      <c r="D111" s="164">
        <v>177339132.95307693</v>
      </c>
      <c r="E111" s="154">
        <f t="shared" si="18"/>
        <v>-2.6331413420939562E-2</v>
      </c>
      <c r="F111" s="164">
        <v>182135005.07000002</v>
      </c>
      <c r="G111" s="154">
        <f t="shared" si="18"/>
        <v>-3.6831389638489954E-2</v>
      </c>
      <c r="H111" s="164">
        <v>189099814</v>
      </c>
      <c r="I111" s="154">
        <f t="shared" si="18"/>
        <v>1.2149131266528044</v>
      </c>
      <c r="J111" s="164">
        <v>85375725</v>
      </c>
      <c r="K111" s="154">
        <f t="shared" si="18"/>
        <v>3.8681951474286255E-2</v>
      </c>
      <c r="L111" s="164">
        <v>82196215</v>
      </c>
      <c r="M111" s="154">
        <f t="shared" si="18"/>
        <v>0.27072040193964148</v>
      </c>
      <c r="N111" s="164">
        <v>64684737</v>
      </c>
      <c r="O111" s="154">
        <f t="shared" si="18"/>
        <v>0.10371550181848896</v>
      </c>
      <c r="P111" s="164">
        <v>58606350</v>
      </c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</row>
    <row r="112" spans="1:46" s="137" customFormat="1" ht="15" customHeight="1">
      <c r="A112" s="144">
        <f t="shared" si="19"/>
        <v>35</v>
      </c>
      <c r="B112" s="138" t="s">
        <v>388</v>
      </c>
      <c r="C112" s="138"/>
      <c r="D112" s="164">
        <v>4249577.6400000015</v>
      </c>
      <c r="E112" s="154">
        <f t="shared" si="18"/>
        <v>2.1915650295436851E-16</v>
      </c>
      <c r="F112" s="164">
        <v>4249577.6400000006</v>
      </c>
      <c r="G112" s="154">
        <f t="shared" si="18"/>
        <v>-8.4714293843754259E-8</v>
      </c>
      <c r="H112" s="164">
        <v>4249578</v>
      </c>
      <c r="I112" s="154">
        <f t="shared" si="18"/>
        <v>-0.80822650112638628</v>
      </c>
      <c r="J112" s="164">
        <v>22159360</v>
      </c>
      <c r="K112" s="154">
        <f t="shared" si="18"/>
        <v>-0.39348434476571725</v>
      </c>
      <c r="L112" s="164">
        <v>36535512</v>
      </c>
      <c r="M112" s="154">
        <f t="shared" si="18"/>
        <v>-0.37772886806388184</v>
      </c>
      <c r="N112" s="164">
        <v>58713172</v>
      </c>
      <c r="O112" s="154">
        <f t="shared" si="18"/>
        <v>-3.2843509009990168E-2</v>
      </c>
      <c r="P112" s="164">
        <v>60707003</v>
      </c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</row>
    <row r="113" spans="1:46" s="137" customFormat="1" ht="15" customHeight="1">
      <c r="A113" s="144">
        <f t="shared" si="19"/>
        <v>36</v>
      </c>
      <c r="B113" s="138" t="s">
        <v>364</v>
      </c>
      <c r="C113" s="138"/>
      <c r="D113" s="164">
        <v>1326673685.6561019</v>
      </c>
      <c r="E113" s="154">
        <f t="shared" si="18"/>
        <v>8.0347958071359304E-2</v>
      </c>
      <c r="F113" s="164">
        <v>1228005917.6716399</v>
      </c>
      <c r="G113" s="154">
        <f t="shared" si="18"/>
        <v>0.12699719694079326</v>
      </c>
      <c r="H113" s="164">
        <v>1089626417</v>
      </c>
      <c r="I113" s="154">
        <f t="shared" si="18"/>
        <v>0.27065840008357406</v>
      </c>
      <c r="J113" s="164">
        <v>857528992</v>
      </c>
      <c r="K113" s="154">
        <f t="shared" si="18"/>
        <v>0.209813045791436</v>
      </c>
      <c r="L113" s="164">
        <v>708811163</v>
      </c>
      <c r="M113" s="154">
        <f t="shared" si="18"/>
        <v>7.8858491810844908E-2</v>
      </c>
      <c r="N113" s="164">
        <v>657001051</v>
      </c>
      <c r="O113" s="154">
        <f t="shared" si="18"/>
        <v>0.31490716048800688</v>
      </c>
      <c r="P113" s="164">
        <v>499655847</v>
      </c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</row>
    <row r="114" spans="1:46" s="137" customFormat="1" ht="15" customHeight="1">
      <c r="A114" s="144">
        <f t="shared" si="19"/>
        <v>37</v>
      </c>
      <c r="B114" s="138" t="s">
        <v>292</v>
      </c>
      <c r="C114" s="138"/>
      <c r="D114" s="90">
        <v>1631725184.5672009</v>
      </c>
      <c r="E114" s="154">
        <f t="shared" si="18"/>
        <v>5.7462612710200242E-2</v>
      </c>
      <c r="F114" s="90">
        <v>1543057092.4727137</v>
      </c>
      <c r="G114" s="154">
        <f t="shared" si="18"/>
        <v>8.7722495103968026E-2</v>
      </c>
      <c r="H114" s="90">
        <v>1418612835</v>
      </c>
      <c r="I114" s="154">
        <f t="shared" si="18"/>
        <v>0.27415568291039244</v>
      </c>
      <c r="J114" s="90">
        <f>SUM(J107:J113)</f>
        <v>1113374805</v>
      </c>
      <c r="K114" s="154">
        <f t="shared" si="18"/>
        <v>0.13407900032522138</v>
      </c>
      <c r="L114" s="90">
        <f>SUM(L107:L113)</f>
        <v>981743604</v>
      </c>
      <c r="M114" s="154">
        <f t="shared" si="18"/>
        <v>0.10232161245550267</v>
      </c>
      <c r="N114" s="90">
        <f>SUM(N107:N113)</f>
        <v>890614493</v>
      </c>
      <c r="O114" s="154">
        <f t="shared" si="18"/>
        <v>0.2154690457409684</v>
      </c>
      <c r="P114" s="90">
        <f>SUM(P107:P113)</f>
        <v>732733175</v>
      </c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</row>
    <row r="115" spans="1:46" s="137" customFormat="1" ht="15" customHeight="1">
      <c r="A115" s="144"/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</row>
    <row r="116" spans="1:46" s="137" customFormat="1" ht="15" customHeight="1" thickBot="1">
      <c r="A116" s="144">
        <f>A114+1</f>
        <v>38</v>
      </c>
      <c r="B116" s="138" t="s">
        <v>389</v>
      </c>
      <c r="C116" s="138"/>
      <c r="D116" s="93">
        <f>D82+D87+D92+D104+D114</f>
        <v>6268055444.2188492</v>
      </c>
      <c r="E116" s="154">
        <f t="shared" ref="E116:O116" si="20">(+D116-F116)/F116</f>
        <v>4.5381775946153023E-2</v>
      </c>
      <c r="F116" s="93">
        <f>F82+F87+F92+F104+F114</f>
        <v>5995948646.1735611</v>
      </c>
      <c r="G116" s="154">
        <f t="shared" si="20"/>
        <v>6.8617227767933317E-2</v>
      </c>
      <c r="H116" s="93">
        <f>H82+H87+H92+H104+H114</f>
        <v>5610941402</v>
      </c>
      <c r="I116" s="154">
        <f t="shared" si="20"/>
        <v>0.10835849542945528</v>
      </c>
      <c r="J116" s="93">
        <f>J82+J87+J92+J104+J114</f>
        <v>5062388591</v>
      </c>
      <c r="K116" s="154">
        <f t="shared" si="20"/>
        <v>0.18230983784292096</v>
      </c>
      <c r="L116" s="93">
        <f>L82+L87+L92+L104+L114</f>
        <v>4281778286</v>
      </c>
      <c r="M116" s="154">
        <f t="shared" si="20"/>
        <v>0.10853844969487159</v>
      </c>
      <c r="N116" s="93">
        <f>N82+N87+N92+N104+N114</f>
        <v>3862543773</v>
      </c>
      <c r="O116" s="154">
        <f t="shared" si="20"/>
        <v>7.7005622395825729E-2</v>
      </c>
      <c r="P116" s="93">
        <f>P82+P87+P92+P104+P114</f>
        <v>3586372896</v>
      </c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</row>
    <row r="117" spans="1:46" s="137" customFormat="1" ht="15" customHeight="1" thickTop="1">
      <c r="A117" s="144"/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</row>
    <row r="118" spans="1:46" s="137" customFormat="1" ht="15" customHeight="1">
      <c r="A118" s="144"/>
      <c r="B118" s="138"/>
      <c r="C118" s="138"/>
      <c r="D118" s="138">
        <f>D57-D116</f>
        <v>-1.4117698669433594</v>
      </c>
      <c r="E118" s="138"/>
      <c r="F118" s="138">
        <f>F57-F116</f>
        <v>6.9644927978515625E-2</v>
      </c>
      <c r="G118" s="138"/>
      <c r="H118" s="138">
        <f>H57-H116</f>
        <v>0</v>
      </c>
      <c r="I118" s="138"/>
      <c r="J118" s="138">
        <f>J57-J116</f>
        <v>0</v>
      </c>
      <c r="K118" s="138"/>
      <c r="L118" s="138">
        <f>L57-L116</f>
        <v>-0.5</v>
      </c>
      <c r="M118" s="138"/>
      <c r="N118" s="138">
        <f>N57-N116</f>
        <v>1</v>
      </c>
      <c r="O118" s="138"/>
      <c r="P118" s="138">
        <f>P57-P116</f>
        <v>0</v>
      </c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</row>
    <row r="119" spans="1:46" s="137" customFormat="1" ht="15" customHeight="1">
      <c r="A119" s="144"/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</row>
    <row r="120" spans="1:46" s="137" customFormat="1" ht="15" customHeight="1">
      <c r="A120" s="144"/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</row>
    <row r="121" spans="1:46" s="137" customFormat="1" ht="15" customHeight="1">
      <c r="A121" s="144"/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</row>
    <row r="122" spans="1:46" s="137" customFormat="1" ht="15" customHeight="1">
      <c r="A122" s="144"/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</row>
    <row r="123" spans="1:46" s="137" customFormat="1" ht="15" customHeight="1">
      <c r="A123" s="144"/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</row>
    <row r="124" spans="1:46" s="137" customFormat="1" ht="15" customHeight="1">
      <c r="A124" s="144"/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</row>
    <row r="125" spans="1:46" s="137" customFormat="1" ht="15" customHeight="1">
      <c r="A125" s="138"/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</row>
    <row r="126" spans="1:46" ht="15" customHeight="1"/>
    <row r="127" spans="1:46" ht="15" customHeight="1"/>
    <row r="128" spans="1:46" ht="15" customHeight="1"/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s="137" customFormat="1" ht="15" customHeight="1">
      <c r="A137" s="138"/>
      <c r="B137" s="138"/>
      <c r="C137" s="165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</row>
    <row r="138" spans="1:46" ht="15" customHeight="1"/>
    <row r="139" spans="1:46" ht="15" customHeight="1"/>
    <row r="140" spans="1:46" ht="15" customHeight="1"/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>
      <c r="A186" s="498" t="s">
        <v>303</v>
      </c>
      <c r="B186" s="498"/>
      <c r="C186" s="498"/>
      <c r="D186" s="498"/>
      <c r="E186" s="498"/>
      <c r="F186" s="498"/>
      <c r="G186" s="498"/>
      <c r="H186" s="498"/>
      <c r="I186" s="498"/>
      <c r="J186" s="498"/>
      <c r="K186" s="498"/>
      <c r="L186" s="498"/>
      <c r="M186" s="498"/>
    </row>
    <row r="187" spans="1:13" ht="15" customHeight="1"/>
    <row r="188" spans="1:13" ht="15" customHeight="1"/>
    <row r="189" spans="1:13" ht="15" customHeight="1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</row>
    <row r="190" spans="1:13" ht="15" customHeight="1"/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spans="1:1" ht="15" customHeight="1"/>
    <row r="306" spans="1:1" ht="15" customHeight="1"/>
    <row r="307" spans="1:1" ht="15" customHeight="1"/>
    <row r="308" spans="1:1" ht="15" customHeight="1"/>
    <row r="309" spans="1:1" ht="15" customHeight="1"/>
    <row r="310" spans="1:1" ht="15" customHeight="1"/>
    <row r="311" spans="1:1" ht="15" customHeight="1"/>
    <row r="312" spans="1:1" ht="15" customHeight="1"/>
    <row r="313" spans="1:1" ht="15" customHeight="1"/>
    <row r="314" spans="1:1" ht="15" customHeight="1">
      <c r="A314" s="138" t="s">
        <v>151</v>
      </c>
    </row>
    <row r="315" spans="1:1" ht="15" customHeight="1"/>
    <row r="316" spans="1:1" ht="15" customHeight="1"/>
    <row r="317" spans="1:1" ht="15" customHeight="1"/>
    <row r="318" spans="1:1" ht="15" customHeight="1"/>
    <row r="319" spans="1:1" ht="15" customHeight="1"/>
    <row r="320" spans="1:1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spans="1:1" ht="15" customHeight="1"/>
    <row r="498" spans="1:1" ht="15" customHeight="1">
      <c r="A498" s="138" t="s">
        <v>259</v>
      </c>
    </row>
    <row r="499" spans="1:1" ht="15" customHeight="1"/>
    <row r="500" spans="1:1" ht="15" customHeight="1"/>
    <row r="501" spans="1:1" ht="15" customHeight="1"/>
    <row r="502" spans="1:1" ht="15" customHeight="1"/>
    <row r="503" spans="1:1" ht="15" customHeight="1"/>
    <row r="504" spans="1:1" ht="15" customHeight="1"/>
    <row r="505" spans="1:1" ht="15" customHeight="1"/>
    <row r="506" spans="1:1" ht="15" customHeight="1"/>
    <row r="507" spans="1:1" ht="15" customHeight="1"/>
    <row r="508" spans="1:1" ht="15" customHeight="1"/>
    <row r="509" spans="1:1" ht="15" customHeight="1"/>
    <row r="510" spans="1:1" ht="15" customHeight="1"/>
    <row r="511" spans="1:1" ht="15" customHeight="1"/>
    <row r="512" spans="1:1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spans="1:1" ht="15" customHeight="1"/>
    <row r="546" spans="1:1" ht="15" customHeight="1"/>
    <row r="547" spans="1:1" ht="15" customHeight="1"/>
    <row r="548" spans="1:1" ht="15" customHeight="1"/>
    <row r="549" spans="1:1" ht="15" customHeight="1"/>
    <row r="550" spans="1:1" ht="15" customHeight="1"/>
    <row r="551" spans="1:1" ht="15" customHeight="1"/>
    <row r="552" spans="1:1" ht="15" customHeight="1"/>
    <row r="553" spans="1:1" ht="15" customHeight="1"/>
    <row r="554" spans="1:1" ht="15" customHeight="1"/>
    <row r="555" spans="1:1" ht="15" customHeight="1"/>
    <row r="556" spans="1:1" ht="15" customHeight="1"/>
    <row r="557" spans="1:1" ht="15" customHeight="1"/>
    <row r="558" spans="1:1" ht="15" customHeight="1"/>
    <row r="559" spans="1:1" ht="15" customHeight="1">
      <c r="A559" s="138" t="s">
        <v>259</v>
      </c>
    </row>
    <row r="560" spans="1:1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3:C73"/>
    <mergeCell ref="A186:M186"/>
  </mergeCells>
  <printOptions horizontalCentered="1"/>
  <pageMargins left="0.5" right="0.5" top="1" bottom="0.75" header="0.5" footer="0.5"/>
  <pageSetup scale="50" orientation="landscape" r:id="rId1"/>
  <headerFooter alignWithMargins="0"/>
  <rowBreaks count="1" manualBreakCount="1">
    <brk id="59" max="1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T2192"/>
  <sheetViews>
    <sheetView showRuler="0" zoomScale="70" zoomScaleNormal="70" workbookViewId="0">
      <selection activeCell="C24" sqref="C24"/>
    </sheetView>
  </sheetViews>
  <sheetFormatPr defaultColWidth="9" defaultRowHeight="12.75"/>
  <cols>
    <col min="1" max="1" width="5.33203125" style="138" customWidth="1"/>
    <col min="2" max="2" width="17.44140625" style="138" customWidth="1"/>
    <col min="3" max="3" width="22.21875" style="138" customWidth="1"/>
    <col min="4" max="4" width="16.21875" style="138" customWidth="1"/>
    <col min="5" max="5" width="11.6640625" style="138" customWidth="1"/>
    <col min="6" max="6" width="13.6640625" style="138" customWidth="1"/>
    <col min="7" max="7" width="11.6640625" style="138" customWidth="1"/>
    <col min="8" max="8" width="15.6640625" style="138" customWidth="1"/>
    <col min="9" max="9" width="11.6640625" style="138" customWidth="1"/>
    <col min="10" max="10" width="15.6640625" style="138" customWidth="1"/>
    <col min="11" max="11" width="11.6640625" style="138" customWidth="1"/>
    <col min="12" max="12" width="15.6640625" style="138" customWidth="1"/>
    <col min="13" max="13" width="11.6640625" style="138" customWidth="1"/>
    <col min="14" max="14" width="13.6640625" style="138" customWidth="1"/>
    <col min="15" max="15" width="11.6640625" style="138" customWidth="1"/>
    <col min="16" max="16" width="15.6640625" style="138" customWidth="1"/>
    <col min="17" max="17" width="5.44140625" style="138" customWidth="1"/>
    <col min="18" max="19" width="16.77734375" style="138" bestFit="1" customWidth="1"/>
    <col min="20" max="20" width="14.109375" style="138" customWidth="1"/>
    <col min="21" max="21" width="13.21875" style="138" customWidth="1"/>
    <col min="22" max="22" width="9" style="138"/>
    <col min="23" max="23" width="16.77734375" style="159" bestFit="1" customWidth="1"/>
    <col min="24" max="24" width="16.77734375" style="138" bestFit="1" customWidth="1"/>
    <col min="25" max="25" width="9" style="138"/>
    <col min="26" max="26" width="16.77734375" style="138" bestFit="1" customWidth="1"/>
    <col min="27" max="27" width="17.109375" style="138" bestFit="1" customWidth="1"/>
    <col min="28" max="16384" width="9" style="138"/>
  </cols>
  <sheetData>
    <row r="1" spans="1:46" s="137" customFormat="1" ht="15" customHeight="1">
      <c r="A1" s="136" t="str">
        <f>'Rate Case Constants'!C9</f>
        <v>LOUISVILLE GAS AND ELECTRIC COMPANY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W1" s="158"/>
    </row>
    <row r="2" spans="1:46" s="137" customFormat="1" ht="15" customHeight="1">
      <c r="A2" s="136" t="str">
        <f>'Rate Case Constants'!C10</f>
        <v>CASE NO. 2016-00371 - GAS OPERATIONS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8"/>
      <c r="R2" s="138"/>
      <c r="S2" s="138"/>
      <c r="T2" s="138"/>
      <c r="U2" s="138"/>
      <c r="V2" s="138"/>
      <c r="W2" s="159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</row>
    <row r="3" spans="1:46" s="137" customFormat="1" ht="15" customHeight="1">
      <c r="A3" s="136" t="s">
        <v>636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8"/>
      <c r="R3" s="138"/>
      <c r="S3" s="138"/>
      <c r="T3" s="138"/>
      <c r="U3" s="138"/>
      <c r="V3" s="138"/>
      <c r="W3" s="159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</row>
    <row r="4" spans="1:46" s="137" customFormat="1" ht="15" customHeight="1">
      <c r="A4" s="139" t="s">
        <v>1351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8"/>
      <c r="R4" s="138"/>
      <c r="S4" s="138"/>
      <c r="T4" s="138"/>
      <c r="U4" s="138"/>
      <c r="V4" s="138"/>
      <c r="W4" s="159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</row>
    <row r="5" spans="1:46" s="140" customFormat="1">
      <c r="B5" s="141"/>
      <c r="D5" s="84"/>
      <c r="E5" s="84"/>
      <c r="F5" s="84"/>
      <c r="G5" s="84"/>
      <c r="H5" s="84"/>
      <c r="I5" s="84"/>
      <c r="J5" s="84"/>
      <c r="K5" s="84"/>
      <c r="L5" s="84"/>
      <c r="W5" s="391"/>
    </row>
    <row r="6" spans="1:46" s="137" customFormat="1" ht="15" customHeight="1">
      <c r="A6" s="31" t="s">
        <v>61</v>
      </c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42" t="s">
        <v>304</v>
      </c>
      <c r="Q6" s="138"/>
      <c r="R6" s="138"/>
      <c r="S6" s="138"/>
      <c r="T6" s="138"/>
      <c r="U6" s="138"/>
      <c r="V6" s="138"/>
      <c r="W6" s="159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</row>
    <row r="7" spans="1:46" s="137" customFormat="1" ht="15" customHeight="1">
      <c r="A7" s="376" t="s">
        <v>54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42" t="s">
        <v>1283</v>
      </c>
      <c r="Q7" s="138"/>
      <c r="R7" s="138"/>
      <c r="S7" s="138"/>
      <c r="T7" s="138"/>
      <c r="U7" s="138"/>
      <c r="V7" s="138"/>
      <c r="W7" s="159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</row>
    <row r="8" spans="1:46" s="137" customFormat="1" ht="15" customHeight="1">
      <c r="A8" s="138" t="s">
        <v>299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42" t="str">
        <f>'Rate Case Constants'!C36</f>
        <v>WITNESS:   C. M. GARRETT</v>
      </c>
      <c r="Q8" s="138"/>
      <c r="R8" s="138"/>
      <c r="S8" s="138"/>
      <c r="T8" s="138"/>
      <c r="U8" s="138"/>
      <c r="V8" s="138"/>
      <c r="W8" s="159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</row>
    <row r="9" spans="1:46" ht="15" customHeight="1" thickBot="1"/>
    <row r="10" spans="1:46" s="137" customFormat="1" ht="18" customHeight="1">
      <c r="A10" s="143"/>
      <c r="B10" s="143"/>
      <c r="C10" s="143"/>
      <c r="D10" s="146" t="s">
        <v>325</v>
      </c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38"/>
      <c r="R10" s="138"/>
      <c r="S10" s="138"/>
      <c r="T10" s="138"/>
      <c r="U10" s="138"/>
      <c r="V10" s="138"/>
      <c r="W10" s="159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</row>
    <row r="11" spans="1:46" s="137" customFormat="1" ht="18" customHeight="1">
      <c r="A11" s="144" t="s">
        <v>309</v>
      </c>
      <c r="B11" s="138"/>
      <c r="C11" s="138"/>
      <c r="D11" s="144" t="s">
        <v>305</v>
      </c>
      <c r="E11" s="138"/>
      <c r="F11" s="144" t="s">
        <v>308</v>
      </c>
      <c r="G11" s="138"/>
      <c r="H11" s="138"/>
      <c r="I11" s="138"/>
      <c r="J11" s="138"/>
      <c r="K11" s="138"/>
      <c r="L11" s="138"/>
      <c r="M11" s="138"/>
      <c r="N11" s="138"/>
      <c r="O11" s="138"/>
      <c r="P11" s="145"/>
      <c r="Q11" s="138"/>
      <c r="R11" s="138"/>
      <c r="S11" s="138"/>
      <c r="T11" s="138"/>
      <c r="U11" s="138"/>
      <c r="V11" s="138"/>
      <c r="W11" s="159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</row>
    <row r="12" spans="1:46" s="137" customFormat="1" ht="18" customHeight="1" thickBot="1">
      <c r="A12" s="144" t="s">
        <v>310</v>
      </c>
      <c r="B12" s="144" t="s">
        <v>92</v>
      </c>
      <c r="C12" s="138"/>
      <c r="D12" s="144" t="s">
        <v>306</v>
      </c>
      <c r="E12" s="144" t="s">
        <v>307</v>
      </c>
      <c r="F12" s="144" t="s">
        <v>306</v>
      </c>
      <c r="G12" s="144" t="s">
        <v>307</v>
      </c>
      <c r="H12" s="145">
        <v>2015</v>
      </c>
      <c r="I12" s="144" t="s">
        <v>307</v>
      </c>
      <c r="J12" s="145">
        <v>2014</v>
      </c>
      <c r="K12" s="144" t="s">
        <v>307</v>
      </c>
      <c r="L12" s="145">
        <v>2013</v>
      </c>
      <c r="M12" s="144" t="s">
        <v>307</v>
      </c>
      <c r="N12" s="145">
        <v>2012</v>
      </c>
      <c r="O12" s="144" t="s">
        <v>307</v>
      </c>
      <c r="P12" s="145">
        <v>2011</v>
      </c>
      <c r="Q12" s="138"/>
      <c r="R12" s="138"/>
      <c r="S12" s="138"/>
      <c r="T12" s="138"/>
      <c r="U12" s="138"/>
      <c r="V12" s="138"/>
      <c r="W12" s="392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</row>
    <row r="13" spans="1:46" s="137" customFormat="1" ht="15" customHeight="1">
      <c r="A13" s="146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38"/>
      <c r="R13" s="138"/>
      <c r="S13" s="138"/>
      <c r="T13" s="138"/>
      <c r="U13" s="138"/>
      <c r="V13" s="138"/>
      <c r="W13" s="15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</row>
    <row r="14" spans="1:46" s="137" customFormat="1" ht="15" customHeight="1">
      <c r="A14" s="144">
        <v>1</v>
      </c>
      <c r="B14" s="497" t="s">
        <v>335</v>
      </c>
      <c r="C14" s="497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59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</row>
    <row r="15" spans="1:46" s="137" customFormat="1" ht="15" customHeight="1">
      <c r="A15" s="144"/>
      <c r="B15" s="148"/>
      <c r="C15" s="14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45"/>
      <c r="S15" s="167"/>
      <c r="T15" s="167"/>
      <c r="U15" s="167"/>
      <c r="V15" s="138"/>
      <c r="W15" s="159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</row>
    <row r="16" spans="1:46" s="137" customFormat="1" ht="15" customHeight="1">
      <c r="A16" s="144">
        <f>A14+1</f>
        <v>2</v>
      </c>
      <c r="B16" s="150" t="s">
        <v>284</v>
      </c>
      <c r="C16" s="138"/>
      <c r="D16" s="151"/>
      <c r="E16" s="152"/>
      <c r="F16" s="151"/>
      <c r="G16" s="152"/>
      <c r="H16" s="151"/>
      <c r="I16" s="152"/>
      <c r="J16" s="151"/>
      <c r="K16" s="152"/>
      <c r="L16" s="151"/>
      <c r="M16" s="152"/>
      <c r="N16" s="151"/>
      <c r="O16" s="152"/>
      <c r="P16" s="151"/>
      <c r="Q16" s="153"/>
      <c r="R16" s="112"/>
      <c r="S16" s="169"/>
      <c r="T16" s="169"/>
      <c r="U16" s="169"/>
      <c r="V16" s="138"/>
      <c r="W16" s="151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</row>
    <row r="17" spans="1:46" s="137" customFormat="1" ht="15" customHeight="1">
      <c r="A17" s="144">
        <f t="shared" ref="A17:A21" si="0">A16+1</f>
        <v>3</v>
      </c>
      <c r="B17" s="138" t="s">
        <v>300</v>
      </c>
      <c r="C17" s="138"/>
      <c r="D17" s="94">
        <f>'BS G'!X9*1000-D18</f>
        <v>1282774577.0273829</v>
      </c>
      <c r="E17" s="154">
        <f t="shared" ref="E17:E21" si="1">(+D17-F17)/F17</f>
        <v>5.3871946510656327E-2</v>
      </c>
      <c r="F17" s="94">
        <f>'BS G'!G9*1000-F18</f>
        <v>1217201559.7099984</v>
      </c>
      <c r="G17" s="154">
        <f t="shared" ref="G17:O21" si="2">(+F17-H17)/H17</f>
        <v>0.10345039304282269</v>
      </c>
      <c r="H17" s="94">
        <v>1103086797</v>
      </c>
      <c r="I17" s="154">
        <f t="shared" si="2"/>
        <v>7.4579056038694316E-2</v>
      </c>
      <c r="J17" s="94">
        <v>1026529217</v>
      </c>
      <c r="K17" s="154">
        <f t="shared" si="2"/>
        <v>0.12383667753542175</v>
      </c>
      <c r="L17" s="94">
        <v>913414945</v>
      </c>
      <c r="M17" s="154">
        <f t="shared" si="2"/>
        <v>8.2118706847127965E-2</v>
      </c>
      <c r="N17" s="94">
        <v>844098655</v>
      </c>
      <c r="O17" s="154">
        <f t="shared" si="2"/>
        <v>6.7262372987056479E-2</v>
      </c>
      <c r="P17" s="94">
        <v>790900791</v>
      </c>
      <c r="Q17" s="155"/>
      <c r="R17" s="88"/>
      <c r="S17" s="171"/>
      <c r="T17" s="171"/>
      <c r="U17" s="171"/>
      <c r="V17" s="138"/>
      <c r="W17" s="393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</row>
    <row r="18" spans="1:46" s="137" customFormat="1" ht="15" customHeight="1">
      <c r="A18" s="333">
        <f t="shared" si="0"/>
        <v>4</v>
      </c>
      <c r="B18" s="138" t="s">
        <v>135</v>
      </c>
      <c r="C18" s="138"/>
      <c r="D18" s="399">
        <f>'SCH B-4'!H54</f>
        <v>29923145.940769225</v>
      </c>
      <c r="E18" s="154">
        <f t="shared" si="1"/>
        <v>3.2990196676127854</v>
      </c>
      <c r="F18" s="399">
        <f>'SCH B-4'!H26</f>
        <v>6960458.0240000002</v>
      </c>
      <c r="G18" s="154">
        <f t="shared" si="2"/>
        <v>-0.72709418010959581</v>
      </c>
      <c r="H18" s="399">
        <v>25504982</v>
      </c>
      <c r="I18" s="154">
        <f t="shared" si="2"/>
        <v>7.3457319109056313E-2</v>
      </c>
      <c r="J18" s="399">
        <v>23759661</v>
      </c>
      <c r="K18" s="154">
        <f t="shared" si="2"/>
        <v>-0.61236564386838377</v>
      </c>
      <c r="L18" s="399">
        <v>61294002</v>
      </c>
      <c r="M18" s="154">
        <f t="shared" si="2"/>
        <v>-5.3688724118439351E-3</v>
      </c>
      <c r="N18" s="399">
        <v>61624858</v>
      </c>
      <c r="O18" s="154">
        <f t="shared" si="2"/>
        <v>0.18838543355640255</v>
      </c>
      <c r="P18" s="399">
        <v>51855952</v>
      </c>
      <c r="Q18" s="138"/>
      <c r="R18" s="88"/>
      <c r="S18" s="173"/>
      <c r="T18" s="173"/>
      <c r="U18" s="173"/>
      <c r="V18" s="138"/>
      <c r="W18" s="95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</row>
    <row r="19" spans="1:46" s="137" customFormat="1" ht="15" customHeight="1">
      <c r="A19" s="144">
        <f t="shared" si="0"/>
        <v>5</v>
      </c>
      <c r="B19" s="138" t="s">
        <v>336</v>
      </c>
      <c r="C19" s="138"/>
      <c r="D19" s="86">
        <f>D17+D18</f>
        <v>1312697722.968152</v>
      </c>
      <c r="E19" s="154">
        <f t="shared" si="1"/>
        <v>7.2323519233213077E-2</v>
      </c>
      <c r="F19" s="86">
        <f>F17+F18</f>
        <v>1224162017.7339983</v>
      </c>
      <c r="G19" s="154">
        <f t="shared" si="2"/>
        <v>8.4680963048197347E-2</v>
      </c>
      <c r="H19" s="86">
        <f>H17+H18</f>
        <v>1128591779</v>
      </c>
      <c r="I19" s="154">
        <f t="shared" si="2"/>
        <v>7.4553680078101328E-2</v>
      </c>
      <c r="J19" s="86">
        <f>J17+J18</f>
        <v>1050288878</v>
      </c>
      <c r="K19" s="154">
        <f t="shared" si="2"/>
        <v>7.7541025177436884E-2</v>
      </c>
      <c r="L19" s="86">
        <f>L17+L18</f>
        <v>974708947</v>
      </c>
      <c r="M19" s="154">
        <f t="shared" si="2"/>
        <v>7.6166106996054098E-2</v>
      </c>
      <c r="N19" s="86">
        <f>N17+N18</f>
        <v>905723513</v>
      </c>
      <c r="O19" s="154">
        <f t="shared" si="2"/>
        <v>7.4715237253224806E-2</v>
      </c>
      <c r="P19" s="86">
        <f>P17+P18</f>
        <v>842756743</v>
      </c>
      <c r="Q19" s="155"/>
      <c r="R19" s="88"/>
      <c r="S19" s="173"/>
      <c r="T19" s="173"/>
      <c r="U19" s="173"/>
      <c r="V19" s="138"/>
      <c r="W19" s="394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</row>
    <row r="20" spans="1:46" s="137" customFormat="1" ht="15" customHeight="1">
      <c r="A20" s="333">
        <f t="shared" si="0"/>
        <v>6</v>
      </c>
      <c r="B20" s="138" t="s">
        <v>337</v>
      </c>
      <c r="C20" s="138"/>
      <c r="D20" s="95">
        <f>-'BS G'!X10*1000</f>
        <v>376216941.26903617</v>
      </c>
      <c r="E20" s="154">
        <f t="shared" si="1"/>
        <v>6.3496925914728636E-2</v>
      </c>
      <c r="F20" s="95">
        <f>-'BS G'!G10*1000</f>
        <v>353754610.94581604</v>
      </c>
      <c r="G20" s="154">
        <f t="shared" si="2"/>
        <v>7.2880467557536702E-2</v>
      </c>
      <c r="H20" s="95">
        <v>329724160</v>
      </c>
      <c r="I20" s="154">
        <f t="shared" si="2"/>
        <v>5.2632291370765222E-2</v>
      </c>
      <c r="J20" s="95">
        <v>313237740</v>
      </c>
      <c r="K20" s="154">
        <f t="shared" si="2"/>
        <v>6.1393321369158066E-2</v>
      </c>
      <c r="L20" s="95">
        <v>295119381</v>
      </c>
      <c r="M20" s="154">
        <f t="shared" si="2"/>
        <v>6.1195468832553231E-2</v>
      </c>
      <c r="N20" s="95">
        <v>278100868</v>
      </c>
      <c r="O20" s="154">
        <f t="shared" si="2"/>
        <v>5.002629059778433E-2</v>
      </c>
      <c r="P20" s="95">
        <v>264851338</v>
      </c>
      <c r="Q20" s="138"/>
      <c r="R20" s="88"/>
      <c r="S20" s="173"/>
      <c r="T20" s="173"/>
      <c r="U20" s="173"/>
      <c r="V20" s="138"/>
      <c r="W20" s="95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</row>
    <row r="21" spans="1:46" s="137" customFormat="1" ht="15" customHeight="1">
      <c r="A21" s="144">
        <f t="shared" si="0"/>
        <v>7</v>
      </c>
      <c r="B21" s="138" t="s">
        <v>338</v>
      </c>
      <c r="C21" s="138"/>
      <c r="D21" s="87">
        <f>D19-D20</f>
        <v>936480781.69911587</v>
      </c>
      <c r="E21" s="154">
        <f t="shared" si="1"/>
        <v>7.5910860127839971E-2</v>
      </c>
      <c r="F21" s="87">
        <f>F19-F20</f>
        <v>870407406.78818226</v>
      </c>
      <c r="G21" s="154">
        <f t="shared" si="2"/>
        <v>8.9551492746362343E-2</v>
      </c>
      <c r="H21" s="87">
        <f>H19-H20</f>
        <v>798867619</v>
      </c>
      <c r="I21" s="154">
        <f t="shared" si="2"/>
        <v>8.3870002789412965E-2</v>
      </c>
      <c r="J21" s="87">
        <f>J19-J20</f>
        <v>737051138</v>
      </c>
      <c r="K21" s="154">
        <f t="shared" si="2"/>
        <v>8.4553346423803105E-2</v>
      </c>
      <c r="L21" s="87">
        <f>L19-L20</f>
        <v>679589566</v>
      </c>
      <c r="M21" s="154">
        <f t="shared" si="2"/>
        <v>8.279962715494435E-2</v>
      </c>
      <c r="N21" s="87">
        <f>N19-N20</f>
        <v>627622645</v>
      </c>
      <c r="O21" s="154">
        <f t="shared" si="2"/>
        <v>8.6030065768289532E-2</v>
      </c>
      <c r="P21" s="87">
        <f>P19-P20</f>
        <v>577905405</v>
      </c>
      <c r="Q21" s="138"/>
      <c r="R21" s="88"/>
      <c r="S21" s="173"/>
      <c r="T21" s="173"/>
      <c r="U21" s="173"/>
      <c r="V21" s="138"/>
      <c r="W21" s="394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</row>
    <row r="22" spans="1:46" s="137" customFormat="1" ht="15" customHeight="1">
      <c r="A22" s="144"/>
      <c r="B22" s="138"/>
      <c r="C22" s="138"/>
      <c r="D22" s="88"/>
      <c r="E22" s="157"/>
      <c r="F22" s="88"/>
      <c r="G22" s="157"/>
      <c r="H22" s="88"/>
      <c r="I22" s="157"/>
      <c r="J22" s="88"/>
      <c r="K22" s="157"/>
      <c r="L22" s="88"/>
      <c r="M22" s="157"/>
      <c r="N22" s="88"/>
      <c r="O22" s="157"/>
      <c r="P22" s="88"/>
      <c r="Q22" s="138"/>
      <c r="R22" s="88"/>
      <c r="S22" s="173"/>
      <c r="T22" s="173"/>
      <c r="U22" s="173"/>
      <c r="V22" s="138"/>
      <c r="W22" s="395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</row>
    <row r="23" spans="1:46" s="137" customFormat="1" ht="15" customHeight="1">
      <c r="A23" s="144">
        <f>A21+1</f>
        <v>8</v>
      </c>
      <c r="B23" s="150" t="s">
        <v>339</v>
      </c>
      <c r="C23" s="138"/>
      <c r="D23" s="89"/>
      <c r="E23" s="157"/>
      <c r="F23" s="89"/>
      <c r="G23" s="157"/>
      <c r="H23" s="89"/>
      <c r="I23" s="157"/>
      <c r="J23" s="89"/>
      <c r="K23" s="157"/>
      <c r="L23" s="89"/>
      <c r="M23" s="157"/>
      <c r="N23" s="89"/>
      <c r="O23" s="157"/>
      <c r="P23" s="89"/>
      <c r="Q23" s="138"/>
      <c r="R23" s="174"/>
      <c r="S23" s="169"/>
      <c r="T23" s="169"/>
      <c r="U23" s="169"/>
      <c r="V23" s="138"/>
      <c r="W23" s="396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</row>
    <row r="24" spans="1:46" s="137" customFormat="1" ht="15" customHeight="1">
      <c r="A24" s="144">
        <f t="shared" ref="A24:A28" si="3">A23+1</f>
        <v>9</v>
      </c>
      <c r="B24" s="138" t="s">
        <v>340</v>
      </c>
      <c r="C24" s="138"/>
      <c r="D24" s="94">
        <f>'BS G'!X19*1000</f>
        <v>170260.53900000005</v>
      </c>
      <c r="E24" s="154">
        <f t="shared" ref="E24:E28" si="4">(+D24-F24)/F24</f>
        <v>1.7093702761468235E-16</v>
      </c>
      <c r="F24" s="94">
        <f>'BS G'!G19*1000</f>
        <v>170260.53900000002</v>
      </c>
      <c r="G24" s="154">
        <f t="shared" ref="G24:O28" si="5">(+F24-H24)/H24</f>
        <v>4.1551994621247187E-3</v>
      </c>
      <c r="H24" s="94">
        <v>169556</v>
      </c>
      <c r="I24" s="154">
        <f t="shared" si="5"/>
        <v>-9.1331734536948103E-4</v>
      </c>
      <c r="J24" s="94">
        <v>169711</v>
      </c>
      <c r="K24" s="154">
        <f t="shared" si="5"/>
        <v>0.20148529921912056</v>
      </c>
      <c r="L24" s="94">
        <v>141251</v>
      </c>
      <c r="M24" s="154">
        <f t="shared" si="5"/>
        <v>8.4532860393521609</v>
      </c>
      <c r="N24" s="94">
        <v>14942</v>
      </c>
      <c r="O24" s="154">
        <f t="shared" si="5"/>
        <v>3.3373004354136429</v>
      </c>
      <c r="P24" s="94">
        <v>3445</v>
      </c>
      <c r="Q24" s="155"/>
      <c r="R24" s="112"/>
      <c r="S24" s="169"/>
      <c r="T24" s="169"/>
      <c r="U24" s="169"/>
      <c r="V24" s="138"/>
      <c r="W24" s="393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</row>
    <row r="25" spans="1:46" s="137" customFormat="1" ht="15" customHeight="1">
      <c r="A25" s="144">
        <f t="shared" si="3"/>
        <v>10</v>
      </c>
      <c r="B25" s="138" t="s">
        <v>341</v>
      </c>
      <c r="C25" s="138"/>
      <c r="D25" s="91">
        <v>0</v>
      </c>
      <c r="E25" s="154">
        <v>0</v>
      </c>
      <c r="F25" s="91">
        <v>0</v>
      </c>
      <c r="G25" s="154">
        <v>0</v>
      </c>
      <c r="H25" s="91">
        <v>0</v>
      </c>
      <c r="I25" s="154">
        <v>0</v>
      </c>
      <c r="J25" s="91">
        <v>0</v>
      </c>
      <c r="K25" s="154">
        <v>0</v>
      </c>
      <c r="L25" s="91">
        <v>0</v>
      </c>
      <c r="M25" s="154">
        <v>0</v>
      </c>
      <c r="N25" s="91">
        <v>0</v>
      </c>
      <c r="O25" s="154">
        <v>0</v>
      </c>
      <c r="P25" s="91">
        <v>0</v>
      </c>
      <c r="Q25" s="155"/>
      <c r="R25" s="174"/>
      <c r="S25" s="169"/>
      <c r="T25" s="169"/>
      <c r="U25" s="169"/>
      <c r="V25" s="138"/>
      <c r="W25" s="95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</row>
    <row r="26" spans="1:46" s="137" customFormat="1" ht="15" customHeight="1">
      <c r="A26" s="144">
        <f t="shared" si="3"/>
        <v>11</v>
      </c>
      <c r="B26" s="138" t="s">
        <v>342</v>
      </c>
      <c r="C26" s="138"/>
      <c r="D26" s="91">
        <f>'BS G'!X17*1000</f>
        <v>0</v>
      </c>
      <c r="E26" s="154">
        <v>0</v>
      </c>
      <c r="F26" s="91">
        <f>'BS G'!G17*1000</f>
        <v>0</v>
      </c>
      <c r="G26" s="154">
        <v>0</v>
      </c>
      <c r="H26" s="91">
        <v>0</v>
      </c>
      <c r="I26" s="154">
        <v>0</v>
      </c>
      <c r="J26" s="91">
        <v>0</v>
      </c>
      <c r="K26" s="154">
        <v>0</v>
      </c>
      <c r="L26" s="91">
        <v>0</v>
      </c>
      <c r="M26" s="154">
        <v>0</v>
      </c>
      <c r="N26" s="91">
        <v>0</v>
      </c>
      <c r="O26" s="154">
        <v>0</v>
      </c>
      <c r="P26" s="91">
        <v>0</v>
      </c>
      <c r="Q26" s="155"/>
      <c r="R26" s="174"/>
      <c r="S26" s="173"/>
      <c r="T26" s="173"/>
      <c r="U26" s="173"/>
      <c r="V26" s="138"/>
      <c r="W26" s="95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</row>
    <row r="27" spans="1:46" s="137" customFormat="1" ht="15" customHeight="1">
      <c r="A27" s="333">
        <f t="shared" si="3"/>
        <v>12</v>
      </c>
      <c r="B27" s="138" t="s">
        <v>343</v>
      </c>
      <c r="C27" s="138"/>
      <c r="D27" s="95">
        <f>'BS G'!X20*1000</f>
        <v>1518822.1648711772</v>
      </c>
      <c r="E27" s="154">
        <f t="shared" si="4"/>
        <v>1.7962049429933277E-2</v>
      </c>
      <c r="F27" s="95">
        <f>'BS G'!G20*1000</f>
        <v>1492022.3850405125</v>
      </c>
      <c r="G27" s="154">
        <f t="shared" si="5"/>
        <v>-2.7615827308913383E-2</v>
      </c>
      <c r="H27" s="95">
        <v>1534396</v>
      </c>
      <c r="I27" s="154">
        <f t="shared" si="5"/>
        <v>-0.58351978272617744</v>
      </c>
      <c r="J27" s="95">
        <v>3684199</v>
      </c>
      <c r="K27" s="154">
        <f t="shared" si="5"/>
        <v>-0.14992610709568005</v>
      </c>
      <c r="L27" s="95">
        <v>4333975</v>
      </c>
      <c r="M27" s="154">
        <f t="shared" si="5"/>
        <v>-0.35576519155765102</v>
      </c>
      <c r="N27" s="95">
        <v>6727322</v>
      </c>
      <c r="O27" s="154">
        <f t="shared" si="5"/>
        <v>0.10946316723956775</v>
      </c>
      <c r="P27" s="95">
        <v>6063583</v>
      </c>
      <c r="Q27" s="138"/>
      <c r="R27" s="88"/>
      <c r="S27" s="173"/>
      <c r="T27" s="173"/>
      <c r="U27" s="173"/>
      <c r="V27" s="138"/>
      <c r="W27" s="95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</row>
    <row r="28" spans="1:46" s="137" customFormat="1" ht="15" customHeight="1">
      <c r="A28" s="144">
        <f t="shared" si="3"/>
        <v>13</v>
      </c>
      <c r="B28" s="138" t="s">
        <v>344</v>
      </c>
      <c r="C28" s="138"/>
      <c r="D28" s="90">
        <f>SUM(D24:D27)</f>
        <v>1689082.7038711773</v>
      </c>
      <c r="E28" s="154">
        <f t="shared" si="4"/>
        <v>1.6122273436775962E-2</v>
      </c>
      <c r="F28" s="90">
        <f>SUM(F24:F27)</f>
        <v>1662282.9240405126</v>
      </c>
      <c r="G28" s="154">
        <f t="shared" si="5"/>
        <v>-2.4454371930363854E-2</v>
      </c>
      <c r="H28" s="90">
        <f>SUM(H24:H27)</f>
        <v>1703952</v>
      </c>
      <c r="I28" s="154">
        <f t="shared" si="5"/>
        <v>-0.55786409127353775</v>
      </c>
      <c r="J28" s="90">
        <v>3853910</v>
      </c>
      <c r="K28" s="154">
        <f t="shared" si="5"/>
        <v>-0.13883455271309203</v>
      </c>
      <c r="L28" s="90">
        <f>SUM(L24:L27)</f>
        <v>4475226</v>
      </c>
      <c r="M28" s="154">
        <f t="shared" si="5"/>
        <v>-0.33624284068378218</v>
      </c>
      <c r="N28" s="90">
        <f>SUM(N24:N27)</f>
        <v>6742264</v>
      </c>
      <c r="O28" s="154">
        <f t="shared" si="5"/>
        <v>0.11129600852344838</v>
      </c>
      <c r="P28" s="90">
        <f>SUM(P24:P27)</f>
        <v>6067028</v>
      </c>
      <c r="Q28" s="138"/>
      <c r="R28" s="175"/>
      <c r="S28" s="169"/>
      <c r="T28" s="169"/>
      <c r="U28" s="169"/>
      <c r="V28" s="138"/>
      <c r="W28" s="397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</row>
    <row r="29" spans="1:46" s="137" customFormat="1" ht="15" customHeight="1">
      <c r="A29" s="144"/>
      <c r="B29" s="138"/>
      <c r="C29" s="138"/>
      <c r="D29" s="89"/>
      <c r="E29" s="157"/>
      <c r="F29" s="89"/>
      <c r="G29" s="157"/>
      <c r="H29" s="89"/>
      <c r="I29" s="157"/>
      <c r="J29" s="89"/>
      <c r="K29" s="157"/>
      <c r="L29" s="89"/>
      <c r="M29" s="157"/>
      <c r="N29" s="89"/>
      <c r="O29" s="157"/>
      <c r="P29" s="89"/>
      <c r="Q29" s="138"/>
      <c r="R29" s="174"/>
      <c r="S29" s="169"/>
      <c r="T29" s="169"/>
      <c r="U29" s="169"/>
      <c r="V29" s="138"/>
      <c r="W29" s="396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</row>
    <row r="30" spans="1:46" s="137" customFormat="1" ht="15" customHeight="1">
      <c r="A30" s="144">
        <f>A28+1</f>
        <v>14</v>
      </c>
      <c r="B30" s="150" t="s">
        <v>285</v>
      </c>
      <c r="C30" s="138"/>
      <c r="D30" s="88"/>
      <c r="E30" s="152"/>
      <c r="F30" s="88"/>
      <c r="G30" s="152"/>
      <c r="H30" s="88"/>
      <c r="I30" s="152"/>
      <c r="J30" s="88"/>
      <c r="K30" s="152"/>
      <c r="L30" s="88"/>
      <c r="M30" s="152"/>
      <c r="N30" s="88"/>
      <c r="O30" s="152"/>
      <c r="P30" s="88"/>
      <c r="Q30" s="138"/>
      <c r="R30" s="112"/>
      <c r="S30" s="169"/>
      <c r="T30" s="169"/>
      <c r="U30" s="169"/>
      <c r="V30" s="138"/>
      <c r="W30" s="395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</row>
    <row r="31" spans="1:46" s="137" customFormat="1" ht="15" customHeight="1">
      <c r="A31" s="144">
        <f t="shared" ref="A31:A47" si="6">A30+1</f>
        <v>15</v>
      </c>
      <c r="B31" s="138" t="s">
        <v>345</v>
      </c>
      <c r="C31" s="138"/>
      <c r="D31" s="94">
        <f>'BS G'!X26*1000</f>
        <v>870615.72583006066</v>
      </c>
      <c r="E31" s="154">
        <f t="shared" ref="E31:E47" si="7">(+D31-F31)/F31</f>
        <v>1.7962049429933256E-2</v>
      </c>
      <c r="F31" s="94">
        <f>'BS G'!G26*1000</f>
        <v>855253.61806720821</v>
      </c>
      <c r="G31" s="154">
        <f t="shared" ref="G31:O47" si="8">(+F31-H31)/H31</f>
        <v>7.0032716475038903</v>
      </c>
      <c r="H31" s="94">
        <v>106863</v>
      </c>
      <c r="I31" s="154">
        <f t="shared" si="8"/>
        <v>-0.74309987955891155</v>
      </c>
      <c r="J31" s="94">
        <v>415971</v>
      </c>
      <c r="K31" s="154">
        <f t="shared" si="8"/>
        <v>0.57677057904871654</v>
      </c>
      <c r="L31" s="94">
        <v>263812</v>
      </c>
      <c r="M31" s="154">
        <f t="shared" si="8"/>
        <v>-0.84258497369474683</v>
      </c>
      <c r="N31" s="94">
        <v>1675901</v>
      </c>
      <c r="O31" s="154">
        <f t="shared" si="8"/>
        <v>-0.68006691501762218</v>
      </c>
      <c r="P31" s="94">
        <v>5238286</v>
      </c>
      <c r="Q31" s="138"/>
      <c r="R31" s="174"/>
      <c r="S31" s="169"/>
      <c r="T31" s="169"/>
      <c r="U31" s="169"/>
      <c r="V31" s="138"/>
      <c r="W31" s="393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</row>
    <row r="32" spans="1:46" s="137" customFormat="1" ht="15" customHeight="1">
      <c r="A32" s="144">
        <f t="shared" si="6"/>
        <v>16</v>
      </c>
      <c r="B32" s="138" t="s">
        <v>346</v>
      </c>
      <c r="C32" s="138"/>
      <c r="D32" s="91">
        <v>0</v>
      </c>
      <c r="E32" s="154">
        <v>0</v>
      </c>
      <c r="F32" s="91">
        <v>0</v>
      </c>
      <c r="G32" s="154">
        <v>0</v>
      </c>
      <c r="H32" s="91">
        <v>0</v>
      </c>
      <c r="I32" s="154">
        <v>0</v>
      </c>
      <c r="J32" s="91">
        <v>0</v>
      </c>
      <c r="K32" s="154">
        <v>0</v>
      </c>
      <c r="L32" s="91">
        <v>0</v>
      </c>
      <c r="M32" s="154">
        <v>0</v>
      </c>
      <c r="N32" s="91">
        <v>0</v>
      </c>
      <c r="O32" s="154">
        <v>0</v>
      </c>
      <c r="P32" s="91">
        <v>0</v>
      </c>
      <c r="Q32" s="138"/>
      <c r="R32" s="88"/>
      <c r="S32" s="173"/>
      <c r="T32" s="173"/>
      <c r="U32" s="173"/>
      <c r="V32" s="138"/>
      <c r="W32" s="95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</row>
    <row r="33" spans="1:46" s="137" customFormat="1" ht="15" customHeight="1">
      <c r="A33" s="144">
        <f t="shared" si="6"/>
        <v>17</v>
      </c>
      <c r="B33" s="138" t="s">
        <v>347</v>
      </c>
      <c r="C33" s="138"/>
      <c r="D33" s="91">
        <f>'BS G'!X27*1000</f>
        <v>3445.8970428353791</v>
      </c>
      <c r="E33" s="154">
        <f t="shared" si="7"/>
        <v>1.796204942993301E-2</v>
      </c>
      <c r="F33" s="91">
        <f>'BS G'!G27*1000</f>
        <v>3385.09382031001</v>
      </c>
      <c r="G33" s="154">
        <v>1</v>
      </c>
      <c r="H33" s="91">
        <v>0</v>
      </c>
      <c r="I33" s="154">
        <v>0</v>
      </c>
      <c r="J33" s="91">
        <v>0</v>
      </c>
      <c r="K33" s="154">
        <f t="shared" si="8"/>
        <v>-1</v>
      </c>
      <c r="L33" s="91">
        <v>3918</v>
      </c>
      <c r="M33" s="154">
        <f t="shared" si="8"/>
        <v>-7.9633544749823815E-2</v>
      </c>
      <c r="N33" s="91">
        <v>4257</v>
      </c>
      <c r="O33" s="154">
        <f t="shared" si="8"/>
        <v>8.0511484726497745E-3</v>
      </c>
      <c r="P33" s="91">
        <v>4223</v>
      </c>
      <c r="Q33" s="155"/>
      <c r="R33" s="88"/>
      <c r="S33" s="173"/>
      <c r="T33" s="173"/>
      <c r="U33" s="173"/>
      <c r="V33" s="138"/>
      <c r="W33" s="95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</row>
    <row r="34" spans="1:46" s="137" customFormat="1" ht="15" customHeight="1">
      <c r="A34" s="144">
        <f t="shared" si="6"/>
        <v>18</v>
      </c>
      <c r="B34" s="138" t="s">
        <v>348</v>
      </c>
      <c r="C34" s="138"/>
      <c r="D34" s="91">
        <f>'BS G'!X31*1000</f>
        <v>0</v>
      </c>
      <c r="E34" s="154">
        <v>0</v>
      </c>
      <c r="F34" s="91">
        <f>'BS G'!G31*1000</f>
        <v>0</v>
      </c>
      <c r="G34" s="154">
        <f t="shared" si="8"/>
        <v>-1</v>
      </c>
      <c r="H34" s="91">
        <v>2699727</v>
      </c>
      <c r="I34" s="154">
        <f t="shared" si="8"/>
        <v>1.7789435652716332</v>
      </c>
      <c r="J34" s="91">
        <v>971494</v>
      </c>
      <c r="K34" s="154">
        <f t="shared" si="8"/>
        <v>9.215900314440309E-2</v>
      </c>
      <c r="L34" s="91">
        <v>889517</v>
      </c>
      <c r="M34" s="154">
        <f t="shared" si="8"/>
        <v>-0.70734422011768516</v>
      </c>
      <c r="N34" s="91">
        <v>3039465</v>
      </c>
      <c r="O34" s="154">
        <f t="shared" si="8"/>
        <v>436.33309352517983</v>
      </c>
      <c r="P34" s="91">
        <v>6950</v>
      </c>
      <c r="Q34" s="155"/>
      <c r="R34" s="88"/>
      <c r="S34" s="173"/>
      <c r="T34" s="173"/>
      <c r="U34" s="173"/>
      <c r="V34" s="138"/>
      <c r="W34" s="95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</row>
    <row r="35" spans="1:46" s="137" customFormat="1" ht="15" customHeight="1">
      <c r="A35" s="144">
        <f t="shared" si="6"/>
        <v>19</v>
      </c>
      <c r="B35" s="138" t="s">
        <v>349</v>
      </c>
      <c r="C35" s="138"/>
      <c r="D35" s="91">
        <f>'BS G'!X35*1000</f>
        <v>20798596.973722722</v>
      </c>
      <c r="E35" s="154">
        <f t="shared" si="7"/>
        <v>-0.1046976124411077</v>
      </c>
      <c r="F35" s="91">
        <f>'BS G'!G35*1000</f>
        <v>23230807.001902033</v>
      </c>
      <c r="G35" s="154">
        <f t="shared" si="8"/>
        <v>-3.7416751586154769E-2</v>
      </c>
      <c r="H35" s="91">
        <v>24133816</v>
      </c>
      <c r="I35" s="154">
        <f t="shared" si="8"/>
        <v>-0.31649449233497418</v>
      </c>
      <c r="J35" s="91">
        <v>35308883</v>
      </c>
      <c r="K35" s="154">
        <f t="shared" si="8"/>
        <v>4.6173224092919712E-2</v>
      </c>
      <c r="L35" s="91">
        <v>33750513</v>
      </c>
      <c r="M35" s="154">
        <f t="shared" si="8"/>
        <v>1.1774738049044093</v>
      </c>
      <c r="N35" s="91">
        <v>15499848</v>
      </c>
      <c r="O35" s="154">
        <f t="shared" si="8"/>
        <v>0.21803045373179508</v>
      </c>
      <c r="P35" s="91">
        <v>12725337</v>
      </c>
      <c r="Q35" s="138"/>
      <c r="R35" s="88"/>
      <c r="S35" s="173"/>
      <c r="T35" s="173"/>
      <c r="U35" s="173"/>
      <c r="V35" s="138"/>
      <c r="W35" s="95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</row>
    <row r="36" spans="1:46" s="137" customFormat="1" ht="15" customHeight="1">
      <c r="A36" s="144">
        <f t="shared" si="6"/>
        <v>20</v>
      </c>
      <c r="B36" s="138" t="s">
        <v>350</v>
      </c>
      <c r="C36" s="138"/>
      <c r="D36" s="91">
        <f>('BS G'!X36+'BS G'!X37)*1000</f>
        <v>1665804.6291850465</v>
      </c>
      <c r="E36" s="154">
        <f t="shared" si="7"/>
        <v>1.7962049429933485E-2</v>
      </c>
      <c r="F36" s="91">
        <f>('BS G'!G36+'BS G'!G37)*1000</f>
        <v>1636411.3280233874</v>
      </c>
      <c r="G36" s="154">
        <f t="shared" si="8"/>
        <v>6.7602483415139458</v>
      </c>
      <c r="H36" s="91">
        <v>210871</v>
      </c>
      <c r="I36" s="154">
        <f t="shared" si="8"/>
        <v>-6.0896574803335169E-3</v>
      </c>
      <c r="J36" s="91">
        <v>212163</v>
      </c>
      <c r="K36" s="154">
        <f t="shared" si="8"/>
        <v>0.38557238298622676</v>
      </c>
      <c r="L36" s="91">
        <v>153123</v>
      </c>
      <c r="M36" s="154">
        <f t="shared" si="8"/>
        <v>-0.91804144734940574</v>
      </c>
      <c r="N36" s="91">
        <v>1868298</v>
      </c>
      <c r="O36" s="154">
        <f t="shared" si="8"/>
        <v>0.62550593197629301</v>
      </c>
      <c r="P36" s="91">
        <v>1149364</v>
      </c>
      <c r="Q36" s="155"/>
      <c r="R36" s="88"/>
      <c r="S36" s="173"/>
      <c r="T36" s="173"/>
      <c r="U36" s="173"/>
      <c r="V36" s="138"/>
      <c r="W36" s="95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</row>
    <row r="37" spans="1:46" s="137" customFormat="1" ht="15" customHeight="1">
      <c r="A37" s="144">
        <f t="shared" si="6"/>
        <v>21</v>
      </c>
      <c r="B37" s="138" t="s">
        <v>351</v>
      </c>
      <c r="C37" s="160"/>
      <c r="D37" s="91">
        <f>-('BS G'!X39+'BS G'!X40)*1000</f>
        <v>268255.29625645094</v>
      </c>
      <c r="E37" s="154">
        <f t="shared" si="7"/>
        <v>1.7962049429933385E-2</v>
      </c>
      <c r="F37" s="91">
        <f>-('BS G'!G39+'BS G'!G40)*1000</f>
        <v>263521.9028122669</v>
      </c>
      <c r="G37" s="154">
        <f t="shared" si="8"/>
        <v>0.21896478854808102</v>
      </c>
      <c r="H37" s="91">
        <v>216185</v>
      </c>
      <c r="I37" s="154">
        <f t="shared" si="8"/>
        <v>-0.64473290672030548</v>
      </c>
      <c r="J37" s="91">
        <v>608514</v>
      </c>
      <c r="K37" s="154">
        <f t="shared" si="8"/>
        <v>0.47006073373307111</v>
      </c>
      <c r="L37" s="91">
        <v>413938</v>
      </c>
      <c r="M37" s="154">
        <f t="shared" si="8"/>
        <v>-0.10228150075905444</v>
      </c>
      <c r="N37" s="91">
        <v>461100</v>
      </c>
      <c r="O37" s="154">
        <f t="shared" si="8"/>
        <v>-0.19391353144891027</v>
      </c>
      <c r="P37" s="91">
        <v>572023</v>
      </c>
      <c r="Q37" s="155"/>
      <c r="R37" s="88"/>
      <c r="S37" s="173"/>
      <c r="T37" s="173"/>
      <c r="U37" s="173"/>
      <c r="V37" s="138"/>
      <c r="W37" s="95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</row>
    <row r="38" spans="1:46" s="137" customFormat="1" ht="15" customHeight="1">
      <c r="A38" s="144">
        <f t="shared" si="6"/>
        <v>22</v>
      </c>
      <c r="B38" s="138" t="s">
        <v>352</v>
      </c>
      <c r="C38" s="138"/>
      <c r="D38" s="91">
        <f>'BS G'!X50*1000</f>
        <v>4071097.1481174687</v>
      </c>
      <c r="E38" s="154">
        <f t="shared" si="7"/>
        <v>-1.5690367101581837E-2</v>
      </c>
      <c r="F38" s="91">
        <f>'BS G'!G50*1000</f>
        <v>4135992.386998828</v>
      </c>
      <c r="G38" s="154">
        <f t="shared" si="8"/>
        <v>398.26560353304643</v>
      </c>
      <c r="H38" s="91">
        <v>10359</v>
      </c>
      <c r="I38" s="154">
        <f t="shared" si="8"/>
        <v>-0.45906005221932117</v>
      </c>
      <c r="J38" s="91">
        <v>19150</v>
      </c>
      <c r="K38" s="154">
        <f t="shared" si="8"/>
        <v>211.77777777777777</v>
      </c>
      <c r="L38" s="91">
        <v>90</v>
      </c>
      <c r="M38" s="154">
        <f t="shared" si="8"/>
        <v>-0.99175975096136237</v>
      </c>
      <c r="N38" s="91">
        <v>10922</v>
      </c>
      <c r="O38" s="154">
        <f t="shared" si="8"/>
        <v>-0.98424681243870071</v>
      </c>
      <c r="P38" s="91">
        <v>693320</v>
      </c>
      <c r="Q38" s="155"/>
      <c r="R38" s="176"/>
      <c r="S38" s="173"/>
      <c r="T38" s="173"/>
      <c r="U38" s="173"/>
      <c r="V38" s="138"/>
      <c r="W38" s="95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</row>
    <row r="39" spans="1:46" s="137" customFormat="1" ht="15" customHeight="1">
      <c r="A39" s="144">
        <f t="shared" si="6"/>
        <v>23</v>
      </c>
      <c r="B39" s="138" t="s">
        <v>353</v>
      </c>
      <c r="C39" s="138"/>
      <c r="D39" s="91">
        <f>'BS G'!X53*1000</f>
        <v>0</v>
      </c>
      <c r="E39" s="154">
        <v>0</v>
      </c>
      <c r="F39" s="91">
        <f>'BS G'!G53*1000</f>
        <v>0</v>
      </c>
      <c r="G39" s="154">
        <v>0</v>
      </c>
      <c r="H39" s="91">
        <v>0</v>
      </c>
      <c r="I39" s="154">
        <v>0</v>
      </c>
      <c r="J39" s="91">
        <v>0</v>
      </c>
      <c r="K39" s="154">
        <v>0</v>
      </c>
      <c r="L39" s="91">
        <v>0</v>
      </c>
      <c r="M39" s="154">
        <v>0</v>
      </c>
      <c r="N39" s="91">
        <v>0</v>
      </c>
      <c r="O39" s="154">
        <v>0</v>
      </c>
      <c r="P39" s="91">
        <v>0</v>
      </c>
      <c r="Q39" s="138"/>
      <c r="R39" s="88"/>
      <c r="S39" s="173"/>
      <c r="T39" s="173"/>
      <c r="U39" s="173"/>
      <c r="V39" s="138"/>
      <c r="W39" s="95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</row>
    <row r="40" spans="1:46" s="137" customFormat="1" ht="15" customHeight="1">
      <c r="A40" s="144">
        <f t="shared" si="6"/>
        <v>24</v>
      </c>
      <c r="B40" s="138" t="s">
        <v>354</v>
      </c>
      <c r="C40" s="138"/>
      <c r="D40" s="91">
        <f>('BS G'!X54+'BS G'!X55)*1000</f>
        <v>272576.26950307714</v>
      </c>
      <c r="E40" s="154">
        <f t="shared" si="7"/>
        <v>-1.1052721315507297E-2</v>
      </c>
      <c r="F40" s="91">
        <f>('BS G'!G54+'BS G'!G55)*1000</f>
        <v>275622.64984000032</v>
      </c>
      <c r="G40" s="154">
        <f t="shared" si="8"/>
        <v>25.8690436576331</v>
      </c>
      <c r="H40" s="91">
        <v>10258</v>
      </c>
      <c r="I40" s="154">
        <f t="shared" si="8"/>
        <v>0</v>
      </c>
      <c r="J40" s="91">
        <v>10258</v>
      </c>
      <c r="K40" s="154">
        <f t="shared" si="8"/>
        <v>0</v>
      </c>
      <c r="L40" s="91">
        <v>10258</v>
      </c>
      <c r="M40" s="154">
        <f t="shared" si="8"/>
        <v>-14.16816431322208</v>
      </c>
      <c r="N40" s="91">
        <v>-779</v>
      </c>
      <c r="O40" s="154">
        <f t="shared" si="8"/>
        <v>-1.4005141388174807</v>
      </c>
      <c r="P40" s="91">
        <v>1945</v>
      </c>
      <c r="Q40" s="155"/>
      <c r="R40" s="88"/>
      <c r="S40" s="173"/>
      <c r="T40" s="173"/>
      <c r="U40" s="173"/>
      <c r="V40" s="138"/>
      <c r="W40" s="95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</row>
    <row r="41" spans="1:46" s="137" customFormat="1" ht="15" customHeight="1">
      <c r="A41" s="144">
        <f>A40+1</f>
        <v>25</v>
      </c>
      <c r="B41" s="138" t="s">
        <v>355</v>
      </c>
      <c r="C41" s="138"/>
      <c r="D41" s="91">
        <f>'BS G'!X56*1000</f>
        <v>51374.916239999955</v>
      </c>
      <c r="E41" s="154">
        <f t="shared" si="7"/>
        <v>-1.4162471000815846E-16</v>
      </c>
      <c r="F41" s="91">
        <f>'BS G'!G56*1000</f>
        <v>51374.916239999962</v>
      </c>
      <c r="G41" s="154">
        <f t="shared" si="8"/>
        <v>-0.74298406003301831</v>
      </c>
      <c r="H41" s="91">
        <v>199890</v>
      </c>
      <c r="I41" s="154">
        <f t="shared" si="8"/>
        <v>-5.9451829196565109E-2</v>
      </c>
      <c r="J41" s="91">
        <v>212525</v>
      </c>
      <c r="K41" s="154">
        <f t="shared" si="8"/>
        <v>0.13725143945718016</v>
      </c>
      <c r="L41" s="91">
        <v>186876</v>
      </c>
      <c r="M41" s="154">
        <f t="shared" si="8"/>
        <v>6.8197338689430076</v>
      </c>
      <c r="N41" s="91">
        <v>23898</v>
      </c>
      <c r="O41" s="154">
        <f t="shared" si="8"/>
        <v>5.9592312172393713</v>
      </c>
      <c r="P41" s="91">
        <v>3434</v>
      </c>
      <c r="Q41" s="155"/>
      <c r="R41" s="88"/>
      <c r="S41" s="173"/>
      <c r="T41" s="173"/>
      <c r="U41" s="173"/>
      <c r="V41" s="138"/>
      <c r="W41" s="95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</row>
    <row r="42" spans="1:46" s="137" customFormat="1" ht="15" customHeight="1">
      <c r="A42" s="144">
        <f t="shared" si="6"/>
        <v>26</v>
      </c>
      <c r="B42" s="138" t="s">
        <v>634</v>
      </c>
      <c r="C42" s="138"/>
      <c r="D42" s="91">
        <f>'BS G'!X57*1000</f>
        <v>24895211.389706697</v>
      </c>
      <c r="E42" s="154">
        <f t="shared" si="7"/>
        <v>0.61863394795205684</v>
      </c>
      <c r="F42" s="91">
        <f>'BS G'!G57*1000</f>
        <v>15380383.823782301</v>
      </c>
      <c r="G42" s="154">
        <f t="shared" si="8"/>
        <v>-0.6343971882141366</v>
      </c>
      <c r="H42" s="91">
        <v>42068560</v>
      </c>
      <c r="I42" s="154">
        <f t="shared" si="8"/>
        <v>-0.22313040264403977</v>
      </c>
      <c r="J42" s="91">
        <v>54151379</v>
      </c>
      <c r="K42" s="154">
        <f t="shared" si="8"/>
        <v>0.1389048006675011</v>
      </c>
      <c r="L42" s="91">
        <v>47546888</v>
      </c>
      <c r="M42" s="154">
        <f t="shared" si="8"/>
        <v>0.13179513695665102</v>
      </c>
      <c r="N42" s="91">
        <v>42010154</v>
      </c>
      <c r="O42" s="154">
        <f t="shared" si="8"/>
        <v>-0.21163366227474475</v>
      </c>
      <c r="P42" s="91">
        <v>53287605</v>
      </c>
      <c r="Q42" s="155"/>
      <c r="R42" s="88"/>
      <c r="S42" s="173"/>
      <c r="T42" s="173"/>
      <c r="U42" s="173"/>
      <c r="V42" s="138"/>
      <c r="W42" s="95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</row>
    <row r="43" spans="1:46" s="137" customFormat="1" ht="15" customHeight="1">
      <c r="A43" s="144">
        <f t="shared" si="6"/>
        <v>27</v>
      </c>
      <c r="B43" s="138" t="s">
        <v>356</v>
      </c>
      <c r="C43" s="138"/>
      <c r="D43" s="91">
        <f>'BS G'!X64*1000</f>
        <v>2704811.2435196699</v>
      </c>
      <c r="E43" s="154">
        <f t="shared" si="7"/>
        <v>5.717704224314938E-2</v>
      </c>
      <c r="F43" s="91">
        <f>'BS G'!G64*1000</f>
        <v>2558522.4947569063</v>
      </c>
      <c r="G43" s="154">
        <f t="shared" si="8"/>
        <v>1.4300551967267499</v>
      </c>
      <c r="H43" s="91">
        <v>1052866</v>
      </c>
      <c r="I43" s="154">
        <f t="shared" si="8"/>
        <v>-2.2059861640547792E-2</v>
      </c>
      <c r="J43" s="91">
        <v>1076616</v>
      </c>
      <c r="K43" s="154">
        <f t="shared" si="8"/>
        <v>1.0491007957610166</v>
      </c>
      <c r="L43" s="91">
        <v>525409</v>
      </c>
      <c r="M43" s="154">
        <f t="shared" si="8"/>
        <v>-0.35957206397343744</v>
      </c>
      <c r="N43" s="91">
        <v>820403</v>
      </c>
      <c r="O43" s="154">
        <f t="shared" si="8"/>
        <v>0.56735953231568692</v>
      </c>
      <c r="P43" s="91">
        <v>523430</v>
      </c>
      <c r="Q43" s="155"/>
      <c r="R43" s="88"/>
      <c r="S43" s="173"/>
      <c r="T43" s="173"/>
      <c r="U43" s="173"/>
      <c r="V43" s="138"/>
      <c r="W43" s="95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</row>
    <row r="44" spans="1:46" s="137" customFormat="1" ht="15" customHeight="1">
      <c r="A44" s="144">
        <f t="shared" si="6"/>
        <v>28</v>
      </c>
      <c r="B44" s="138" t="s">
        <v>635</v>
      </c>
      <c r="C44" s="138"/>
      <c r="D44" s="91">
        <f>('BS G'!X41+'BS G'!X42)*1000</f>
        <v>116570.58765289502</v>
      </c>
      <c r="E44" s="154">
        <f t="shared" si="7"/>
        <v>1.7962049429933555E-2</v>
      </c>
      <c r="F44" s="91">
        <f>('BS G'!G41+'BS G'!G42)*1000</f>
        <v>114513.68714401036</v>
      </c>
      <c r="G44" s="154">
        <f t="shared" si="8"/>
        <v>271.65163605716754</v>
      </c>
      <c r="H44" s="91">
        <v>420</v>
      </c>
      <c r="I44" s="154">
        <f t="shared" si="8"/>
        <v>7.9691516709511565E-2</v>
      </c>
      <c r="J44" s="91">
        <v>389</v>
      </c>
      <c r="K44" s="154">
        <f t="shared" si="8"/>
        <v>0.22327044025157233</v>
      </c>
      <c r="L44" s="91">
        <v>318</v>
      </c>
      <c r="M44" s="154">
        <f t="shared" si="8"/>
        <v>-0.66666666666666663</v>
      </c>
      <c r="N44" s="91">
        <v>954</v>
      </c>
      <c r="O44" s="154">
        <f t="shared" si="8"/>
        <v>-0.90307832977750691</v>
      </c>
      <c r="P44" s="91">
        <v>9843</v>
      </c>
      <c r="Q44" s="138"/>
      <c r="R44" s="88"/>
      <c r="S44" s="173"/>
      <c r="T44" s="173"/>
      <c r="U44" s="173"/>
      <c r="V44" s="138"/>
      <c r="W44" s="95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</row>
    <row r="45" spans="1:46" s="137" customFormat="1" ht="15" customHeight="1">
      <c r="A45" s="144">
        <f t="shared" si="6"/>
        <v>29</v>
      </c>
      <c r="B45" s="138" t="s">
        <v>357</v>
      </c>
      <c r="C45" s="138"/>
      <c r="D45" s="95">
        <f>'BS G'!X43*1000</f>
        <v>14046381.968384985</v>
      </c>
      <c r="E45" s="154">
        <f t="shared" si="7"/>
        <v>2.6521351240815212E-16</v>
      </c>
      <c r="F45" s="95">
        <f>'BS G'!G43*1000</f>
        <v>14046381.968384981</v>
      </c>
      <c r="G45" s="154">
        <f t="shared" si="8"/>
        <v>-0.23014414162063343</v>
      </c>
      <c r="H45" s="91">
        <v>18245470</v>
      </c>
      <c r="I45" s="154">
        <f t="shared" si="8"/>
        <v>-0.26888648569979606</v>
      </c>
      <c r="J45" s="91">
        <v>24955728</v>
      </c>
      <c r="K45" s="154">
        <f t="shared" si="8"/>
        <v>-0.19068681686903879</v>
      </c>
      <c r="L45" s="91">
        <v>30835687</v>
      </c>
      <c r="M45" s="154">
        <f t="shared" si="8"/>
        <v>0.49327342164249538</v>
      </c>
      <c r="N45" s="91">
        <v>20649726</v>
      </c>
      <c r="O45" s="154">
        <f t="shared" si="8"/>
        <v>-3.3041888759756513E-2</v>
      </c>
      <c r="P45" s="91">
        <v>21355347</v>
      </c>
      <c r="Q45" s="138"/>
      <c r="R45" s="88"/>
      <c r="S45" s="173"/>
      <c r="T45" s="173"/>
      <c r="U45" s="173"/>
      <c r="V45" s="138"/>
      <c r="W45" s="95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</row>
    <row r="46" spans="1:46" s="137" customFormat="1" ht="15" customHeight="1">
      <c r="A46" s="144">
        <f t="shared" si="6"/>
        <v>30</v>
      </c>
      <c r="B46" s="138" t="s">
        <v>358</v>
      </c>
      <c r="C46" s="138"/>
      <c r="D46" s="95">
        <f>'BS G'!X69*1000</f>
        <v>0</v>
      </c>
      <c r="E46" s="154">
        <v>0</v>
      </c>
      <c r="F46" s="95">
        <f>'BS G'!G69*1000</f>
        <v>0</v>
      </c>
      <c r="G46" s="154">
        <v>0</v>
      </c>
      <c r="H46" s="95">
        <v>0</v>
      </c>
      <c r="I46" s="154">
        <v>0</v>
      </c>
      <c r="J46" s="95">
        <v>0</v>
      </c>
      <c r="K46" s="154">
        <v>0</v>
      </c>
      <c r="L46" s="95">
        <v>0</v>
      </c>
      <c r="M46" s="154">
        <f t="shared" si="8"/>
        <v>-1</v>
      </c>
      <c r="N46" s="95">
        <v>1513448</v>
      </c>
      <c r="O46" s="154">
        <v>1</v>
      </c>
      <c r="P46" s="95">
        <v>0</v>
      </c>
      <c r="Q46" s="138"/>
      <c r="R46" s="88"/>
      <c r="S46" s="173"/>
      <c r="T46" s="173"/>
      <c r="U46" s="173"/>
      <c r="V46" s="138"/>
      <c r="W46" s="95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</row>
    <row r="47" spans="1:46" s="137" customFormat="1" ht="15" customHeight="1">
      <c r="A47" s="144">
        <f t="shared" si="6"/>
        <v>31</v>
      </c>
      <c r="B47" s="138" t="s">
        <v>286</v>
      </c>
      <c r="C47" s="138"/>
      <c r="D47" s="90">
        <f>SUM(D31:D36)-D37+SUM(D38:D40)+SUM(D41:D46)</f>
        <v>69228231.452648997</v>
      </c>
      <c r="E47" s="154">
        <f t="shared" si="7"/>
        <v>0.11613203756631454</v>
      </c>
      <c r="F47" s="90">
        <f>SUM(F31:F36)-F37+SUM(F38:F40)+SUM(F41:F46)</f>
        <v>62025127.0661477</v>
      </c>
      <c r="G47" s="154">
        <f t="shared" si="8"/>
        <v>-0.29933252801099353</v>
      </c>
      <c r="H47" s="90">
        <f>SUM(H31:H36)-H37+SUM(H38:H40)+SUM(H41:H46)</f>
        <v>88522915</v>
      </c>
      <c r="I47" s="154">
        <f t="shared" si="8"/>
        <v>-0.24161812151567685</v>
      </c>
      <c r="J47" s="90">
        <v>116726042</v>
      </c>
      <c r="K47" s="154">
        <f t="shared" si="8"/>
        <v>2.6140715659706416E-2</v>
      </c>
      <c r="L47" s="90">
        <f>SUM(L31:L36)-L37+SUM(L38:L40)+SUM(L41:L46)</f>
        <v>113752471</v>
      </c>
      <c r="M47" s="154">
        <f t="shared" si="8"/>
        <v>0.31269923817207229</v>
      </c>
      <c r="N47" s="90">
        <f>SUM(N31:N36)-N37+SUM(N38:N40)+SUM(N41:N46)</f>
        <v>86655395</v>
      </c>
      <c r="O47" s="154">
        <f t="shared" si="8"/>
        <v>-8.2303376994863786E-2</v>
      </c>
      <c r="P47" s="90">
        <f>SUM(P31:P36)-P37+SUM(P38:P40)+SUM(P41:P46)</f>
        <v>94427061</v>
      </c>
      <c r="Q47" s="138"/>
      <c r="R47" s="88"/>
      <c r="S47" s="173"/>
      <c r="T47" s="173"/>
      <c r="U47" s="173"/>
      <c r="V47" s="138"/>
      <c r="W47" s="397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</row>
    <row r="48" spans="1:46" s="137" customFormat="1" ht="15" customHeight="1">
      <c r="A48" s="144"/>
      <c r="B48" s="150"/>
      <c r="C48" s="138"/>
      <c r="D48" s="92"/>
      <c r="E48" s="157"/>
      <c r="F48" s="92"/>
      <c r="G48" s="157"/>
      <c r="H48" s="92"/>
      <c r="I48" s="157"/>
      <c r="J48" s="92"/>
      <c r="K48" s="157"/>
      <c r="L48" s="92"/>
      <c r="M48" s="157"/>
      <c r="N48" s="92"/>
      <c r="O48" s="157"/>
      <c r="P48" s="92"/>
      <c r="Q48" s="138"/>
      <c r="R48" s="88"/>
      <c r="S48" s="173"/>
      <c r="T48" s="173"/>
      <c r="U48" s="173"/>
      <c r="V48" s="138"/>
      <c r="W48" s="39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</row>
    <row r="49" spans="1:46" s="137" customFormat="1" ht="15" customHeight="1">
      <c r="A49" s="144">
        <f>A47+1</f>
        <v>32</v>
      </c>
      <c r="B49" s="150" t="s">
        <v>359</v>
      </c>
      <c r="C49" s="138"/>
      <c r="D49" s="92"/>
      <c r="E49" s="157"/>
      <c r="F49" s="92"/>
      <c r="G49" s="157"/>
      <c r="H49" s="92"/>
      <c r="I49" s="157"/>
      <c r="J49" s="92"/>
      <c r="K49" s="157"/>
      <c r="L49" s="92"/>
      <c r="M49" s="157"/>
      <c r="N49" s="92"/>
      <c r="O49" s="157"/>
      <c r="P49" s="92"/>
      <c r="Q49" s="138"/>
      <c r="R49" s="138"/>
      <c r="S49" s="138"/>
      <c r="T49" s="138"/>
      <c r="U49" s="138"/>
      <c r="V49" s="138"/>
      <c r="W49" s="39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</row>
    <row r="50" spans="1:46" s="137" customFormat="1" ht="15" customHeight="1">
      <c r="A50" s="144">
        <f t="shared" ref="A50:A55" si="9">A49+1</f>
        <v>33</v>
      </c>
      <c r="B50" s="138" t="s">
        <v>360</v>
      </c>
      <c r="C50" s="138"/>
      <c r="D50" s="94">
        <f>SUM('BS G'!X75:X76)*1000</f>
        <v>2833718.3037503953</v>
      </c>
      <c r="E50" s="154">
        <f t="shared" ref="E50:E55" si="10">(+D50-F50)/F50</f>
        <v>0.15845945205403719</v>
      </c>
      <c r="F50" s="94">
        <f>SUM('BS G'!G75:G76)*1000</f>
        <v>2446109.1829549978</v>
      </c>
      <c r="G50" s="154">
        <f t="shared" ref="G50:O55" si="11">(+F50-H50)/H50</f>
        <v>-8.5401861959800693E-2</v>
      </c>
      <c r="H50" s="94">
        <v>2674518</v>
      </c>
      <c r="I50" s="154">
        <f t="shared" si="11"/>
        <v>0.1658473750629344</v>
      </c>
      <c r="J50" s="94">
        <v>2294055</v>
      </c>
      <c r="K50" s="154">
        <f t="shared" si="11"/>
        <v>-0.15762469077231919</v>
      </c>
      <c r="L50" s="94">
        <v>2723317</v>
      </c>
      <c r="M50" s="154">
        <f t="shared" si="11"/>
        <v>-2.0934041716369242E-2</v>
      </c>
      <c r="N50" s="94">
        <v>2781546</v>
      </c>
      <c r="O50" s="154">
        <f t="shared" si="11"/>
        <v>-7.0042260972752058E-3</v>
      </c>
      <c r="P50" s="94">
        <v>2801166</v>
      </c>
      <c r="Q50" s="155"/>
      <c r="R50" s="174"/>
      <c r="S50" s="169"/>
      <c r="T50" s="169"/>
      <c r="U50" s="169"/>
      <c r="V50" s="138"/>
      <c r="W50" s="393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</row>
    <row r="51" spans="1:46" s="137" customFormat="1" ht="15" customHeight="1">
      <c r="A51" s="144">
        <f t="shared" si="9"/>
        <v>34</v>
      </c>
      <c r="B51" s="138" t="s">
        <v>361</v>
      </c>
      <c r="C51" s="138"/>
      <c r="D51" s="91">
        <f>'BS G'!X95*1000</f>
        <v>61591880.409987576</v>
      </c>
      <c r="E51" s="154">
        <f t="shared" si="10"/>
        <v>-3.4724578455732132E-2</v>
      </c>
      <c r="F51" s="91">
        <f>'BS G'!G95*1000</f>
        <v>63807571.430184759</v>
      </c>
      <c r="G51" s="154">
        <f t="shared" si="11"/>
        <v>7.66837120827841E-2</v>
      </c>
      <c r="H51" s="91">
        <v>59263060</v>
      </c>
      <c r="I51" s="154">
        <f t="shared" si="11"/>
        <v>-0.18684835885012574</v>
      </c>
      <c r="J51" s="91">
        <v>72880699</v>
      </c>
      <c r="K51" s="154">
        <f t="shared" si="11"/>
        <v>0.37798246772360389</v>
      </c>
      <c r="L51" s="91">
        <v>52889424</v>
      </c>
      <c r="M51" s="154">
        <f t="shared" si="11"/>
        <v>-0.30744695770273633</v>
      </c>
      <c r="N51" s="91">
        <v>76368770</v>
      </c>
      <c r="O51" s="154">
        <f t="shared" si="11"/>
        <v>-0.13657013383378475</v>
      </c>
      <c r="P51" s="91">
        <v>88448145</v>
      </c>
      <c r="Q51" s="138"/>
      <c r="R51" s="174"/>
      <c r="S51" s="169"/>
      <c r="T51" s="169"/>
      <c r="U51" s="169"/>
      <c r="V51" s="138"/>
      <c r="W51" s="95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</row>
    <row r="52" spans="1:46" s="137" customFormat="1" ht="15" customHeight="1">
      <c r="A52" s="144">
        <f t="shared" si="9"/>
        <v>35</v>
      </c>
      <c r="B52" s="138" t="s">
        <v>362</v>
      </c>
      <c r="C52" s="138"/>
      <c r="D52" s="91">
        <f>'BS G'!X109*1000</f>
        <v>-148410.36673903561</v>
      </c>
      <c r="E52" s="154">
        <f t="shared" si="10"/>
        <v>-5.3770414776504932E-2</v>
      </c>
      <c r="F52" s="91">
        <f>'BS G'!G109*1000</f>
        <v>-156843.92990521615</v>
      </c>
      <c r="G52" s="154">
        <f t="shared" si="11"/>
        <v>-1.0781852590807413</v>
      </c>
      <c r="H52" s="91">
        <v>2006055</v>
      </c>
      <c r="I52" s="154">
        <f t="shared" si="11"/>
        <v>-3.636447481622495E-2</v>
      </c>
      <c r="J52" s="91">
        <v>2081757</v>
      </c>
      <c r="K52" s="154">
        <f t="shared" si="11"/>
        <v>15.85667321200834</v>
      </c>
      <c r="L52" s="91">
        <v>123497.5</v>
      </c>
      <c r="M52" s="154">
        <f t="shared" si="11"/>
        <v>4.3987978142076507</v>
      </c>
      <c r="N52" s="91">
        <v>22875</v>
      </c>
      <c r="O52" s="154">
        <f t="shared" si="11"/>
        <v>-1.0036401417164855</v>
      </c>
      <c r="P52" s="91">
        <v>-6284096</v>
      </c>
      <c r="Q52" s="155"/>
      <c r="R52" s="177"/>
      <c r="S52" s="169"/>
      <c r="T52" s="169"/>
      <c r="U52" s="169"/>
      <c r="V52" s="138"/>
      <c r="W52" s="95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</row>
    <row r="53" spans="1:46" s="137" customFormat="1" ht="15" customHeight="1">
      <c r="A53" s="144">
        <f t="shared" si="9"/>
        <v>36</v>
      </c>
      <c r="B53" s="138" t="s">
        <v>363</v>
      </c>
      <c r="C53" s="138"/>
      <c r="D53" s="91">
        <f>'BS G'!X77*1000</f>
        <v>2724101.9288675212</v>
      </c>
      <c r="E53" s="154">
        <f t="shared" si="10"/>
        <v>-4.308008252811981E-2</v>
      </c>
      <c r="F53" s="91">
        <f>'BS G'!G77*1000</f>
        <v>2846739.7105333749</v>
      </c>
      <c r="G53" s="154">
        <f t="shared" si="11"/>
        <v>2.4176109691397998E-3</v>
      </c>
      <c r="H53" s="91">
        <v>2839874</v>
      </c>
      <c r="I53" s="154">
        <f t="shared" si="11"/>
        <v>-0.10766443426242994</v>
      </c>
      <c r="J53" s="91">
        <v>3182518</v>
      </c>
      <c r="K53" s="154">
        <f t="shared" si="11"/>
        <v>-0.11517874817337227</v>
      </c>
      <c r="L53" s="91">
        <v>3596792</v>
      </c>
      <c r="M53" s="154">
        <f t="shared" si="11"/>
        <v>-0.15008455930741946</v>
      </c>
      <c r="N53" s="91">
        <v>4231941</v>
      </c>
      <c r="O53" s="154">
        <f t="shared" si="11"/>
        <v>-3.9636645362278983E-2</v>
      </c>
      <c r="P53" s="91">
        <v>4406604</v>
      </c>
      <c r="Q53" s="155"/>
      <c r="R53" s="174"/>
      <c r="S53" s="169"/>
      <c r="T53" s="169"/>
      <c r="U53" s="169"/>
      <c r="V53" s="138"/>
      <c r="W53" s="95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</row>
    <row r="54" spans="1:46" s="137" customFormat="1" ht="15" customHeight="1">
      <c r="A54" s="144">
        <f t="shared" si="9"/>
        <v>37</v>
      </c>
      <c r="B54" s="138" t="s">
        <v>364</v>
      </c>
      <c r="C54" s="138"/>
      <c r="D54" s="91">
        <f>'BS G'!X84*1000</f>
        <v>28459282.79999999</v>
      </c>
      <c r="E54" s="154">
        <f t="shared" si="10"/>
        <v>-3.9269685655556091E-16</v>
      </c>
      <c r="F54" s="91">
        <f>'BS G'!G84*1000</f>
        <v>28459282.800000001</v>
      </c>
      <c r="G54" s="154">
        <f t="shared" si="11"/>
        <v>-0.31710510535586894</v>
      </c>
      <c r="H54" s="91">
        <v>41674470</v>
      </c>
      <c r="I54" s="154">
        <f t="shared" si="11"/>
        <v>0.31745507120749494</v>
      </c>
      <c r="J54" s="91">
        <v>31632555</v>
      </c>
      <c r="K54" s="154">
        <f t="shared" si="11"/>
        <v>0.2709897265073532</v>
      </c>
      <c r="L54" s="91">
        <v>24888128</v>
      </c>
      <c r="M54" s="154">
        <f t="shared" si="11"/>
        <v>6.1378474836657385E-2</v>
      </c>
      <c r="N54" s="91">
        <v>23448872</v>
      </c>
      <c r="O54" s="154">
        <f t="shared" si="11"/>
        <v>13.041820889605619</v>
      </c>
      <c r="P54" s="91">
        <v>1669931</v>
      </c>
      <c r="Q54" s="138"/>
      <c r="R54" s="88"/>
      <c r="S54" s="178"/>
      <c r="T54" s="178"/>
      <c r="U54" s="178"/>
      <c r="V54" s="138"/>
      <c r="W54" s="95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</row>
    <row r="55" spans="1:46" s="137" customFormat="1" ht="15" customHeight="1">
      <c r="A55" s="144">
        <f t="shared" si="9"/>
        <v>38</v>
      </c>
      <c r="B55" s="138" t="s">
        <v>301</v>
      </c>
      <c r="C55" s="138"/>
      <c r="D55" s="90">
        <f>SUM(D50:D54)</f>
        <v>95460573.075866446</v>
      </c>
      <c r="E55" s="154">
        <f t="shared" si="10"/>
        <v>-1.9940750548580882E-2</v>
      </c>
      <c r="F55" s="90">
        <f>SUM(F50:F54)</f>
        <v>97402859.19376792</v>
      </c>
      <c r="G55" s="154">
        <f t="shared" si="11"/>
        <v>-0.10192996506132583</v>
      </c>
      <c r="H55" s="90">
        <f>SUM(H50:H54)</f>
        <v>108457977</v>
      </c>
      <c r="I55" s="154">
        <f t="shared" si="11"/>
        <v>-3.2243739858267728E-2</v>
      </c>
      <c r="J55" s="90">
        <v>112071584</v>
      </c>
      <c r="K55" s="154">
        <f t="shared" si="11"/>
        <v>0.33068205182667965</v>
      </c>
      <c r="L55" s="90">
        <f>SUM(L50:L54)</f>
        <v>84221158.5</v>
      </c>
      <c r="M55" s="154">
        <f t="shared" si="11"/>
        <v>-0.21181092568136239</v>
      </c>
      <c r="N55" s="90">
        <f>SUM(N50:N54)</f>
        <v>106854004</v>
      </c>
      <c r="O55" s="154">
        <f t="shared" si="11"/>
        <v>0.17368134949075562</v>
      </c>
      <c r="P55" s="90">
        <f>SUM(P50:P54)</f>
        <v>91041750</v>
      </c>
      <c r="Q55" s="138"/>
      <c r="R55" s="88"/>
      <c r="S55" s="173"/>
      <c r="T55" s="173"/>
      <c r="U55" s="173"/>
      <c r="V55" s="138"/>
      <c r="W55" s="397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</row>
    <row r="56" spans="1:46" s="137" customFormat="1" ht="15" customHeight="1">
      <c r="A56" s="144"/>
      <c r="B56" s="138"/>
      <c r="C56" s="138"/>
      <c r="D56" s="92"/>
      <c r="E56" s="161"/>
      <c r="F56" s="92"/>
      <c r="G56" s="161"/>
      <c r="H56" s="92"/>
      <c r="I56" s="161"/>
      <c r="J56" s="92"/>
      <c r="K56" s="161"/>
      <c r="L56" s="92"/>
      <c r="M56" s="161"/>
      <c r="N56" s="92"/>
      <c r="O56" s="161"/>
      <c r="P56" s="92"/>
      <c r="Q56" s="138"/>
      <c r="R56" s="175"/>
      <c r="S56" s="169"/>
      <c r="T56" s="169"/>
      <c r="U56" s="169"/>
      <c r="V56" s="138"/>
      <c r="W56" s="39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</row>
    <row r="57" spans="1:46" s="137" customFormat="1" ht="18" customHeight="1" thickBot="1">
      <c r="A57" s="341">
        <f>A55+1</f>
        <v>39</v>
      </c>
      <c r="B57" s="138" t="s">
        <v>302</v>
      </c>
      <c r="C57" s="138"/>
      <c r="D57" s="93">
        <f>D21+D28+D47+D55</f>
        <v>1102858668.9315023</v>
      </c>
      <c r="E57" s="154">
        <f t="shared" ref="E57:O57" si="12">(+D57-F57)/F57</f>
        <v>6.9181923160524364E-2</v>
      </c>
      <c r="F57" s="93">
        <f>F21+F28+F47+F55</f>
        <v>1031497675.9721384</v>
      </c>
      <c r="G57" s="154">
        <f t="shared" si="12"/>
        <v>3.4028498982452422E-2</v>
      </c>
      <c r="H57" s="93">
        <f>H21+H28+H47+H55</f>
        <v>997552463</v>
      </c>
      <c r="I57" s="154">
        <f t="shared" si="12"/>
        <v>2.8719925959490546E-2</v>
      </c>
      <c r="J57" s="93">
        <f>J21+J28+J47+J55</f>
        <v>969702674</v>
      </c>
      <c r="K57" s="154">
        <f t="shared" si="12"/>
        <v>9.9388247000530464E-2</v>
      </c>
      <c r="L57" s="93">
        <f>L21+L28+L47+L55</f>
        <v>882038421.5</v>
      </c>
      <c r="M57" s="154">
        <f t="shared" si="12"/>
        <v>6.5425527736029221E-2</v>
      </c>
      <c r="N57" s="93">
        <f>N21+N28+N47+N55</f>
        <v>827874308</v>
      </c>
      <c r="O57" s="154">
        <f t="shared" si="12"/>
        <v>7.5942204106750483E-2</v>
      </c>
      <c r="P57" s="93">
        <f>P21+P28+P47+P55</f>
        <v>769441244</v>
      </c>
      <c r="Q57" s="138"/>
      <c r="R57" s="138"/>
      <c r="S57" s="138"/>
      <c r="T57" s="138"/>
      <c r="U57" s="138"/>
      <c r="V57" s="138"/>
      <c r="W57" s="394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</row>
    <row r="58" spans="1:46" s="137" customFormat="1" ht="15" customHeight="1" thickTop="1">
      <c r="A58" s="144"/>
      <c r="B58" s="138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79"/>
      <c r="S58" s="169"/>
      <c r="T58" s="169"/>
      <c r="U58" s="169"/>
      <c r="V58" s="138"/>
      <c r="W58" s="159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</row>
    <row r="59" spans="1:46" s="137" customFormat="1" ht="15" customHeight="1">
      <c r="A59" s="144"/>
      <c r="B59" s="138"/>
      <c r="C59" s="138"/>
      <c r="D59" s="138"/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74"/>
      <c r="S59" s="180"/>
      <c r="T59" s="180"/>
      <c r="U59" s="180"/>
      <c r="V59" s="138"/>
      <c r="W59" s="159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</row>
    <row r="60" spans="1:46" s="137" customFormat="1" ht="15" customHeight="1">
      <c r="A60" s="136" t="str">
        <f>+A1</f>
        <v>LOUISVILLE GAS AND ELECTRIC COMPANY</v>
      </c>
      <c r="B60" s="136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W60" s="158"/>
    </row>
    <row r="61" spans="1:46" s="137" customFormat="1" ht="15" customHeight="1">
      <c r="A61" s="136" t="str">
        <f>+A2</f>
        <v>CASE NO. 2016-00371 - GAS OPERATIONS</v>
      </c>
      <c r="B61" s="136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8"/>
      <c r="R61" s="138"/>
      <c r="S61" s="138"/>
      <c r="T61" s="138"/>
      <c r="U61" s="138"/>
      <c r="V61" s="138"/>
      <c r="W61" s="159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</row>
    <row r="62" spans="1:46" s="137" customFormat="1" ht="15" customHeight="1">
      <c r="A62" s="136" t="str">
        <f>+A3</f>
        <v>COMPARATIVE BALANCE SHEETS - GAS</v>
      </c>
      <c r="B62" s="136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8"/>
      <c r="R62" s="138"/>
      <c r="S62" s="138"/>
      <c r="T62" s="138"/>
      <c r="U62" s="138"/>
      <c r="V62" s="138"/>
      <c r="W62" s="159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</row>
    <row r="63" spans="1:46" s="137" customFormat="1" ht="15" customHeight="1">
      <c r="A63" s="136" t="str">
        <f>+A4</f>
        <v>AS OF  DECEMBER 31, 2011 - 2015 AND BASE AND FORECASTED PERIODS</v>
      </c>
      <c r="B63" s="136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8"/>
      <c r="R63" s="138"/>
      <c r="S63" s="138"/>
      <c r="T63" s="138"/>
      <c r="U63" s="138"/>
      <c r="V63" s="138"/>
      <c r="W63" s="159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</row>
    <row r="64" spans="1:46" s="137" customFormat="1" ht="15" customHeight="1">
      <c r="A64" s="139"/>
      <c r="B64" s="136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Q64" s="138"/>
      <c r="R64" s="138"/>
      <c r="S64" s="138"/>
      <c r="T64" s="138"/>
      <c r="U64" s="138"/>
      <c r="V64" s="138"/>
      <c r="W64" s="159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</row>
    <row r="65" spans="1:46" s="137" customFormat="1" ht="15" customHeight="1">
      <c r="A65" s="162" t="str">
        <f>+A6</f>
        <v>DATA:__X__BASE  PERIOD__X__FORECASTED  PERIOD</v>
      </c>
      <c r="B65" s="138"/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42" t="s">
        <v>304</v>
      </c>
      <c r="Q65" s="138"/>
      <c r="R65" s="138"/>
      <c r="S65" s="138"/>
      <c r="T65" s="138"/>
      <c r="U65" s="138"/>
      <c r="V65" s="138"/>
      <c r="W65" s="159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</row>
    <row r="66" spans="1:46" s="137" customFormat="1" ht="15" customHeight="1">
      <c r="A66" s="162" t="str">
        <f>+A7</f>
        <v>TYPE OF FILING: _____ ORIGINAL  _____ UPDATED  __X__ REVISED</v>
      </c>
      <c r="B66" s="138"/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42" t="s">
        <v>1284</v>
      </c>
      <c r="Q66" s="138"/>
      <c r="R66" s="138"/>
      <c r="S66" s="138"/>
      <c r="T66" s="138"/>
      <c r="U66" s="138"/>
      <c r="V66" s="138"/>
      <c r="W66" s="159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</row>
    <row r="67" spans="1:46" s="137" customFormat="1" ht="15" customHeight="1">
      <c r="A67" s="162" t="str">
        <f>+A8</f>
        <v xml:space="preserve">WORKPAPER REFERENCE NO(S).:  </v>
      </c>
      <c r="B67" s="138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42" t="str">
        <f>P8</f>
        <v>WITNESS:   C. M. GARRETT</v>
      </c>
      <c r="Q67" s="138"/>
      <c r="R67" s="138"/>
      <c r="S67" s="138"/>
      <c r="T67" s="138"/>
      <c r="U67" s="138"/>
      <c r="V67" s="138"/>
      <c r="W67" s="159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</row>
    <row r="68" spans="1:46" ht="15" customHeight="1" thickBot="1"/>
    <row r="69" spans="1:46" s="137" customFormat="1" ht="18" customHeight="1">
      <c r="A69" s="143"/>
      <c r="B69" s="143"/>
      <c r="C69" s="143"/>
      <c r="D69" s="146" t="s">
        <v>325</v>
      </c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38"/>
      <c r="R69" s="138"/>
      <c r="S69" s="138"/>
      <c r="T69" s="138"/>
      <c r="U69" s="138"/>
      <c r="V69" s="138"/>
      <c r="W69" s="159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</row>
    <row r="70" spans="1:46" s="137" customFormat="1" ht="18" customHeight="1">
      <c r="A70" s="144" t="s">
        <v>309</v>
      </c>
      <c r="B70" s="138"/>
      <c r="C70" s="138"/>
      <c r="D70" s="144" t="s">
        <v>305</v>
      </c>
      <c r="E70" s="138"/>
      <c r="F70" s="144" t="s">
        <v>308</v>
      </c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59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</row>
    <row r="71" spans="1:46" s="137" customFormat="1" ht="18" customHeight="1" thickBot="1">
      <c r="A71" s="144" t="s">
        <v>310</v>
      </c>
      <c r="B71" s="144" t="s">
        <v>92</v>
      </c>
      <c r="C71" s="138"/>
      <c r="D71" s="144" t="s">
        <v>306</v>
      </c>
      <c r="E71" s="144" t="s">
        <v>307</v>
      </c>
      <c r="F71" s="144" t="s">
        <v>306</v>
      </c>
      <c r="G71" s="144" t="s">
        <v>307</v>
      </c>
      <c r="H71" s="145">
        <f>+H12</f>
        <v>2015</v>
      </c>
      <c r="I71" s="144" t="s">
        <v>307</v>
      </c>
      <c r="J71" s="145">
        <f>+J12</f>
        <v>2014</v>
      </c>
      <c r="K71" s="144" t="s">
        <v>307</v>
      </c>
      <c r="L71" s="145">
        <f>+L12</f>
        <v>2013</v>
      </c>
      <c r="M71" s="144" t="s">
        <v>307</v>
      </c>
      <c r="N71" s="145">
        <f>+N12</f>
        <v>2012</v>
      </c>
      <c r="O71" s="144" t="s">
        <v>307</v>
      </c>
      <c r="P71" s="145">
        <f>+P12</f>
        <v>2011</v>
      </c>
      <c r="Q71" s="138"/>
      <c r="R71" s="138"/>
      <c r="S71" s="138"/>
      <c r="T71" s="138"/>
      <c r="U71" s="138"/>
      <c r="V71" s="138"/>
      <c r="W71" s="392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</row>
    <row r="72" spans="1:46" s="137" customFormat="1" ht="15" customHeight="1">
      <c r="A72" s="146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38"/>
      <c r="R72" s="138"/>
      <c r="S72" s="138"/>
      <c r="T72" s="138"/>
      <c r="U72" s="138"/>
      <c r="V72" s="138"/>
      <c r="W72" s="15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</row>
    <row r="73" spans="1:46" s="137" customFormat="1" ht="15" customHeight="1">
      <c r="A73" s="144">
        <v>1</v>
      </c>
      <c r="B73" s="497" t="s">
        <v>365</v>
      </c>
      <c r="C73" s="497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53"/>
      <c r="R73" s="138"/>
      <c r="S73" s="138"/>
      <c r="T73" s="138"/>
      <c r="U73" s="138"/>
      <c r="V73" s="138"/>
      <c r="W73" s="159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</row>
    <row r="74" spans="1:46" s="137" customFormat="1" ht="15" customHeight="1">
      <c r="A74" s="144"/>
      <c r="B74" s="148"/>
      <c r="C74" s="14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53"/>
      <c r="R74" s="138"/>
      <c r="S74" s="138"/>
      <c r="T74" s="138"/>
      <c r="U74" s="138"/>
      <c r="V74" s="138"/>
      <c r="W74" s="159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</row>
    <row r="75" spans="1:46" s="137" customFormat="1" ht="15" customHeight="1">
      <c r="A75" s="144">
        <f>A73+1</f>
        <v>2</v>
      </c>
      <c r="B75" s="150" t="s">
        <v>287</v>
      </c>
      <c r="C75" s="138"/>
      <c r="D75" s="163"/>
      <c r="E75" s="152"/>
      <c r="F75" s="163"/>
      <c r="G75" s="152"/>
      <c r="H75" s="163"/>
      <c r="I75" s="152"/>
      <c r="J75" s="163"/>
      <c r="K75" s="152"/>
      <c r="L75" s="163"/>
      <c r="M75" s="152"/>
      <c r="N75" s="163"/>
      <c r="O75" s="152"/>
      <c r="P75" s="163"/>
      <c r="Q75" s="155"/>
      <c r="R75" s="138"/>
      <c r="S75" s="138"/>
      <c r="T75" s="138"/>
      <c r="U75" s="138"/>
      <c r="V75" s="138"/>
      <c r="W75" s="163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</row>
    <row r="76" spans="1:46" s="137" customFormat="1" ht="15" customHeight="1">
      <c r="A76" s="144">
        <f>A75+1</f>
        <v>3</v>
      </c>
      <c r="B76" s="138" t="s">
        <v>366</v>
      </c>
      <c r="C76" s="138"/>
      <c r="D76" s="94">
        <f>'BS G'!X120*1000</f>
        <v>74032011.474118009</v>
      </c>
      <c r="E76" s="154">
        <f t="shared" ref="E76:E82" si="13">(+D76-F76)/F76</f>
        <v>1.7962049429933111E-2</v>
      </c>
      <c r="F76" s="94">
        <f>'BS G'!G120*1000</f>
        <v>72725708.699628368</v>
      </c>
      <c r="G76" s="154">
        <f t="shared" ref="G76:O82" si="14">(+F76-H76)/H76</f>
        <v>1.5740644947031344E-2</v>
      </c>
      <c r="H76" s="94">
        <v>71598699</v>
      </c>
      <c r="I76" s="154">
        <f t="shared" si="14"/>
        <v>-4.5892358711547496E-2</v>
      </c>
      <c r="J76" s="94">
        <v>75042580</v>
      </c>
      <c r="K76" s="154">
        <f t="shared" si="14"/>
        <v>-9.4871796387217655E-2</v>
      </c>
      <c r="L76" s="94">
        <v>82908233</v>
      </c>
      <c r="M76" s="154">
        <f t="shared" si="14"/>
        <v>-7.9754599252224459E-2</v>
      </c>
      <c r="N76" s="94">
        <v>90093613</v>
      </c>
      <c r="O76" s="154">
        <f t="shared" si="14"/>
        <v>8.0875388156602303E-3</v>
      </c>
      <c r="P76" s="94">
        <v>89370823</v>
      </c>
      <c r="Q76" s="155"/>
      <c r="R76" s="138"/>
      <c r="S76" s="138"/>
      <c r="T76" s="138"/>
      <c r="U76" s="138"/>
      <c r="V76" s="138"/>
      <c r="W76" s="393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</row>
    <row r="77" spans="1:46" s="137" customFormat="1" ht="15" customHeight="1">
      <c r="A77" s="144">
        <f t="shared" ref="A77:A82" si="15">A76+1</f>
        <v>4</v>
      </c>
      <c r="B77" s="138" t="s">
        <v>367</v>
      </c>
      <c r="C77" s="138"/>
      <c r="D77" s="164">
        <f>'BS G'!X128*1000</f>
        <v>98711245.91581966</v>
      </c>
      <c r="E77" s="154">
        <f t="shared" si="13"/>
        <v>4.7388627973707458E-2</v>
      </c>
      <c r="F77" s="164">
        <f>'BS G'!G128*1000</f>
        <v>94245099.936580181</v>
      </c>
      <c r="G77" s="154">
        <f t="shared" si="14"/>
        <v>0.3418246409055713</v>
      </c>
      <c r="H77" s="164">
        <v>70236525</v>
      </c>
      <c r="I77" s="154">
        <f t="shared" si="14"/>
        <v>0.21664065327689463</v>
      </c>
      <c r="J77" s="164">
        <v>57729885</v>
      </c>
      <c r="K77" s="154">
        <f t="shared" si="14"/>
        <v>0.7457723677643594</v>
      </c>
      <c r="L77" s="164">
        <v>33068392</v>
      </c>
      <c r="M77" s="154">
        <f t="shared" si="14"/>
        <v>0.86711881709137639</v>
      </c>
      <c r="N77" s="164">
        <v>17710920</v>
      </c>
      <c r="O77" s="154">
        <f t="shared" si="14"/>
        <v>8.087561431947294E-3</v>
      </c>
      <c r="P77" s="164">
        <v>17568831</v>
      </c>
      <c r="Q77" s="138"/>
      <c r="R77" s="138"/>
      <c r="S77" s="138"/>
      <c r="T77" s="138"/>
      <c r="U77" s="138"/>
      <c r="V77" s="138"/>
      <c r="W77" s="164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</row>
    <row r="78" spans="1:46" s="137" customFormat="1" ht="15" customHeight="1">
      <c r="A78" s="144">
        <f t="shared" si="15"/>
        <v>5</v>
      </c>
      <c r="B78" s="138" t="s">
        <v>368</v>
      </c>
      <c r="C78" s="138"/>
      <c r="D78" s="164">
        <f>-'BS G'!X124*1000</f>
        <v>145547.55900534047</v>
      </c>
      <c r="E78" s="154">
        <f t="shared" si="13"/>
        <v>1.7962049429933288E-2</v>
      </c>
      <c r="F78" s="164">
        <f>-'BS G'!G124*1000</f>
        <v>142979.35673225563</v>
      </c>
      <c r="G78" s="154">
        <f t="shared" si="14"/>
        <v>1.5738091644565612E-2</v>
      </c>
      <c r="H78" s="164">
        <v>140764</v>
      </c>
      <c r="I78" s="154">
        <f t="shared" si="14"/>
        <v>-4.5894194597892027E-2</v>
      </c>
      <c r="J78" s="164">
        <v>147535</v>
      </c>
      <c r="K78" s="154">
        <f t="shared" si="14"/>
        <v>-9.4871747679433613E-2</v>
      </c>
      <c r="L78" s="164">
        <v>162999</v>
      </c>
      <c r="M78" s="154">
        <f t="shared" si="14"/>
        <v>-7.9751587861679601E-2</v>
      </c>
      <c r="N78" s="164">
        <v>177125</v>
      </c>
      <c r="O78" s="154">
        <f t="shared" si="14"/>
        <v>8.0874652825206027E-3</v>
      </c>
      <c r="P78" s="164">
        <v>175704</v>
      </c>
      <c r="Q78" s="155"/>
      <c r="R78" s="138"/>
      <c r="S78" s="138"/>
      <c r="T78" s="138"/>
      <c r="U78" s="138"/>
      <c r="V78" s="138"/>
      <c r="W78" s="164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</row>
    <row r="79" spans="1:46" s="137" customFormat="1" ht="15" customHeight="1">
      <c r="A79" s="144">
        <f t="shared" si="15"/>
        <v>6</v>
      </c>
      <c r="B79" s="138" t="s">
        <v>369</v>
      </c>
      <c r="C79" s="138"/>
      <c r="D79" s="91">
        <v>0</v>
      </c>
      <c r="E79" s="154">
        <v>0</v>
      </c>
      <c r="F79" s="91">
        <v>0</v>
      </c>
      <c r="G79" s="154">
        <v>0</v>
      </c>
      <c r="H79" s="91">
        <v>0</v>
      </c>
      <c r="I79" s="154">
        <v>0</v>
      </c>
      <c r="J79" s="91">
        <v>0</v>
      </c>
      <c r="K79" s="154">
        <v>0</v>
      </c>
      <c r="L79" s="91">
        <v>0</v>
      </c>
      <c r="M79" s="154">
        <v>0</v>
      </c>
      <c r="N79" s="91">
        <v>0</v>
      </c>
      <c r="O79" s="154">
        <v>0</v>
      </c>
      <c r="P79" s="91">
        <v>0</v>
      </c>
      <c r="Q79" s="155"/>
      <c r="R79" s="138"/>
      <c r="S79" s="138"/>
      <c r="T79" s="138"/>
      <c r="U79" s="138"/>
      <c r="V79" s="138"/>
      <c r="W79" s="164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</row>
    <row r="80" spans="1:46" s="137" customFormat="1" ht="15" customHeight="1">
      <c r="A80" s="144">
        <f t="shared" si="15"/>
        <v>7</v>
      </c>
      <c r="B80" s="138" t="s">
        <v>370</v>
      </c>
      <c r="C80" s="138"/>
      <c r="D80" s="164">
        <f>'BS G'!X132*1000</f>
        <v>214430614.50026947</v>
      </c>
      <c r="E80" s="154">
        <f t="shared" si="13"/>
        <v>5.8339773155650469E-2</v>
      </c>
      <c r="F80" s="164">
        <f>'BS G'!G132*1000</f>
        <v>202610371.39415252</v>
      </c>
      <c r="G80" s="154">
        <f t="shared" si="14"/>
        <v>9.0854613295454023E-2</v>
      </c>
      <c r="H80" s="164">
        <v>185735449</v>
      </c>
      <c r="I80" s="154">
        <f t="shared" si="14"/>
        <v>1.0098579368183683E-2</v>
      </c>
      <c r="J80" s="164">
        <v>183878537</v>
      </c>
      <c r="K80" s="154">
        <f t="shared" si="14"/>
        <v>-5.4696134286654263E-2</v>
      </c>
      <c r="L80" s="164">
        <v>194517915</v>
      </c>
      <c r="M80" s="154">
        <f t="shared" si="14"/>
        <v>2.8618050479480118E-2</v>
      </c>
      <c r="N80" s="164">
        <v>189106068</v>
      </c>
      <c r="O80" s="154">
        <f t="shared" si="14"/>
        <v>0.10101396289515693</v>
      </c>
      <c r="P80" s="164">
        <v>171756285</v>
      </c>
      <c r="Q80" s="155"/>
      <c r="R80" s="138"/>
      <c r="S80" s="138"/>
      <c r="T80" s="138"/>
      <c r="U80" s="138"/>
      <c r="V80" s="138"/>
      <c r="W80" s="164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</row>
    <row r="81" spans="1:46" s="137" customFormat="1" ht="15" customHeight="1">
      <c r="A81" s="144">
        <f t="shared" si="15"/>
        <v>8</v>
      </c>
      <c r="B81" s="138" t="s">
        <v>371</v>
      </c>
      <c r="C81" s="138"/>
      <c r="D81" s="95">
        <v>0</v>
      </c>
      <c r="E81" s="154">
        <v>0</v>
      </c>
      <c r="F81" s="95">
        <v>0</v>
      </c>
      <c r="G81" s="154">
        <v>0</v>
      </c>
      <c r="H81" s="95">
        <v>0</v>
      </c>
      <c r="I81" s="154">
        <v>0</v>
      </c>
      <c r="J81" s="95">
        <v>0</v>
      </c>
      <c r="K81" s="154">
        <v>0</v>
      </c>
      <c r="L81" s="95">
        <v>0</v>
      </c>
      <c r="M81" s="154">
        <v>0</v>
      </c>
      <c r="N81" s="95">
        <v>0</v>
      </c>
      <c r="O81" s="154">
        <v>0</v>
      </c>
      <c r="P81" s="95">
        <v>0</v>
      </c>
      <c r="Q81" s="155"/>
      <c r="R81" s="138"/>
      <c r="S81" s="138"/>
      <c r="T81" s="138"/>
      <c r="U81" s="138"/>
      <c r="V81" s="138"/>
      <c r="W81" s="164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</row>
    <row r="82" spans="1:46" s="137" customFormat="1" ht="15" customHeight="1">
      <c r="A82" s="144">
        <f t="shared" si="15"/>
        <v>9</v>
      </c>
      <c r="B82" s="138" t="s">
        <v>372</v>
      </c>
      <c r="C82" s="138"/>
      <c r="D82" s="90">
        <f>SUM(D76,D77,-D78,D79,D80,D81)</f>
        <v>387028324.33120179</v>
      </c>
      <c r="E82" s="154">
        <f t="shared" si="13"/>
        <v>4.761316947056201E-2</v>
      </c>
      <c r="F82" s="90">
        <f>SUM(F76,F77,-F78,F79,F80,F81)</f>
        <v>369438200.67362881</v>
      </c>
      <c r="G82" s="154">
        <f t="shared" si="14"/>
        <v>0.12829705081593143</v>
      </c>
      <c r="H82" s="90">
        <f>SUM(H76,H77,-H78,H79,H80,H81)</f>
        <v>327429909</v>
      </c>
      <c r="I82" s="154">
        <f t="shared" si="14"/>
        <v>3.4522345374497901E-2</v>
      </c>
      <c r="J82" s="90">
        <v>316503467</v>
      </c>
      <c r="K82" s="154">
        <f t="shared" si="14"/>
        <v>1.9888168570013319E-2</v>
      </c>
      <c r="L82" s="90">
        <f>SUM(L76,L77,-L78,L79,L80,L81)</f>
        <v>310331541</v>
      </c>
      <c r="M82" s="154">
        <f t="shared" si="14"/>
        <v>4.582585417494317E-2</v>
      </c>
      <c r="N82" s="90">
        <f>SUM(N76,N77,-N78,N79,N80,N81)</f>
        <v>296733476</v>
      </c>
      <c r="O82" s="154">
        <f t="shared" si="14"/>
        <v>6.5392882495593177E-2</v>
      </c>
      <c r="P82" s="90">
        <v>278520235</v>
      </c>
      <c r="Q82" s="138"/>
      <c r="R82" s="138"/>
      <c r="S82" s="138"/>
      <c r="T82" s="138"/>
      <c r="U82" s="138"/>
      <c r="V82" s="138"/>
      <c r="W82" s="397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</row>
    <row r="83" spans="1:46" s="137" customFormat="1" ht="15" customHeight="1">
      <c r="A83" s="144"/>
      <c r="B83" s="138"/>
      <c r="C83" s="138"/>
      <c r="D83" s="158"/>
      <c r="E83" s="157"/>
      <c r="F83" s="158"/>
      <c r="G83" s="157"/>
      <c r="H83" s="158"/>
      <c r="I83" s="157"/>
      <c r="J83" s="158"/>
      <c r="K83" s="157"/>
      <c r="L83" s="158"/>
      <c r="M83" s="157"/>
      <c r="N83" s="158"/>
      <c r="O83" s="157"/>
      <c r="P83" s="158"/>
      <c r="Q83" s="138"/>
      <c r="R83" s="138"/>
      <c r="S83" s="138"/>
      <c r="T83" s="138"/>
      <c r="U83" s="138"/>
      <c r="V83" s="138"/>
      <c r="W83" s="15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</row>
    <row r="84" spans="1:46" s="137" customFormat="1" ht="15" customHeight="1">
      <c r="A84" s="144">
        <f>A82+1</f>
        <v>10</v>
      </c>
      <c r="B84" s="150" t="s">
        <v>288</v>
      </c>
      <c r="C84" s="138"/>
      <c r="D84" s="159"/>
      <c r="E84" s="152"/>
      <c r="F84" s="159"/>
      <c r="G84" s="152"/>
      <c r="H84" s="159"/>
      <c r="I84" s="152"/>
      <c r="J84" s="159"/>
      <c r="K84" s="152"/>
      <c r="L84" s="159"/>
      <c r="M84" s="152"/>
      <c r="N84" s="159"/>
      <c r="O84" s="152"/>
      <c r="P84" s="159"/>
      <c r="Q84" s="138"/>
      <c r="R84" s="138"/>
      <c r="S84" s="138"/>
      <c r="T84" s="138"/>
      <c r="U84" s="138"/>
      <c r="V84" s="138"/>
      <c r="W84" s="159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</row>
    <row r="85" spans="1:46" s="137" customFormat="1" ht="15" customHeight="1">
      <c r="A85" s="144">
        <f t="shared" ref="A85:A86" si="16">A84+1</f>
        <v>11</v>
      </c>
      <c r="B85" s="138" t="s">
        <v>373</v>
      </c>
      <c r="C85" s="138"/>
      <c r="D85" s="94">
        <f>('BS G'!X145)*1000</f>
        <v>317394176.38171774</v>
      </c>
      <c r="E85" s="154">
        <f t="shared" ref="E85:E87" si="17">(+D85-F85)/F85</f>
        <v>0.13841794331210261</v>
      </c>
      <c r="F85" s="94">
        <f>('BS G'!G145)*1000</f>
        <v>278802858.1649847</v>
      </c>
      <c r="G85" s="154">
        <f t="shared" ref="G85:O87" si="18">(+F85-H85)/H85</f>
        <v>-6.3952870372577908E-2</v>
      </c>
      <c r="H85" s="94">
        <v>297851304</v>
      </c>
      <c r="I85" s="154">
        <f t="shared" si="18"/>
        <v>0.24111307033099255</v>
      </c>
      <c r="J85" s="94">
        <v>239987243</v>
      </c>
      <c r="K85" s="154">
        <f t="shared" si="18"/>
        <v>-9.133099974730087E-2</v>
      </c>
      <c r="L85" s="94">
        <v>264108540</v>
      </c>
      <c r="M85" s="154">
        <f t="shared" si="18"/>
        <v>0.12701469979915037</v>
      </c>
      <c r="N85" s="94">
        <v>234343474</v>
      </c>
      <c r="O85" s="154">
        <f t="shared" si="18"/>
        <v>8.3427052437187003E-3</v>
      </c>
      <c r="P85" s="94">
        <v>232404591</v>
      </c>
      <c r="Q85" s="138"/>
      <c r="R85" s="138"/>
      <c r="S85" s="138"/>
      <c r="T85" s="138"/>
      <c r="U85" s="138"/>
      <c r="V85" s="138"/>
      <c r="W85" s="393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</row>
    <row r="86" spans="1:46" s="137" customFormat="1" ht="15" customHeight="1">
      <c r="A86" s="144">
        <f t="shared" si="16"/>
        <v>12</v>
      </c>
      <c r="B86" s="138" t="s">
        <v>392</v>
      </c>
      <c r="C86" s="138"/>
      <c r="D86" s="95">
        <v>0</v>
      </c>
      <c r="E86" s="154">
        <v>0</v>
      </c>
      <c r="F86" s="95">
        <v>0</v>
      </c>
      <c r="G86" s="154">
        <v>0</v>
      </c>
      <c r="H86" s="95">
        <v>0</v>
      </c>
      <c r="I86" s="154">
        <v>0</v>
      </c>
      <c r="J86" s="95">
        <v>0</v>
      </c>
      <c r="K86" s="154">
        <v>0</v>
      </c>
      <c r="L86" s="95">
        <v>0</v>
      </c>
      <c r="M86" s="154">
        <v>0</v>
      </c>
      <c r="N86" s="95">
        <v>0</v>
      </c>
      <c r="O86" s="154">
        <v>0</v>
      </c>
      <c r="P86" s="95">
        <v>0</v>
      </c>
      <c r="Q86" s="155"/>
      <c r="R86" s="138"/>
      <c r="S86" s="138"/>
      <c r="T86" s="138"/>
      <c r="U86" s="138"/>
      <c r="V86" s="138"/>
      <c r="W86" s="164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</row>
    <row r="87" spans="1:46" s="137" customFormat="1" ht="15" customHeight="1">
      <c r="A87" s="144">
        <f>A86+1</f>
        <v>13</v>
      </c>
      <c r="B87" s="138" t="s">
        <v>374</v>
      </c>
      <c r="C87" s="138"/>
      <c r="D87" s="90">
        <f>SUM(D85:D86)</f>
        <v>317394176.38171774</v>
      </c>
      <c r="E87" s="154">
        <f t="shared" si="17"/>
        <v>0.13841794331210261</v>
      </c>
      <c r="F87" s="90">
        <f>SUM(F85:F86)</f>
        <v>278802858.1649847</v>
      </c>
      <c r="G87" s="154">
        <f t="shared" si="18"/>
        <v>-6.3952870372577908E-2</v>
      </c>
      <c r="H87" s="90">
        <f>SUM(H85:H86)</f>
        <v>297851304</v>
      </c>
      <c r="I87" s="154">
        <f t="shared" si="18"/>
        <v>0.24111307033099255</v>
      </c>
      <c r="J87" s="90">
        <v>239987243</v>
      </c>
      <c r="K87" s="154">
        <f t="shared" si="18"/>
        <v>-9.133099974730087E-2</v>
      </c>
      <c r="L87" s="90">
        <f>SUM(L85:L86)</f>
        <v>264108540</v>
      </c>
      <c r="M87" s="154">
        <f t="shared" si="18"/>
        <v>0.12701469979915037</v>
      </c>
      <c r="N87" s="90">
        <f>SUM(N85:N86)</f>
        <v>234343474</v>
      </c>
      <c r="O87" s="154">
        <f t="shared" si="18"/>
        <v>8.3427052437187003E-3</v>
      </c>
      <c r="P87" s="90">
        <v>232404591</v>
      </c>
      <c r="Q87" s="155"/>
      <c r="R87" s="138"/>
      <c r="S87" s="138"/>
      <c r="T87" s="138"/>
      <c r="U87" s="138"/>
      <c r="V87" s="138"/>
      <c r="W87" s="397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</row>
    <row r="88" spans="1:46" s="137" customFormat="1" ht="15" customHeight="1">
      <c r="A88" s="144"/>
      <c r="B88" s="138"/>
      <c r="C88" s="138"/>
      <c r="D88" s="164"/>
      <c r="E88" s="152"/>
      <c r="F88" s="164"/>
      <c r="G88" s="152"/>
      <c r="H88" s="164"/>
      <c r="I88" s="152"/>
      <c r="J88" s="164"/>
      <c r="K88" s="152"/>
      <c r="L88" s="164"/>
      <c r="M88" s="152"/>
      <c r="N88" s="164"/>
      <c r="O88" s="152"/>
      <c r="P88" s="164"/>
      <c r="Q88" s="155"/>
      <c r="R88" s="138"/>
      <c r="S88" s="138"/>
      <c r="T88" s="138"/>
      <c r="U88" s="138"/>
      <c r="V88" s="138"/>
      <c r="W88" s="164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</row>
    <row r="89" spans="1:46" s="137" customFormat="1" ht="15" customHeight="1">
      <c r="A89" s="144">
        <f>A87+1</f>
        <v>14</v>
      </c>
      <c r="B89" s="150" t="s">
        <v>375</v>
      </c>
      <c r="C89" s="138"/>
      <c r="D89" s="164"/>
      <c r="E89" s="152"/>
      <c r="F89" s="164"/>
      <c r="G89" s="152"/>
      <c r="H89" s="164"/>
      <c r="I89" s="152"/>
      <c r="J89" s="164"/>
      <c r="K89" s="152"/>
      <c r="L89" s="164"/>
      <c r="M89" s="152"/>
      <c r="N89" s="164"/>
      <c r="O89" s="152"/>
      <c r="P89" s="164"/>
      <c r="Q89" s="155"/>
      <c r="R89" s="138"/>
      <c r="S89" s="138"/>
      <c r="T89" s="138"/>
      <c r="U89" s="138"/>
      <c r="V89" s="138"/>
      <c r="W89" s="164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</row>
    <row r="90" spans="1:46" s="137" customFormat="1" ht="15" customHeight="1">
      <c r="A90" s="144">
        <f>A89+1</f>
        <v>15</v>
      </c>
      <c r="B90" s="138" t="s">
        <v>638</v>
      </c>
      <c r="C90" s="138"/>
      <c r="D90" s="94">
        <v>0</v>
      </c>
      <c r="E90" s="154">
        <v>0</v>
      </c>
      <c r="F90" s="94">
        <v>0</v>
      </c>
      <c r="G90" s="154">
        <v>0</v>
      </c>
      <c r="H90" s="94">
        <v>0</v>
      </c>
      <c r="I90" s="154">
        <v>0</v>
      </c>
      <c r="J90" s="94">
        <v>0</v>
      </c>
      <c r="K90" s="154">
        <v>0</v>
      </c>
      <c r="L90" s="94">
        <v>0</v>
      </c>
      <c r="M90" s="154">
        <v>0</v>
      </c>
      <c r="N90" s="94">
        <v>0</v>
      </c>
      <c r="O90" s="154">
        <v>0</v>
      </c>
      <c r="P90" s="94">
        <v>0</v>
      </c>
      <c r="Q90" s="155"/>
      <c r="R90" s="138"/>
      <c r="S90" s="138"/>
      <c r="T90" s="138"/>
      <c r="U90" s="138"/>
      <c r="V90" s="138"/>
      <c r="W90" s="393"/>
      <c r="X90" s="138"/>
      <c r="Y90" s="138"/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8"/>
    </row>
    <row r="91" spans="1:46" s="137" customFormat="1" ht="15" customHeight="1">
      <c r="A91" s="144">
        <f t="shared" ref="A91:A92" si="19">A90+1</f>
        <v>16</v>
      </c>
      <c r="B91" s="138" t="s">
        <v>639</v>
      </c>
      <c r="C91" s="138"/>
      <c r="D91" s="164">
        <f>'BS G'!X251*1000</f>
        <v>24361857.575570777</v>
      </c>
      <c r="E91" s="154">
        <f t="shared" ref="E91:E92" si="20">(+D91-F91)/F91</f>
        <v>-0.10254602845221125</v>
      </c>
      <c r="F91" s="164">
        <f>'BS G'!G251*1000</f>
        <v>27145523.166558884</v>
      </c>
      <c r="G91" s="154">
        <f t="shared" ref="G91:O92" si="21">(+F91-H91)/H91</f>
        <v>0.21596470489398259</v>
      </c>
      <c r="H91" s="164">
        <v>22324269</v>
      </c>
      <c r="I91" s="154">
        <f t="shared" si="21"/>
        <v>-0.11323408300376935</v>
      </c>
      <c r="J91" s="164">
        <v>25174929</v>
      </c>
      <c r="K91" s="154">
        <f t="shared" si="21"/>
        <v>0.35382140090338188</v>
      </c>
      <c r="L91" s="164">
        <v>18595458</v>
      </c>
      <c r="M91" s="154">
        <f t="shared" si="21"/>
        <v>-0.52964029156575387</v>
      </c>
      <c r="N91" s="164">
        <v>39534547</v>
      </c>
      <c r="O91" s="154">
        <f t="shared" si="21"/>
        <v>1.9999363250974268E-2</v>
      </c>
      <c r="P91" s="164">
        <v>38759384</v>
      </c>
      <c r="Q91" s="155"/>
      <c r="R91" s="138"/>
      <c r="S91" s="138"/>
      <c r="T91" s="138"/>
      <c r="U91" s="138"/>
      <c r="V91" s="138"/>
      <c r="W91" s="164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</row>
    <row r="92" spans="1:46" s="137" customFormat="1" ht="15" customHeight="1">
      <c r="A92" s="144">
        <f t="shared" si="19"/>
        <v>17</v>
      </c>
      <c r="B92" s="138" t="s">
        <v>376</v>
      </c>
      <c r="C92" s="138"/>
      <c r="D92" s="90">
        <f>SUM(D90:D91)</f>
        <v>24361857.575570777</v>
      </c>
      <c r="E92" s="154">
        <f t="shared" si="20"/>
        <v>-0.10254602845221125</v>
      </c>
      <c r="F92" s="90">
        <f>SUM(F90:F91)</f>
        <v>27145523.166558884</v>
      </c>
      <c r="G92" s="154">
        <f t="shared" si="21"/>
        <v>0.21596470489398259</v>
      </c>
      <c r="H92" s="90">
        <f>SUM(H90:H91)</f>
        <v>22324269</v>
      </c>
      <c r="I92" s="154">
        <f t="shared" si="21"/>
        <v>-0.11323408300376935</v>
      </c>
      <c r="J92" s="90">
        <v>25174929</v>
      </c>
      <c r="K92" s="154">
        <f t="shared" si="21"/>
        <v>0.35382140090338188</v>
      </c>
      <c r="L92" s="90">
        <f>SUM(L90:L91)</f>
        <v>18595458</v>
      </c>
      <c r="M92" s="154">
        <f t="shared" si="21"/>
        <v>-0.52964029156575387</v>
      </c>
      <c r="N92" s="90">
        <f>SUM(N90:N91)</f>
        <v>39534547</v>
      </c>
      <c r="O92" s="154">
        <f t="shared" si="21"/>
        <v>1.9999363250974268E-2</v>
      </c>
      <c r="P92" s="90">
        <v>38759384</v>
      </c>
      <c r="Q92" s="155"/>
      <c r="R92" s="138"/>
      <c r="S92" s="138"/>
      <c r="T92" s="138"/>
      <c r="U92" s="138"/>
      <c r="V92" s="138"/>
      <c r="W92" s="397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</row>
    <row r="93" spans="1:46" s="137" customFormat="1" ht="15" customHeight="1">
      <c r="A93" s="144"/>
      <c r="B93" s="138"/>
      <c r="C93" s="138"/>
      <c r="D93" s="164"/>
      <c r="E93" s="152"/>
      <c r="F93" s="164"/>
      <c r="G93" s="152"/>
      <c r="H93" s="164"/>
      <c r="I93" s="152"/>
      <c r="J93" s="164"/>
      <c r="K93" s="152"/>
      <c r="L93" s="164"/>
      <c r="M93" s="152"/>
      <c r="N93" s="164"/>
      <c r="O93" s="152"/>
      <c r="P93" s="164"/>
      <c r="Q93" s="138"/>
      <c r="R93" s="138"/>
      <c r="S93" s="138"/>
      <c r="T93" s="138"/>
      <c r="U93" s="138"/>
      <c r="V93" s="138"/>
      <c r="W93" s="164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</row>
    <row r="94" spans="1:46" s="137" customFormat="1" ht="15" customHeight="1">
      <c r="A94" s="144">
        <f>A92+1</f>
        <v>18</v>
      </c>
      <c r="B94" s="150" t="s">
        <v>289</v>
      </c>
      <c r="C94" s="138"/>
      <c r="D94" s="159"/>
      <c r="E94" s="157"/>
      <c r="F94" s="159"/>
      <c r="G94" s="157"/>
      <c r="H94" s="159"/>
      <c r="I94" s="157"/>
      <c r="J94" s="159"/>
      <c r="K94" s="157"/>
      <c r="L94" s="159"/>
      <c r="M94" s="157"/>
      <c r="N94" s="159"/>
      <c r="O94" s="157"/>
      <c r="P94" s="159"/>
      <c r="Q94" s="138"/>
      <c r="R94" s="138"/>
      <c r="S94" s="138"/>
      <c r="T94" s="138"/>
      <c r="U94" s="138"/>
      <c r="V94" s="138"/>
      <c r="W94" s="159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</row>
    <row r="95" spans="1:46" s="137" customFormat="1" ht="15" customHeight="1">
      <c r="A95" s="144">
        <f>A94+1</f>
        <v>19</v>
      </c>
      <c r="B95" s="138" t="s">
        <v>390</v>
      </c>
      <c r="C95" s="138"/>
      <c r="D95" s="94">
        <f>'BS G'!X160*1000</f>
        <v>27742876.688725103</v>
      </c>
      <c r="E95" s="154">
        <f t="shared" ref="E95:E104" si="22">(+D95-F95)/F95</f>
        <v>-8.1154075182707841E-2</v>
      </c>
      <c r="F95" s="94">
        <f>'BS G'!G160*1000</f>
        <v>30193175.960639574</v>
      </c>
      <c r="G95" s="154">
        <f t="shared" ref="G95:O104" si="23">(+F95-H95)/H95</f>
        <v>0.18152307782285826</v>
      </c>
      <c r="H95" s="94">
        <v>25554453</v>
      </c>
      <c r="I95" s="154">
        <f t="shared" si="23"/>
        <v>-0.45148368628625557</v>
      </c>
      <c r="J95" s="94">
        <v>46588319</v>
      </c>
      <c r="K95" s="154">
        <v>1</v>
      </c>
      <c r="L95" s="94">
        <v>3899372</v>
      </c>
      <c r="M95" s="154">
        <f t="shared" ref="M95" si="24">(+L95-N95)/N95</f>
        <v>-0.66537457566524383</v>
      </c>
      <c r="N95" s="94">
        <v>11652946</v>
      </c>
      <c r="O95" s="154">
        <v>1</v>
      </c>
      <c r="P95" s="94">
        <v>0</v>
      </c>
      <c r="Q95" s="138"/>
      <c r="R95" s="138"/>
      <c r="S95" s="138"/>
      <c r="T95" s="138"/>
      <c r="U95" s="138"/>
      <c r="V95" s="138"/>
      <c r="W95" s="393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</row>
    <row r="96" spans="1:46" s="137" customFormat="1" ht="15" customHeight="1">
      <c r="A96" s="144">
        <f>A95+1</f>
        <v>20</v>
      </c>
      <c r="B96" s="138" t="s">
        <v>377</v>
      </c>
      <c r="C96" s="138"/>
      <c r="D96" s="164">
        <f>'BS G'!X169*1000</f>
        <v>18556344.181731291</v>
      </c>
      <c r="E96" s="154">
        <f t="shared" si="22"/>
        <v>-3.7834161204083748E-2</v>
      </c>
      <c r="F96" s="164">
        <f>'BS G'!G169*1000</f>
        <v>19286014.357933626</v>
      </c>
      <c r="G96" s="154">
        <f t="shared" si="23"/>
        <v>-0.17834405400832512</v>
      </c>
      <c r="H96" s="164">
        <v>23472129</v>
      </c>
      <c r="I96" s="154">
        <f t="shared" si="23"/>
        <v>-0.22307267507463882</v>
      </c>
      <c r="J96" s="164">
        <v>30211486</v>
      </c>
      <c r="K96" s="154">
        <f t="shared" si="23"/>
        <v>0.28041632801864491</v>
      </c>
      <c r="L96" s="164">
        <v>23595049</v>
      </c>
      <c r="M96" s="154">
        <f t="shared" si="23"/>
        <v>-0.10076961689206579</v>
      </c>
      <c r="N96" s="164">
        <v>26239159</v>
      </c>
      <c r="O96" s="154">
        <f t="shared" si="23"/>
        <v>0.21305194187686138</v>
      </c>
      <c r="P96" s="164">
        <v>21630697</v>
      </c>
      <c r="Q96" s="138"/>
      <c r="R96" s="138"/>
      <c r="S96" s="138"/>
      <c r="T96" s="138"/>
      <c r="U96" s="138"/>
      <c r="V96" s="138"/>
      <c r="W96" s="164"/>
      <c r="X96" s="138"/>
      <c r="Y96" s="138"/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</row>
    <row r="97" spans="1:46" s="137" customFormat="1" ht="15" customHeight="1">
      <c r="A97" s="144">
        <f>A96+1</f>
        <v>21</v>
      </c>
      <c r="B97" s="138" t="s">
        <v>391</v>
      </c>
      <c r="C97" s="138"/>
      <c r="D97" s="91">
        <v>0</v>
      </c>
      <c r="E97" s="154">
        <v>0</v>
      </c>
      <c r="F97" s="91">
        <v>0</v>
      </c>
      <c r="G97" s="154">
        <v>0</v>
      </c>
      <c r="H97" s="91">
        <v>0</v>
      </c>
      <c r="I97" s="154">
        <v>0</v>
      </c>
      <c r="J97" s="91">
        <v>0</v>
      </c>
      <c r="K97" s="154">
        <v>0</v>
      </c>
      <c r="L97" s="91">
        <v>0</v>
      </c>
      <c r="M97" s="154">
        <v>0</v>
      </c>
      <c r="N97" s="91">
        <v>0</v>
      </c>
      <c r="O97" s="154">
        <v>0</v>
      </c>
      <c r="P97" s="91">
        <v>0</v>
      </c>
      <c r="Q97" s="138"/>
      <c r="R97" s="138"/>
      <c r="S97" s="138"/>
      <c r="T97" s="138"/>
      <c r="U97" s="138"/>
      <c r="V97" s="138"/>
      <c r="W97" s="164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</row>
    <row r="98" spans="1:46" s="137" customFormat="1" ht="15" customHeight="1">
      <c r="A98" s="144">
        <f>A97+1</f>
        <v>22</v>
      </c>
      <c r="B98" s="138" t="s">
        <v>378</v>
      </c>
      <c r="C98" s="138"/>
      <c r="D98" s="164">
        <f>'BS G'!X174*1000</f>
        <v>4498962.3754317053</v>
      </c>
      <c r="E98" s="154">
        <f t="shared" si="22"/>
        <v>0.19257599779883219</v>
      </c>
      <c r="F98" s="164">
        <f>'BS G'!G174*1000</f>
        <v>3772474.361160676</v>
      </c>
      <c r="G98" s="154">
        <f t="shared" si="23"/>
        <v>-2.1964566705794573E-2</v>
      </c>
      <c r="H98" s="164">
        <v>3857196</v>
      </c>
      <c r="I98" s="154">
        <f t="shared" si="23"/>
        <v>0.19045364565233361</v>
      </c>
      <c r="J98" s="164">
        <v>3240106</v>
      </c>
      <c r="K98" s="154">
        <f t="shared" si="23"/>
        <v>-0.26595986653593329</v>
      </c>
      <c r="L98" s="164">
        <v>4414072</v>
      </c>
      <c r="M98" s="154">
        <f t="shared" si="23"/>
        <v>-1.476907157449789E-2</v>
      </c>
      <c r="N98" s="164">
        <v>4480241</v>
      </c>
      <c r="O98" s="154">
        <f t="shared" si="23"/>
        <v>-0.16508043588656512</v>
      </c>
      <c r="P98" s="164">
        <v>5366075</v>
      </c>
      <c r="Q98" s="138"/>
      <c r="R98" s="138"/>
      <c r="S98" s="138"/>
      <c r="T98" s="138"/>
      <c r="U98" s="138"/>
      <c r="V98" s="138"/>
      <c r="W98" s="164"/>
      <c r="X98" s="138"/>
      <c r="Y98" s="138"/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</row>
    <row r="99" spans="1:46" s="137" customFormat="1" ht="15" customHeight="1">
      <c r="A99" s="144">
        <f t="shared" ref="A99:A104" si="25">A98+1</f>
        <v>23</v>
      </c>
      <c r="B99" s="138" t="s">
        <v>379</v>
      </c>
      <c r="C99" s="138"/>
      <c r="D99" s="164">
        <f>'BS G'!X176*1000</f>
        <v>4575910.4257509913</v>
      </c>
      <c r="E99" s="154">
        <f t="shared" si="22"/>
        <v>1.7962049429933249E-2</v>
      </c>
      <c r="F99" s="164">
        <f>'BS G'!G176*1000</f>
        <v>4495167.9960107915</v>
      </c>
      <c r="G99" s="154">
        <f t="shared" si="23"/>
        <v>-0.18834203053691803</v>
      </c>
      <c r="H99" s="164">
        <v>5538254</v>
      </c>
      <c r="I99" s="154">
        <f t="shared" si="23"/>
        <v>0.28083833013909343</v>
      </c>
      <c r="J99" s="164">
        <v>4323929</v>
      </c>
      <c r="K99" s="154">
        <f t="shared" si="23"/>
        <v>-0.21297824551696021</v>
      </c>
      <c r="L99" s="164">
        <v>5494040</v>
      </c>
      <c r="M99" s="154">
        <f t="shared" si="23"/>
        <v>0.21884902798939737</v>
      </c>
      <c r="N99" s="164">
        <v>4507564</v>
      </c>
      <c r="O99" s="154">
        <f t="shared" si="23"/>
        <v>-9.4837403377900364E-2</v>
      </c>
      <c r="P99" s="164">
        <v>4979839</v>
      </c>
      <c r="Q99" s="138"/>
      <c r="R99" s="138"/>
      <c r="S99" s="138"/>
      <c r="T99" s="138"/>
      <c r="U99" s="138"/>
      <c r="V99" s="138"/>
      <c r="W99" s="164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</row>
    <row r="100" spans="1:46" s="137" customFormat="1" ht="15" customHeight="1">
      <c r="A100" s="144">
        <f t="shared" si="25"/>
        <v>24</v>
      </c>
      <c r="B100" s="138" t="s">
        <v>380</v>
      </c>
      <c r="C100" s="138"/>
      <c r="D100" s="164">
        <f>'BS G'!X178*1000</f>
        <v>4293188.825813924</v>
      </c>
      <c r="E100" s="154">
        <f t="shared" si="22"/>
        <v>-0.29376718273363939</v>
      </c>
      <c r="F100" s="164">
        <f>'BS G'!G178*1000</f>
        <v>6078999.3340039281</v>
      </c>
      <c r="G100" s="154">
        <f t="shared" si="23"/>
        <v>0.63300879122519682</v>
      </c>
      <c r="H100" s="164">
        <v>3722576</v>
      </c>
      <c r="I100" s="154">
        <f t="shared" si="23"/>
        <v>1.2541109417759268E-2</v>
      </c>
      <c r="J100" s="164">
        <v>3676469</v>
      </c>
      <c r="K100" s="154">
        <f t="shared" si="23"/>
        <v>0.44119020225441447</v>
      </c>
      <c r="L100" s="164">
        <v>2550995</v>
      </c>
      <c r="M100" s="154">
        <f t="shared" si="23"/>
        <v>2.4553545910523615</v>
      </c>
      <c r="N100" s="164">
        <v>738273</v>
      </c>
      <c r="O100" s="154">
        <f t="shared" si="23"/>
        <v>-0.6964859658167305</v>
      </c>
      <c r="P100" s="164">
        <v>2432418</v>
      </c>
      <c r="Q100" s="155"/>
      <c r="R100" s="138"/>
      <c r="S100" s="138"/>
      <c r="T100" s="138"/>
      <c r="U100" s="138"/>
      <c r="V100" s="138"/>
      <c r="W100" s="164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</row>
    <row r="101" spans="1:46" s="137" customFormat="1" ht="15" customHeight="1">
      <c r="A101" s="144">
        <f t="shared" si="25"/>
        <v>25</v>
      </c>
      <c r="B101" s="138" t="s">
        <v>381</v>
      </c>
      <c r="C101" s="138"/>
      <c r="D101" s="164">
        <f>('BS G'!X181+'BS G'!X182)*1000</f>
        <v>2963515.7773123127</v>
      </c>
      <c r="E101" s="154">
        <f t="shared" si="22"/>
        <v>-0.10655645155200705</v>
      </c>
      <c r="F101" s="164">
        <f>('BS G'!G181+'BS G'!G182)*1000</f>
        <v>3316959.1771749393</v>
      </c>
      <c r="G101" s="154">
        <f t="shared" si="23"/>
        <v>0.80875453267082731</v>
      </c>
      <c r="H101" s="164">
        <v>1833836</v>
      </c>
      <c r="I101" s="154">
        <f t="shared" si="23"/>
        <v>0.78697264245170406</v>
      </c>
      <c r="J101" s="164">
        <v>1026225</v>
      </c>
      <c r="K101" s="154">
        <f t="shared" si="23"/>
        <v>-5.737196709792089E-2</v>
      </c>
      <c r="L101" s="164">
        <v>1088685</v>
      </c>
      <c r="M101" s="154">
        <f t="shared" si="23"/>
        <v>4.2737802245648732E-3</v>
      </c>
      <c r="N101" s="164">
        <v>1084052</v>
      </c>
      <c r="O101" s="154">
        <f t="shared" si="23"/>
        <v>-0.1147517422385254</v>
      </c>
      <c r="P101" s="164">
        <v>1224574</v>
      </c>
      <c r="Q101" s="155"/>
      <c r="R101" s="138"/>
      <c r="S101" s="138"/>
      <c r="T101" s="138"/>
      <c r="U101" s="138"/>
      <c r="V101" s="138"/>
      <c r="W101" s="164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</row>
    <row r="102" spans="1:46" s="137" customFormat="1" ht="15" customHeight="1">
      <c r="A102" s="144">
        <f t="shared" si="25"/>
        <v>26</v>
      </c>
      <c r="B102" s="138" t="s">
        <v>382</v>
      </c>
      <c r="C102" s="138"/>
      <c r="D102" s="91">
        <f>('BS G'!X188+'BS G'!X189)*1000</f>
        <v>259105.07099980215</v>
      </c>
      <c r="E102" s="154">
        <f t="shared" si="22"/>
        <v>1.7962049429933374E-2</v>
      </c>
      <c r="F102" s="91">
        <f>('BS G'!G188+'BS G'!G189)*1000</f>
        <v>254533.13426065637</v>
      </c>
      <c r="G102" s="154">
        <v>1</v>
      </c>
      <c r="H102" s="91">
        <v>0</v>
      </c>
      <c r="I102" s="154">
        <v>0</v>
      </c>
      <c r="J102" s="91">
        <v>0</v>
      </c>
      <c r="K102" s="154">
        <v>0</v>
      </c>
      <c r="L102" s="91">
        <v>0</v>
      </c>
      <c r="M102" s="154">
        <v>0</v>
      </c>
      <c r="N102" s="91">
        <v>0</v>
      </c>
      <c r="O102" s="154">
        <v>0</v>
      </c>
      <c r="P102" s="91">
        <v>0</v>
      </c>
      <c r="Q102" s="155"/>
      <c r="R102" s="138"/>
      <c r="S102" s="138"/>
      <c r="T102" s="138"/>
      <c r="U102" s="138"/>
      <c r="V102" s="138"/>
      <c r="W102" s="164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</row>
    <row r="103" spans="1:46" s="137" customFormat="1" ht="15" customHeight="1">
      <c r="A103" s="144">
        <f t="shared" si="25"/>
        <v>27</v>
      </c>
      <c r="B103" s="138" t="s">
        <v>383</v>
      </c>
      <c r="C103" s="138"/>
      <c r="D103" s="164">
        <f>('BS G'!X200+'BS G'!X185)*1000-D102</f>
        <v>10404581.043389313</v>
      </c>
      <c r="E103" s="154">
        <f t="shared" si="22"/>
        <v>-0.23532196519394938</v>
      </c>
      <c r="F103" s="164">
        <f>('BS G'!G200+'BS G'!G185)*1000-F102</f>
        <v>13606486.08930984</v>
      </c>
      <c r="G103" s="154">
        <f t="shared" si="23"/>
        <v>3.0422277750894018E-2</v>
      </c>
      <c r="H103" s="164">
        <v>13204767</v>
      </c>
      <c r="I103" s="154">
        <f t="shared" si="23"/>
        <v>-0.43645938661202749</v>
      </c>
      <c r="J103" s="164">
        <v>23431793</v>
      </c>
      <c r="K103" s="154">
        <f t="shared" si="23"/>
        <v>1.1198723686598455</v>
      </c>
      <c r="L103" s="164">
        <v>11053398</v>
      </c>
      <c r="M103" s="154">
        <f t="shared" si="23"/>
        <v>-3.5977425956173398E-2</v>
      </c>
      <c r="N103" s="164">
        <v>11465912</v>
      </c>
      <c r="O103" s="154">
        <f t="shared" si="23"/>
        <v>0.21652367151911192</v>
      </c>
      <c r="P103" s="164">
        <v>9425145</v>
      </c>
      <c r="Q103" s="155"/>
      <c r="R103" s="138"/>
      <c r="S103" s="138"/>
      <c r="T103" s="138"/>
      <c r="U103" s="138"/>
      <c r="V103" s="138"/>
      <c r="W103" s="164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</row>
    <row r="104" spans="1:46" s="137" customFormat="1" ht="15" customHeight="1">
      <c r="A104" s="144">
        <f t="shared" si="25"/>
        <v>28</v>
      </c>
      <c r="B104" s="138" t="s">
        <v>290</v>
      </c>
      <c r="C104" s="138"/>
      <c r="D104" s="90">
        <f>SUM(D95:D103)</f>
        <v>73294484.389154449</v>
      </c>
      <c r="E104" s="154">
        <f t="shared" si="22"/>
        <v>-9.5172387351556476E-2</v>
      </c>
      <c r="F104" s="90">
        <f>SUM(F95:F103)</f>
        <v>81003810.41049403</v>
      </c>
      <c r="G104" s="154">
        <f t="shared" si="23"/>
        <v>4.9500394723070405E-2</v>
      </c>
      <c r="H104" s="90">
        <f>SUM(H95:H103)</f>
        <v>77183211</v>
      </c>
      <c r="I104" s="154">
        <f t="shared" si="23"/>
        <v>-0.31391681051399101</v>
      </c>
      <c r="J104" s="90">
        <v>112498327</v>
      </c>
      <c r="K104" s="154">
        <f t="shared" si="23"/>
        <v>1.1594588265794599</v>
      </c>
      <c r="L104" s="90">
        <f>SUM(L95:L103)</f>
        <v>52095611</v>
      </c>
      <c r="M104" s="154">
        <f t="shared" si="23"/>
        <v>-0.13416627239658885</v>
      </c>
      <c r="N104" s="90">
        <f>SUM(N95:N103)</f>
        <v>60168147</v>
      </c>
      <c r="O104" s="154">
        <f t="shared" si="23"/>
        <v>0.335326649555376</v>
      </c>
      <c r="P104" s="90">
        <v>45058748</v>
      </c>
      <c r="Q104" s="138"/>
      <c r="R104" s="138"/>
      <c r="S104" s="138"/>
      <c r="T104" s="138"/>
      <c r="U104" s="138"/>
      <c r="V104" s="138"/>
      <c r="W104" s="397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</row>
    <row r="105" spans="1:46" s="137" customFormat="1" ht="15" customHeight="1">
      <c r="A105" s="144"/>
      <c r="B105" s="138"/>
      <c r="C105" s="138"/>
      <c r="D105" s="158"/>
      <c r="E105" s="157"/>
      <c r="F105" s="158"/>
      <c r="G105" s="157"/>
      <c r="H105" s="158"/>
      <c r="I105" s="157"/>
      <c r="J105" s="158"/>
      <c r="K105" s="157"/>
      <c r="L105" s="158"/>
      <c r="M105" s="157"/>
      <c r="N105" s="158"/>
      <c r="O105" s="157"/>
      <c r="P105" s="158"/>
      <c r="Q105" s="138"/>
      <c r="R105" s="138"/>
      <c r="S105" s="138"/>
      <c r="T105" s="138"/>
      <c r="U105" s="138"/>
      <c r="V105" s="138"/>
      <c r="W105" s="15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</row>
    <row r="106" spans="1:46" s="137" customFormat="1" ht="15" customHeight="1">
      <c r="A106" s="144">
        <f>A104+1</f>
        <v>29</v>
      </c>
      <c r="B106" s="150" t="s">
        <v>291</v>
      </c>
      <c r="C106" s="138"/>
      <c r="D106" s="159"/>
      <c r="E106" s="152"/>
      <c r="F106" s="159"/>
      <c r="G106" s="152"/>
      <c r="H106" s="159"/>
      <c r="I106" s="152"/>
      <c r="J106" s="159"/>
      <c r="K106" s="152"/>
      <c r="L106" s="159"/>
      <c r="M106" s="152"/>
      <c r="N106" s="159"/>
      <c r="O106" s="152"/>
      <c r="P106" s="159"/>
      <c r="Q106" s="138"/>
      <c r="R106" s="138"/>
      <c r="S106" s="138"/>
      <c r="T106" s="138"/>
      <c r="U106" s="138"/>
      <c r="V106" s="138"/>
      <c r="W106" s="159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</row>
    <row r="107" spans="1:46" s="137" customFormat="1" ht="15" customHeight="1">
      <c r="A107" s="144">
        <f>A106+1</f>
        <v>30</v>
      </c>
      <c r="B107" s="138" t="s">
        <v>144</v>
      </c>
      <c r="C107" s="138"/>
      <c r="D107" s="94">
        <f>'BS G'!X227*1000</f>
        <v>5333825.2990410384</v>
      </c>
      <c r="E107" s="154">
        <f t="shared" ref="E107:E114" si="26">(+D107-F107)/F107</f>
        <v>1.7460687637874453E-16</v>
      </c>
      <c r="F107" s="94">
        <f>'BS G'!G227*1000</f>
        <v>5333825.2990410374</v>
      </c>
      <c r="G107" s="154">
        <f t="shared" ref="G107:O114" si="27">(+F107-H107)/H107</f>
        <v>-8.5648079028197988E-2</v>
      </c>
      <c r="H107" s="94">
        <v>5833449</v>
      </c>
      <c r="I107" s="154">
        <f t="shared" si="27"/>
        <v>-0.11076773876479856</v>
      </c>
      <c r="J107" s="94">
        <v>6560096</v>
      </c>
      <c r="K107" s="154">
        <f t="shared" si="27"/>
        <v>0.33368653823751432</v>
      </c>
      <c r="L107" s="94">
        <v>4918769</v>
      </c>
      <c r="M107" s="154">
        <f t="shared" si="27"/>
        <v>-6.6208880601633477E-2</v>
      </c>
      <c r="N107" s="94">
        <v>5267526</v>
      </c>
      <c r="O107" s="154">
        <f t="shared" si="27"/>
        <v>-4.4395812057117334</v>
      </c>
      <c r="P107" s="94">
        <v>-1531444</v>
      </c>
      <c r="Q107" s="138"/>
      <c r="R107" s="138"/>
      <c r="S107" s="138"/>
      <c r="T107" s="138"/>
      <c r="U107" s="138"/>
      <c r="V107" s="138"/>
      <c r="W107" s="393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</row>
    <row r="108" spans="1:46" s="137" customFormat="1" ht="15" customHeight="1">
      <c r="A108" s="144">
        <f t="shared" ref="A108:A114" si="28">A107+1</f>
        <v>31</v>
      </c>
      <c r="B108" s="138" t="s">
        <v>384</v>
      </c>
      <c r="C108" s="138"/>
      <c r="D108" s="164">
        <f>'BS G'!X215*1000</f>
        <v>38253.307692307797</v>
      </c>
      <c r="E108" s="154">
        <f t="shared" si="26"/>
        <v>-0.48412768667827982</v>
      </c>
      <c r="F108" s="164">
        <f>'BS G'!G215*1000</f>
        <v>74152.666666666773</v>
      </c>
      <c r="G108" s="154">
        <f t="shared" si="27"/>
        <v>-0.47899423389495405</v>
      </c>
      <c r="H108" s="164">
        <v>142326</v>
      </c>
      <c r="I108" s="154">
        <f t="shared" si="27"/>
        <v>-0.35319887659852939</v>
      </c>
      <c r="J108" s="164">
        <v>220046</v>
      </c>
      <c r="K108" s="154">
        <v>1</v>
      </c>
      <c r="L108" s="164">
        <v>0</v>
      </c>
      <c r="M108" s="154">
        <v>0</v>
      </c>
      <c r="N108" s="164">
        <v>0</v>
      </c>
      <c r="O108" s="154">
        <f t="shared" si="27"/>
        <v>-1</v>
      </c>
      <c r="P108" s="164">
        <v>556206</v>
      </c>
      <c r="Q108" s="138"/>
      <c r="R108" s="138"/>
      <c r="S108" s="138"/>
      <c r="T108" s="138"/>
      <c r="U108" s="138"/>
      <c r="V108" s="138"/>
      <c r="W108" s="164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</row>
    <row r="109" spans="1:46" s="137" customFormat="1" ht="15" customHeight="1">
      <c r="A109" s="144">
        <f t="shared" si="28"/>
        <v>32</v>
      </c>
      <c r="B109" s="138" t="s">
        <v>385</v>
      </c>
      <c r="C109" s="138"/>
      <c r="D109" s="164">
        <f>'BS G'!X238*1000</f>
        <v>914044.03542693937</v>
      </c>
      <c r="E109" s="154">
        <f t="shared" si="26"/>
        <v>1.7962049429933444E-2</v>
      </c>
      <c r="F109" s="164">
        <f>'BS G'!G238*1000</f>
        <v>897915.63048820046</v>
      </c>
      <c r="G109" s="154">
        <f t="shared" si="27"/>
        <v>2.5835064612470036</v>
      </c>
      <c r="H109" s="164">
        <v>250569</v>
      </c>
      <c r="I109" s="154">
        <f t="shared" si="27"/>
        <v>4.8983780984440104</v>
      </c>
      <c r="J109" s="164">
        <v>42481</v>
      </c>
      <c r="K109" s="154">
        <f t="shared" si="27"/>
        <v>-0.98075019892805415</v>
      </c>
      <c r="L109" s="164">
        <v>2206828</v>
      </c>
      <c r="M109" s="154">
        <f t="shared" si="27"/>
        <v>10.241489269577354</v>
      </c>
      <c r="N109" s="164">
        <v>196311</v>
      </c>
      <c r="O109" s="154">
        <f t="shared" si="27"/>
        <v>-1.4147611190105449</v>
      </c>
      <c r="P109" s="164">
        <v>-473311</v>
      </c>
      <c r="Q109" s="138"/>
      <c r="R109" s="138"/>
      <c r="S109" s="138"/>
      <c r="T109" s="138"/>
      <c r="U109" s="138"/>
      <c r="V109" s="138"/>
      <c r="W109" s="164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</row>
    <row r="110" spans="1:46" s="137" customFormat="1" ht="15" customHeight="1">
      <c r="A110" s="144">
        <f t="shared" si="28"/>
        <v>33</v>
      </c>
      <c r="B110" s="138" t="s">
        <v>386</v>
      </c>
      <c r="C110" s="138"/>
      <c r="D110" s="164">
        <f>'BS G'!X222*1000</f>
        <v>8976875.3985497504</v>
      </c>
      <c r="E110" s="154">
        <f t="shared" si="26"/>
        <v>-3.3153155399349085E-2</v>
      </c>
      <c r="F110" s="164">
        <f>'BS G'!G222*1000</f>
        <v>9284692.2433279324</v>
      </c>
      <c r="G110" s="154">
        <f t="shared" si="27"/>
        <v>-0.48759784289875191</v>
      </c>
      <c r="H110" s="164">
        <v>18119932</v>
      </c>
      <c r="I110" s="154">
        <f t="shared" si="27"/>
        <v>-0.1450780206519163</v>
      </c>
      <c r="J110" s="164">
        <v>21194837</v>
      </c>
      <c r="K110" s="154">
        <f t="shared" si="27"/>
        <v>1.6774534185834616E-2</v>
      </c>
      <c r="L110" s="164">
        <v>20845169</v>
      </c>
      <c r="M110" s="154">
        <f t="shared" si="27"/>
        <v>1.011467054424579</v>
      </c>
      <c r="N110" s="164">
        <v>10363167</v>
      </c>
      <c r="O110" s="154">
        <f t="shared" si="27"/>
        <v>3.6022987483048559E-2</v>
      </c>
      <c r="P110" s="164">
        <v>10002835</v>
      </c>
      <c r="Q110" s="138"/>
      <c r="R110" s="138"/>
      <c r="S110" s="138"/>
      <c r="T110" s="138"/>
      <c r="U110" s="138"/>
      <c r="V110" s="138"/>
      <c r="W110" s="164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</row>
    <row r="111" spans="1:46" s="137" customFormat="1" ht="15" customHeight="1">
      <c r="A111" s="144">
        <f t="shared" si="28"/>
        <v>34</v>
      </c>
      <c r="B111" s="138" t="s">
        <v>387</v>
      </c>
      <c r="C111" s="138"/>
      <c r="D111" s="164">
        <f>'BS G'!X232*1000</f>
        <v>37600499.231641598</v>
      </c>
      <c r="E111" s="154">
        <f t="shared" si="26"/>
        <v>-3.1606318883190099E-2</v>
      </c>
      <c r="F111" s="164">
        <f>'BS G'!G232*1000</f>
        <v>38827699.896057189</v>
      </c>
      <c r="G111" s="154">
        <f t="shared" si="27"/>
        <v>1.0929431723943033</v>
      </c>
      <c r="H111" s="164">
        <v>18551722</v>
      </c>
      <c r="I111" s="154">
        <f t="shared" si="27"/>
        <v>-0.1320995851119352</v>
      </c>
      <c r="J111" s="164">
        <v>21375404</v>
      </c>
      <c r="K111" s="154">
        <f t="shared" si="27"/>
        <v>-2.2456460347673311E-2</v>
      </c>
      <c r="L111" s="164">
        <v>21866447</v>
      </c>
      <c r="M111" s="154">
        <f t="shared" si="27"/>
        <v>2.2985259414046246E-2</v>
      </c>
      <c r="N111" s="164">
        <v>21375134</v>
      </c>
      <c r="O111" s="154">
        <f t="shared" si="27"/>
        <v>-0.50555737306256909</v>
      </c>
      <c r="P111" s="164">
        <v>43230767</v>
      </c>
      <c r="Q111" s="138"/>
      <c r="R111" s="138"/>
      <c r="S111" s="138"/>
      <c r="T111" s="138"/>
      <c r="U111" s="138"/>
      <c r="V111" s="138"/>
      <c r="W111" s="164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</row>
    <row r="112" spans="1:46" s="137" customFormat="1" ht="15" customHeight="1">
      <c r="A112" s="144">
        <f t="shared" si="28"/>
        <v>35</v>
      </c>
      <c r="B112" s="138" t="s">
        <v>388</v>
      </c>
      <c r="C112" s="138"/>
      <c r="D112" s="164">
        <f>'BS G'!X243*1000</f>
        <v>739949.82430395926</v>
      </c>
      <c r="E112" s="154">
        <f t="shared" si="26"/>
        <v>1.7962049429933236E-2</v>
      </c>
      <c r="F112" s="164">
        <f>'BS G'!G243*1000</f>
        <v>726893.33037350164</v>
      </c>
      <c r="G112" s="154">
        <f t="shared" si="27"/>
        <v>1.5740461011923269E-2</v>
      </c>
      <c r="H112" s="164">
        <v>715629</v>
      </c>
      <c r="I112" s="154">
        <f t="shared" si="27"/>
        <v>-0.81702741946247204</v>
      </c>
      <c r="J112" s="164">
        <v>3911127</v>
      </c>
      <c r="K112" s="154">
        <f t="shared" si="27"/>
        <v>-0.45102559153896632</v>
      </c>
      <c r="L112" s="164">
        <v>7124425</v>
      </c>
      <c r="M112" s="154">
        <f t="shared" si="27"/>
        <v>-0.42735783442931824</v>
      </c>
      <c r="N112" s="164">
        <v>12441321</v>
      </c>
      <c r="O112" s="154">
        <f t="shared" si="27"/>
        <v>-2.50216055468186E-2</v>
      </c>
      <c r="P112" s="164">
        <v>12760612</v>
      </c>
      <c r="Q112" s="138"/>
      <c r="R112" s="138"/>
      <c r="S112" s="138"/>
      <c r="T112" s="138"/>
      <c r="U112" s="138"/>
      <c r="V112" s="138"/>
      <c r="W112" s="164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</row>
    <row r="113" spans="1:46" s="137" customFormat="1" ht="15" customHeight="1">
      <c r="A113" s="144">
        <f t="shared" si="28"/>
        <v>36</v>
      </c>
      <c r="B113" s="138" t="s">
        <v>364</v>
      </c>
      <c r="C113" s="138"/>
      <c r="D113" s="164">
        <f>'BS G'!X210*1000</f>
        <v>256907806.44010177</v>
      </c>
      <c r="E113" s="154">
        <f t="shared" si="26"/>
        <v>7.5991092416789363E-2</v>
      </c>
      <c r="F113" s="164">
        <f>'BS G'!G210*1000</f>
        <v>238763878.48440248</v>
      </c>
      <c r="G113" s="154">
        <f t="shared" si="27"/>
        <v>6.8727753249158585E-2</v>
      </c>
      <c r="H113" s="164">
        <v>223409449</v>
      </c>
      <c r="I113" s="154">
        <f t="shared" si="27"/>
        <v>0.15784511603312215</v>
      </c>
      <c r="J113" s="164">
        <v>192952793</v>
      </c>
      <c r="K113" s="154">
        <f t="shared" si="27"/>
        <v>0.32315596883749814</v>
      </c>
      <c r="L113" s="164">
        <v>145827701</v>
      </c>
      <c r="M113" s="154">
        <f t="shared" si="27"/>
        <v>6.7945831041158436E-2</v>
      </c>
      <c r="N113" s="164">
        <v>136549717</v>
      </c>
      <c r="O113" s="154">
        <f t="shared" si="27"/>
        <v>0.44436009796494474</v>
      </c>
      <c r="P113" s="164">
        <v>94539940</v>
      </c>
      <c r="Q113" s="138"/>
      <c r="R113" s="138"/>
      <c r="S113" s="138"/>
      <c r="T113" s="138"/>
      <c r="U113" s="138"/>
      <c r="V113" s="138"/>
      <c r="W113" s="164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</row>
    <row r="114" spans="1:46" s="137" customFormat="1" ht="15" customHeight="1">
      <c r="A114" s="144">
        <f t="shared" si="28"/>
        <v>37</v>
      </c>
      <c r="B114" s="138" t="s">
        <v>292</v>
      </c>
      <c r="C114" s="138"/>
      <c r="D114" s="90">
        <f>SUM(D107:D113)</f>
        <v>310511253.53675735</v>
      </c>
      <c r="E114" s="154">
        <f t="shared" si="26"/>
        <v>5.6487527552824136E-2</v>
      </c>
      <c r="F114" s="90">
        <f>SUM(F107:F113)</f>
        <v>293909057.55035698</v>
      </c>
      <c r="G114" s="154">
        <f t="shared" si="27"/>
        <v>0.10068785796758997</v>
      </c>
      <c r="H114" s="90">
        <f>SUM(H107:H113)</f>
        <v>267023076</v>
      </c>
      <c r="I114" s="154">
        <f t="shared" si="27"/>
        <v>8.4327796630366131E-2</v>
      </c>
      <c r="J114" s="90">
        <f>SUM(J107:J113)</f>
        <v>246256784</v>
      </c>
      <c r="K114" s="154">
        <f t="shared" si="27"/>
        <v>0.21434778186243805</v>
      </c>
      <c r="L114" s="90">
        <f>SUM(L107:L113)</f>
        <v>202789339</v>
      </c>
      <c r="M114" s="154">
        <f t="shared" si="27"/>
        <v>8.9134109834401232E-2</v>
      </c>
      <c r="N114" s="90">
        <f>SUM(N107:N113)</f>
        <v>186193176</v>
      </c>
      <c r="O114" s="154">
        <f t="shared" si="27"/>
        <v>0.17039612729259823</v>
      </c>
      <c r="P114" s="90">
        <f>SUM(P107:P113)</f>
        <v>159085605</v>
      </c>
      <c r="Q114" s="138"/>
      <c r="R114" s="138"/>
      <c r="S114" s="138"/>
      <c r="T114" s="138"/>
      <c r="U114" s="138"/>
      <c r="V114" s="138"/>
      <c r="W114" s="397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</row>
    <row r="115" spans="1:46" s="137" customFormat="1" ht="15" customHeight="1">
      <c r="A115" s="144"/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59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</row>
    <row r="116" spans="1:46" s="137" customFormat="1" ht="15" customHeight="1" thickBot="1">
      <c r="A116" s="144">
        <f>A114+1</f>
        <v>38</v>
      </c>
      <c r="B116" s="138" t="s">
        <v>389</v>
      </c>
      <c r="C116" s="138"/>
      <c r="D116" s="93">
        <f>D82+D87+D92+D104+D114</f>
        <v>1112590096.2144022</v>
      </c>
      <c r="E116" s="154">
        <f t="shared" ref="E116:O116" si="29">(+D116-F116)/F116</f>
        <v>5.9307511063053445E-2</v>
      </c>
      <c r="F116" s="93">
        <f>F82+F87+F92+F104+F114</f>
        <v>1050299449.9660233</v>
      </c>
      <c r="G116" s="154">
        <f t="shared" si="29"/>
        <v>5.8970545414069722E-2</v>
      </c>
      <c r="H116" s="93">
        <f>H82+H87+H92+H104+H114</f>
        <v>991811769</v>
      </c>
      <c r="I116" s="154">
        <f t="shared" si="29"/>
        <v>5.4646836535667681E-2</v>
      </c>
      <c r="J116" s="93">
        <f>J82+J87+J92+J104+J114</f>
        <v>940420750</v>
      </c>
      <c r="K116" s="154">
        <f t="shared" si="29"/>
        <v>0.10909072513283731</v>
      </c>
      <c r="L116" s="93">
        <f>L82+L87+L92+L104+L114</f>
        <v>847920489</v>
      </c>
      <c r="M116" s="154">
        <f t="shared" si="29"/>
        <v>3.7880904042805245E-2</v>
      </c>
      <c r="N116" s="93">
        <f>N82+N87+N92+N104+N114</f>
        <v>816972820</v>
      </c>
      <c r="O116" s="154">
        <f t="shared" si="29"/>
        <v>8.3764744531177979E-2</v>
      </c>
      <c r="P116" s="93">
        <f>P82+P87+P92+P104+P114</f>
        <v>753828563</v>
      </c>
      <c r="Q116" s="138"/>
      <c r="R116" s="138"/>
      <c r="S116" s="138"/>
      <c r="T116" s="138"/>
      <c r="U116" s="138"/>
      <c r="V116" s="138"/>
      <c r="W116" s="394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</row>
    <row r="117" spans="1:46" s="137" customFormat="1" ht="15" customHeight="1" thickTop="1">
      <c r="A117" s="144"/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59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</row>
    <row r="118" spans="1:46" s="137" customFormat="1" ht="18" customHeight="1" thickBot="1">
      <c r="A118" s="144">
        <f>A116+1</f>
        <v>39</v>
      </c>
      <c r="B118" s="138" t="s">
        <v>640</v>
      </c>
      <c r="C118" s="138"/>
      <c r="D118" s="93">
        <f>D57-D116</f>
        <v>-9731427.2828998566</v>
      </c>
      <c r="E118" s="154"/>
      <c r="F118" s="93">
        <f>F57-F116</f>
        <v>-18801773.993884921</v>
      </c>
      <c r="G118" s="154"/>
      <c r="H118" s="93">
        <f>H57-H116</f>
        <v>5740694</v>
      </c>
      <c r="I118" s="154"/>
      <c r="J118" s="93">
        <f>J57-J116</f>
        <v>29281924</v>
      </c>
      <c r="K118" s="154"/>
      <c r="L118" s="93">
        <f>L57-L116</f>
        <v>34117932.5</v>
      </c>
      <c r="M118" s="154"/>
      <c r="N118" s="93">
        <f>N57-N116</f>
        <v>10901488</v>
      </c>
      <c r="O118" s="154"/>
      <c r="P118" s="93">
        <f>P57-P116</f>
        <v>15612681</v>
      </c>
      <c r="Q118" s="138"/>
      <c r="R118" s="138"/>
      <c r="S118" s="138"/>
      <c r="T118" s="138"/>
      <c r="U118" s="138"/>
      <c r="V118" s="138"/>
      <c r="W118" s="394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</row>
    <row r="119" spans="1:46" s="137" customFormat="1" ht="15" customHeight="1" thickTop="1">
      <c r="A119" s="144"/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59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</row>
    <row r="120" spans="1:46" s="137" customFormat="1" ht="15" customHeight="1">
      <c r="A120" s="144"/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59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</row>
    <row r="121" spans="1:46" s="137" customFormat="1" ht="15" customHeight="1">
      <c r="A121" s="144"/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59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</row>
    <row r="122" spans="1:46" s="137" customFormat="1" ht="15" customHeight="1">
      <c r="A122" s="144"/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59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</row>
    <row r="123" spans="1:46" s="137" customFormat="1" ht="15" customHeight="1">
      <c r="A123" s="144"/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59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</row>
    <row r="124" spans="1:46" s="137" customFormat="1" ht="15" customHeight="1">
      <c r="A124" s="144"/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59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</row>
    <row r="125" spans="1:46" s="137" customFormat="1" ht="15" customHeight="1">
      <c r="A125" s="138"/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59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</row>
    <row r="126" spans="1:46" ht="15" customHeight="1"/>
    <row r="127" spans="1:46" ht="15" customHeight="1"/>
    <row r="128" spans="1:46" ht="15" customHeight="1"/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s="137" customFormat="1" ht="15" customHeight="1">
      <c r="A137" s="138"/>
      <c r="B137" s="138"/>
      <c r="C137" s="165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59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</row>
    <row r="138" spans="1:46" ht="15" customHeight="1"/>
    <row r="139" spans="1:46" ht="15" customHeight="1"/>
    <row r="140" spans="1:46" ht="15" customHeight="1"/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>
      <c r="A186" s="498" t="s">
        <v>303</v>
      </c>
      <c r="B186" s="498"/>
      <c r="C186" s="498"/>
      <c r="D186" s="498"/>
      <c r="E186" s="498"/>
      <c r="F186" s="498"/>
      <c r="G186" s="498"/>
      <c r="H186" s="498"/>
      <c r="I186" s="498"/>
      <c r="J186" s="498"/>
      <c r="K186" s="498"/>
      <c r="L186" s="498"/>
      <c r="M186" s="498"/>
    </row>
    <row r="187" spans="1:13" ht="15" customHeight="1"/>
    <row r="188" spans="1:13" ht="15" customHeight="1"/>
    <row r="189" spans="1:13" ht="15" customHeight="1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</row>
    <row r="190" spans="1:13" ht="15" customHeight="1"/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spans="1:1" ht="15" customHeight="1"/>
    <row r="306" spans="1:1" ht="15" customHeight="1"/>
    <row r="307" spans="1:1" ht="15" customHeight="1"/>
    <row r="308" spans="1:1" ht="15" customHeight="1"/>
    <row r="309" spans="1:1" ht="15" customHeight="1"/>
    <row r="310" spans="1:1" ht="15" customHeight="1"/>
    <row r="311" spans="1:1" ht="15" customHeight="1"/>
    <row r="312" spans="1:1" ht="15" customHeight="1"/>
    <row r="313" spans="1:1" ht="15" customHeight="1"/>
    <row r="314" spans="1:1" ht="15" customHeight="1">
      <c r="A314" s="138" t="s">
        <v>151</v>
      </c>
    </row>
    <row r="315" spans="1:1" ht="15" customHeight="1"/>
    <row r="316" spans="1:1" ht="15" customHeight="1"/>
    <row r="317" spans="1:1" ht="15" customHeight="1"/>
    <row r="318" spans="1:1" ht="15" customHeight="1"/>
    <row r="319" spans="1:1" ht="15" customHeight="1"/>
    <row r="320" spans="1:1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spans="1:1" ht="15" customHeight="1"/>
    <row r="498" spans="1:1" ht="15" customHeight="1">
      <c r="A498" s="138" t="s">
        <v>259</v>
      </c>
    </row>
    <row r="499" spans="1:1" ht="15" customHeight="1"/>
    <row r="500" spans="1:1" ht="15" customHeight="1"/>
    <row r="501" spans="1:1" ht="15" customHeight="1"/>
    <row r="502" spans="1:1" ht="15" customHeight="1"/>
    <row r="503" spans="1:1" ht="15" customHeight="1"/>
    <row r="504" spans="1:1" ht="15" customHeight="1"/>
    <row r="505" spans="1:1" ht="15" customHeight="1"/>
    <row r="506" spans="1:1" ht="15" customHeight="1"/>
    <row r="507" spans="1:1" ht="15" customHeight="1"/>
    <row r="508" spans="1:1" ht="15" customHeight="1"/>
    <row r="509" spans="1:1" ht="15" customHeight="1"/>
    <row r="510" spans="1:1" ht="15" customHeight="1"/>
    <row r="511" spans="1:1" ht="15" customHeight="1"/>
    <row r="512" spans="1:1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spans="1:1" ht="15" customHeight="1"/>
    <row r="546" spans="1:1" ht="15" customHeight="1"/>
    <row r="547" spans="1:1" ht="15" customHeight="1"/>
    <row r="548" spans="1:1" ht="15" customHeight="1"/>
    <row r="549" spans="1:1" ht="15" customHeight="1"/>
    <row r="550" spans="1:1" ht="15" customHeight="1"/>
    <row r="551" spans="1:1" ht="15" customHeight="1"/>
    <row r="552" spans="1:1" ht="15" customHeight="1"/>
    <row r="553" spans="1:1" ht="15" customHeight="1"/>
    <row r="554" spans="1:1" ht="15" customHeight="1"/>
    <row r="555" spans="1:1" ht="15" customHeight="1"/>
    <row r="556" spans="1:1" ht="15" customHeight="1"/>
    <row r="557" spans="1:1" ht="15" customHeight="1"/>
    <row r="558" spans="1:1" ht="15" customHeight="1"/>
    <row r="559" spans="1:1" ht="15" customHeight="1">
      <c r="A559" s="138" t="s">
        <v>259</v>
      </c>
    </row>
    <row r="560" spans="1:1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3:C73"/>
    <mergeCell ref="A186:M186"/>
  </mergeCells>
  <printOptions horizontalCentered="1"/>
  <pageMargins left="0.5" right="0.5" top="1" bottom="0.75" header="0.5" footer="0.5"/>
  <pageSetup scale="50" orientation="landscape" r:id="rId1"/>
  <headerFooter alignWithMargins="0"/>
  <rowBreaks count="1" manualBreakCount="1">
    <brk id="59" max="1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A1"/>
  <sheetViews>
    <sheetView workbookViewId="0"/>
  </sheetViews>
  <sheetFormatPr defaultRowHeight="15"/>
  <sheetData/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X121"/>
  <sheetViews>
    <sheetView topLeftCell="A4" zoomScale="70" zoomScaleNormal="70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T117" sqref="T117"/>
    </sheetView>
  </sheetViews>
  <sheetFormatPr defaultColWidth="9" defaultRowHeight="12.75"/>
  <cols>
    <col min="1" max="1" width="5.33203125" style="2" customWidth="1"/>
    <col min="2" max="2" width="7.6640625" style="2" customWidth="1"/>
    <col min="3" max="3" width="45" style="2" bestFit="1" customWidth="1"/>
    <col min="4" max="4" width="15.44140625" style="28" customWidth="1"/>
    <col min="5" max="5" width="2.21875" style="2" customWidth="1"/>
    <col min="6" max="6" width="15.44140625" style="28" customWidth="1"/>
    <col min="7" max="7" width="1.44140625" style="2" customWidth="1"/>
    <col min="8" max="8" width="15.44140625" style="28" customWidth="1"/>
    <col min="9" max="9" width="1.44140625" style="2" customWidth="1"/>
    <col min="10" max="10" width="15.44140625" style="28" customWidth="1"/>
    <col min="11" max="11" width="1.44140625" style="2" customWidth="1"/>
    <col min="12" max="12" width="15.44140625" style="28" customWidth="1"/>
    <col min="13" max="13" width="1.44140625" style="2" customWidth="1"/>
    <col min="14" max="14" width="15.44140625" style="28" customWidth="1"/>
    <col min="15" max="15" width="1.44140625" style="2" customWidth="1"/>
    <col min="16" max="16" width="18.6640625" style="2" customWidth="1"/>
    <col min="17" max="17" width="1.44140625" style="2" customWidth="1"/>
    <col min="18" max="18" width="18.6640625" style="2" customWidth="1"/>
    <col min="19" max="19" width="2" style="2" customWidth="1"/>
    <col min="20" max="20" width="15.44140625" style="2" customWidth="1"/>
    <col min="21" max="21" width="1.44140625" style="2" customWidth="1"/>
    <col min="22" max="22" width="18.6640625" style="2" customWidth="1"/>
    <col min="23" max="24" width="15.44140625" style="28" customWidth="1"/>
    <col min="25" max="16384" width="9" style="2"/>
  </cols>
  <sheetData>
    <row r="1" spans="1:24" s="1" customFormat="1" ht="15">
      <c r="C1" s="499" t="s">
        <v>0</v>
      </c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  <c r="O1" s="499"/>
      <c r="P1" s="499"/>
      <c r="Q1" s="499"/>
      <c r="R1" s="499"/>
    </row>
    <row r="2" spans="1:24" s="1" customFormat="1" ht="15">
      <c r="C2" s="499" t="s">
        <v>1</v>
      </c>
      <c r="D2" s="499"/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499"/>
    </row>
    <row r="3" spans="1:24">
      <c r="C3" s="500" t="s">
        <v>2</v>
      </c>
      <c r="D3" s="501"/>
      <c r="E3" s="501"/>
      <c r="F3" s="501"/>
      <c r="G3" s="501"/>
      <c r="H3" s="501"/>
      <c r="I3" s="501"/>
      <c r="J3" s="501"/>
      <c r="K3" s="501"/>
      <c r="L3" s="501"/>
      <c r="M3" s="501"/>
      <c r="N3" s="501"/>
      <c r="O3" s="501"/>
      <c r="P3" s="501"/>
      <c r="Q3" s="501"/>
      <c r="R3" s="501"/>
      <c r="W3" s="2"/>
      <c r="X3" s="2"/>
    </row>
    <row r="4" spans="1:24" ht="21" customHeight="1">
      <c r="A4" s="114">
        <v>0.3</v>
      </c>
      <c r="B4" s="115" t="s">
        <v>596</v>
      </c>
      <c r="C4" s="116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W4" s="3"/>
      <c r="X4" s="3"/>
    </row>
    <row r="5" spans="1:24" ht="15">
      <c r="C5" s="3"/>
      <c r="D5" s="4" t="s">
        <v>1307</v>
      </c>
      <c r="E5" s="3"/>
      <c r="F5" s="3"/>
      <c r="G5" s="3"/>
      <c r="H5" s="3"/>
      <c r="I5" s="3"/>
      <c r="J5" s="3"/>
      <c r="K5" s="3"/>
      <c r="L5" s="3"/>
      <c r="M5" s="3"/>
      <c r="N5" s="4" t="s">
        <v>1308</v>
      </c>
      <c r="W5" s="4" t="str">
        <f>N5</f>
        <v>Feb 28 2017</v>
      </c>
      <c r="X5" s="5"/>
    </row>
    <row r="6" spans="1:24">
      <c r="C6" s="6"/>
      <c r="D6" s="7" t="s">
        <v>3</v>
      </c>
      <c r="E6" s="6"/>
      <c r="F6" s="8"/>
      <c r="G6" s="6"/>
      <c r="H6" s="8"/>
      <c r="I6" s="6"/>
      <c r="J6" s="7" t="s">
        <v>4</v>
      </c>
      <c r="K6" s="6"/>
      <c r="L6" s="8"/>
      <c r="M6" s="6"/>
      <c r="N6" s="7" t="s">
        <v>5</v>
      </c>
      <c r="O6" s="6"/>
      <c r="P6" s="6"/>
      <c r="Q6" s="6"/>
      <c r="R6" s="9" t="s">
        <v>6</v>
      </c>
      <c r="T6" s="97" t="s">
        <v>157</v>
      </c>
      <c r="U6" s="6"/>
      <c r="V6" s="97" t="s">
        <v>12</v>
      </c>
      <c r="W6" s="7" t="s">
        <v>5</v>
      </c>
      <c r="X6" s="7"/>
    </row>
    <row r="7" spans="1:24" s="10" customFormat="1">
      <c r="A7" s="350" t="s">
        <v>1287</v>
      </c>
      <c r="B7" s="350" t="s">
        <v>1288</v>
      </c>
      <c r="C7" s="9" t="s">
        <v>1289</v>
      </c>
      <c r="D7" s="11" t="s">
        <v>7</v>
      </c>
      <c r="E7" s="6"/>
      <c r="F7" s="11" t="s">
        <v>8</v>
      </c>
      <c r="G7" s="6"/>
      <c r="H7" s="11" t="s">
        <v>9</v>
      </c>
      <c r="I7" s="6"/>
      <c r="J7" s="11" t="s">
        <v>10</v>
      </c>
      <c r="K7" s="6"/>
      <c r="L7" s="11" t="s">
        <v>11</v>
      </c>
      <c r="M7" s="6"/>
      <c r="N7" s="11" t="s">
        <v>7</v>
      </c>
      <c r="O7" s="6"/>
      <c r="P7" s="11" t="s">
        <v>12</v>
      </c>
      <c r="Q7" s="6"/>
      <c r="R7" s="11" t="s">
        <v>13</v>
      </c>
      <c r="T7" s="11" t="s">
        <v>158</v>
      </c>
      <c r="U7" s="6"/>
      <c r="V7" s="11" t="s">
        <v>1309</v>
      </c>
      <c r="W7" s="11" t="s">
        <v>7</v>
      </c>
      <c r="X7" s="11" t="s">
        <v>14</v>
      </c>
    </row>
    <row r="8" spans="1:24" s="10" customFormat="1">
      <c r="C8" s="9" t="s">
        <v>15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6"/>
      <c r="Q8" s="6"/>
      <c r="R8" s="6"/>
      <c r="T8" s="6"/>
      <c r="U8" s="6"/>
      <c r="V8" s="6"/>
      <c r="W8" s="12"/>
      <c r="X8" s="12"/>
    </row>
    <row r="9" spans="1:24">
      <c r="C9" s="9" t="s">
        <v>16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6"/>
      <c r="Q9" s="6"/>
      <c r="R9" s="6"/>
      <c r="T9" s="6"/>
      <c r="U9" s="6"/>
      <c r="V9" s="6"/>
      <c r="W9" s="8"/>
      <c r="X9" s="8"/>
    </row>
    <row r="10" spans="1:24">
      <c r="C10" s="9" t="s">
        <v>546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6"/>
      <c r="Q10" s="6"/>
      <c r="R10" s="6"/>
      <c r="T10" s="6"/>
      <c r="U10" s="6"/>
      <c r="V10" s="6"/>
      <c r="W10" s="8"/>
      <c r="X10" s="8"/>
    </row>
    <row r="11" spans="1:24">
      <c r="C11" s="102" t="s">
        <v>547</v>
      </c>
      <c r="D11" s="17">
        <f>SUMIFS('FCPIS B'!$G$6:$G$110,'FCPIS B'!$B$6:$B$110,'PIS B'!$A11,'FCPIS B'!$C$6:$C$110,'PIS B'!$B11)*1000</f>
        <v>0</v>
      </c>
      <c r="E11" s="21"/>
      <c r="F11" s="17">
        <f>SUMIFS('FCPIS B'!$T$113:$T$184,'FCPIS B'!$B$113:$B$184,'PIS B'!$A11,'FCPIS B'!$C$113:$C$184,'PIS B'!$B11)*1000</f>
        <v>0</v>
      </c>
      <c r="G11" s="21"/>
      <c r="H11" s="17">
        <f>SUMIFS('FCPIS B'!$T$187:$T$231,'FCPIS B'!$B$187:$B$231,'PIS B'!$A11,'FCPIS B'!$C$187:$C$231,'PIS B'!$B11)*-1000</f>
        <v>0</v>
      </c>
      <c r="I11" s="21"/>
      <c r="J11" s="17">
        <f>SUMIFS('FCPIS B'!$T$323:$T$338,'FCPIS B'!$B$323:$B$338,'PIS B'!$A11,'FCPIS B'!$C$323:$C$338,'PIS B'!$B11)*1000</f>
        <v>0</v>
      </c>
      <c r="K11" s="21"/>
      <c r="L11" s="17">
        <f t="shared" ref="L11" si="0">SUM(F11:J11)</f>
        <v>0</v>
      </c>
      <c r="M11" s="21"/>
      <c r="N11" s="17">
        <f t="shared" ref="N11" si="1">D11+L11</f>
        <v>0</v>
      </c>
      <c r="O11" s="21"/>
      <c r="P11" s="22">
        <f>SUMIFS('FCPIS B'!$S$234:$S$336,'FCPIS B'!$B$234:$B$336,'PIS B'!$A11,'FCPIS B'!$C$234:$C$336,'PIS B'!$B11)*-1000</f>
        <v>0</v>
      </c>
      <c r="Q11" s="20"/>
      <c r="R11" s="22">
        <f t="shared" ref="R11" si="2">SUM(N11:P11)</f>
        <v>0</v>
      </c>
      <c r="T11" s="13"/>
      <c r="U11" s="21"/>
      <c r="V11" s="22">
        <f t="shared" ref="V11" si="3">P11+T11</f>
        <v>0</v>
      </c>
      <c r="W11" s="17">
        <f>SUMIFS('FCPIS B'!$S$6:$S$110,'FCPIS B'!$B$6:$B$110,'PIS B'!$A11,'FCPIS B'!$C$6:$C$110,'PIS B'!$B11)*1000</f>
        <v>0</v>
      </c>
      <c r="X11" s="17">
        <f t="shared" ref="X11" si="4">W11-N11</f>
        <v>0</v>
      </c>
    </row>
    <row r="12" spans="1:24">
      <c r="A12" s="2" t="s">
        <v>545</v>
      </c>
      <c r="B12" s="2" t="str">
        <f>MID(C12,2,3)</f>
        <v>374</v>
      </c>
      <c r="C12" s="100" t="s">
        <v>548</v>
      </c>
      <c r="D12" s="17">
        <f>SUMIFS('FCPIS B'!$G$6:$G$110,'FCPIS B'!$B$6:$B$110,'PIS B'!$A12,'FCPIS B'!$C$6:$C$110,'PIS B'!$B12)*1000</f>
        <v>134496.91</v>
      </c>
      <c r="E12" s="21"/>
      <c r="F12" s="17">
        <f>SUMIFS('FCPIS B'!$T$113:$T$184,'FCPIS B'!$B$113:$B$184,'PIS B'!$A12,'FCPIS B'!$C$113:$C$184,'PIS B'!$B12)*1000</f>
        <v>0</v>
      </c>
      <c r="G12" s="21"/>
      <c r="H12" s="17">
        <f>SUMIFS('FCPIS B'!$T$187:$T$231,'FCPIS B'!$B$187:$B$231,'PIS B'!$A12,'FCPIS B'!$C$187:$C$231,'PIS B'!$B12)*-1000</f>
        <v>0</v>
      </c>
      <c r="I12" s="21"/>
      <c r="J12" s="17">
        <f>SUMIFS('FCPIS B'!$T$323:$T$338,'FCPIS B'!$B$323:$B$338,'PIS B'!$A12,'FCPIS B'!$C$323:$C$338,'PIS B'!$B12)*1000</f>
        <v>0</v>
      </c>
      <c r="K12" s="21"/>
      <c r="L12" s="17">
        <f t="shared" ref="L12" si="5">SUM(F12:J12)</f>
        <v>0</v>
      </c>
      <c r="M12" s="21"/>
      <c r="N12" s="17">
        <f t="shared" ref="N12" si="6">D12+L12</f>
        <v>134496.91</v>
      </c>
      <c r="O12" s="21"/>
      <c r="P12" s="22">
        <f>SUMIFS('FCPIS B'!$S$234:$S$336,'FCPIS B'!$B$234:$B$336,'PIS B'!$A12,'FCPIS B'!$C$234:$C$336,'PIS B'!$B12)*-1000</f>
        <v>-77439.69</v>
      </c>
      <c r="Q12" s="20"/>
      <c r="R12" s="22">
        <f t="shared" ref="R12" si="7">SUM(N12:P12)</f>
        <v>57057.22</v>
      </c>
      <c r="T12" s="13">
        <f t="shared" ref="T12:T26" si="8">F12/F$27*T$27</f>
        <v>0</v>
      </c>
      <c r="U12" s="21"/>
      <c r="V12" s="22">
        <f t="shared" ref="V12" si="9">P12+T12</f>
        <v>-77439.69</v>
      </c>
      <c r="W12" s="17">
        <f>SUMIFS('FCPIS B'!$S$6:$S$110,'FCPIS B'!$B$6:$B$110,'PIS B'!$A12,'FCPIS B'!$C$6:$C$110,'PIS B'!$B12)*1000</f>
        <v>134496.91</v>
      </c>
      <c r="X12" s="17">
        <f t="shared" ref="X12" si="10">W12-N12</f>
        <v>0</v>
      </c>
    </row>
    <row r="13" spans="1:24">
      <c r="A13" s="2" t="s">
        <v>545</v>
      </c>
      <c r="C13" s="100" t="s">
        <v>549</v>
      </c>
      <c r="D13" s="17">
        <f>SUMIFS('FCPIS B'!$G$6:$G$110,'FCPIS B'!$B$6:$B$110,'PIS B'!$A13,'FCPIS B'!$C$6:$C$110,'PIS B'!$B13)*1000</f>
        <v>0</v>
      </c>
      <c r="E13" s="21"/>
      <c r="F13" s="17">
        <f>SUMIFS('FCPIS B'!$T$113:$T$184,'FCPIS B'!$B$113:$B$184,'PIS B'!$A13,'FCPIS B'!$C$113:$C$184,'PIS B'!$B13)*1000</f>
        <v>0</v>
      </c>
      <c r="G13" s="21"/>
      <c r="H13" s="17">
        <f>SUMIFS('FCPIS B'!$T$187:$T$231,'FCPIS B'!$B$187:$B$231,'PIS B'!$A13,'FCPIS B'!$C$187:$C$231,'PIS B'!$B13)*-1000</f>
        <v>0</v>
      </c>
      <c r="I13" s="21"/>
      <c r="J13" s="17">
        <f>SUMIFS('FCPIS B'!$T$323:$T$338,'FCPIS B'!$B$323:$B$338,'PIS B'!$A13,'FCPIS B'!$C$323:$C$338,'PIS B'!$B13)*1000</f>
        <v>0</v>
      </c>
      <c r="K13" s="21"/>
      <c r="L13" s="17">
        <f t="shared" ref="L13:L26" si="11">SUM(F13:J13)</f>
        <v>0</v>
      </c>
      <c r="M13" s="21"/>
      <c r="N13" s="17">
        <f t="shared" ref="N13:N26" si="12">D13+L13</f>
        <v>0</v>
      </c>
      <c r="O13" s="21"/>
      <c r="P13" s="22">
        <f>SUMIFS('FCPIS B'!$S$234:$S$336,'FCPIS B'!$B$234:$B$336,'PIS B'!$A13,'FCPIS B'!$C$234:$C$336,'PIS B'!$B13)*-1000</f>
        <v>0</v>
      </c>
      <c r="Q13" s="20"/>
      <c r="R13" s="22">
        <f t="shared" ref="R13:R26" si="13">SUM(N13:P13)</f>
        <v>0</v>
      </c>
      <c r="T13" s="13">
        <f t="shared" si="8"/>
        <v>0</v>
      </c>
      <c r="U13" s="21"/>
      <c r="V13" s="22">
        <f t="shared" ref="V13:V27" si="14">P13+T13</f>
        <v>0</v>
      </c>
      <c r="W13" s="17">
        <f>SUMIFS('FCPIS B'!$S$6:$S$110,'FCPIS B'!$B$6:$B$110,'PIS B'!$A13,'FCPIS B'!$C$6:$C$110,'PIS B'!$B13)*1000</f>
        <v>0</v>
      </c>
      <c r="X13" s="17">
        <f t="shared" ref="X13:X26" si="15">W13-N13</f>
        <v>0</v>
      </c>
    </row>
    <row r="14" spans="1:24">
      <c r="A14" s="2" t="s">
        <v>545</v>
      </c>
      <c r="B14" s="2" t="str">
        <f t="shared" ref="B14:B26" si="16">MID(C14,2,3)</f>
        <v>375</v>
      </c>
      <c r="C14" s="100" t="s">
        <v>550</v>
      </c>
      <c r="D14" s="17">
        <f>SUMIFS('FCPIS B'!$G$6:$G$110,'FCPIS B'!$B$6:$B$110,'PIS B'!$A14,'FCPIS B'!$C$6:$C$110,'PIS B'!$B14)*1000</f>
        <v>1144992.48999999</v>
      </c>
      <c r="E14" s="21"/>
      <c r="F14" s="17">
        <f>SUMIFS('FCPIS B'!$T$113:$T$184,'FCPIS B'!$B$113:$B$184,'PIS B'!$A14,'FCPIS B'!$C$113:$C$184,'PIS B'!$B14)*1000</f>
        <v>11417.42</v>
      </c>
      <c r="G14" s="21"/>
      <c r="H14" s="17">
        <f>SUMIFS('FCPIS B'!$T$187:$T$231,'FCPIS B'!$B$187:$B$231,'PIS B'!$A14,'FCPIS B'!$C$187:$C$231,'PIS B'!$B14)*-1000</f>
        <v>-597.48</v>
      </c>
      <c r="I14" s="21"/>
      <c r="J14" s="17">
        <f>SUMIFS('FCPIS B'!$T$323:$T$338,'FCPIS B'!$B$323:$B$338,'PIS B'!$A14,'FCPIS B'!$C$323:$C$338,'PIS B'!$B14)*1000</f>
        <v>0</v>
      </c>
      <c r="K14" s="21"/>
      <c r="L14" s="17">
        <f t="shared" si="11"/>
        <v>10819.94</v>
      </c>
      <c r="M14" s="21"/>
      <c r="N14" s="17">
        <f t="shared" si="12"/>
        <v>1155812.4299999899</v>
      </c>
      <c r="O14" s="21"/>
      <c r="P14" s="22">
        <f>SUMIFS('FCPIS B'!$S$234:$S$336,'FCPIS B'!$B$234:$B$336,'PIS B'!$A14,'FCPIS B'!$C$234:$C$336,'PIS B'!$B14)*-1000</f>
        <v>-367594.39154782001</v>
      </c>
      <c r="Q14" s="20"/>
      <c r="R14" s="22">
        <f t="shared" si="13"/>
        <v>788218.03845216986</v>
      </c>
      <c r="T14" s="13">
        <f t="shared" si="8"/>
        <v>7.1300138428602287</v>
      </c>
      <c r="U14" s="21"/>
      <c r="V14" s="22">
        <f t="shared" si="14"/>
        <v>-367587.26153397717</v>
      </c>
      <c r="W14" s="17">
        <f>SUMIFS('FCPIS B'!$S$6:$S$110,'FCPIS B'!$B$6:$B$110,'PIS B'!$A14,'FCPIS B'!$C$6:$C$110,'PIS B'!$B14)*1000</f>
        <v>1155812.43</v>
      </c>
      <c r="X14" s="17">
        <f t="shared" si="15"/>
        <v>1.0011717677116394E-8</v>
      </c>
    </row>
    <row r="15" spans="1:24">
      <c r="A15" s="2" t="s">
        <v>545</v>
      </c>
      <c r="B15" s="2" t="str">
        <f t="shared" si="16"/>
        <v>376</v>
      </c>
      <c r="C15" s="100" t="s">
        <v>551</v>
      </c>
      <c r="D15" s="17">
        <f>SUMIFS('FCPIS B'!$G$6:$G$110,'FCPIS B'!$B$6:$B$110,'PIS B'!$A15,'FCPIS B'!$C$6:$C$110,'PIS B'!$B15)*1000</f>
        <v>384848434.36000001</v>
      </c>
      <c r="E15" s="21"/>
      <c r="F15" s="17">
        <f>SUMIFS('FCPIS B'!$T$113:$T$184,'FCPIS B'!$B$113:$B$184,'PIS B'!$A15,'FCPIS B'!$C$113:$C$184,'PIS B'!$B15)*1000</f>
        <v>34665170.209999971</v>
      </c>
      <c r="G15" s="21"/>
      <c r="H15" s="17">
        <f>SUMIFS('FCPIS B'!$T$187:$T$231,'FCPIS B'!$B$187:$B$231,'PIS B'!$A15,'FCPIS B'!$C$187:$C$231,'PIS B'!$B15)*-1000</f>
        <v>-2254400.46</v>
      </c>
      <c r="I15" s="21"/>
      <c r="J15" s="17">
        <f>SUMIFS('FCPIS B'!$T$323:$T$338,'FCPIS B'!$B$323:$B$338,'PIS B'!$A15,'FCPIS B'!$C$323:$C$338,'PIS B'!$B15)*1000</f>
        <v>0</v>
      </c>
      <c r="K15" s="21"/>
      <c r="L15" s="17">
        <f t="shared" si="11"/>
        <v>32410769.74999997</v>
      </c>
      <c r="M15" s="21"/>
      <c r="N15" s="17">
        <f t="shared" si="12"/>
        <v>417259204.11000001</v>
      </c>
      <c r="O15" s="21"/>
      <c r="P15" s="22">
        <f>SUMIFS('FCPIS B'!$S$234:$S$336,'FCPIS B'!$B$234:$B$336,'PIS B'!$A15,'FCPIS B'!$C$234:$C$336,'PIS B'!$B15)*-1000</f>
        <v>-127793410.86910899</v>
      </c>
      <c r="Q15" s="20"/>
      <c r="R15" s="22">
        <f t="shared" si="13"/>
        <v>289465793.24089104</v>
      </c>
      <c r="T15" s="13">
        <f t="shared" si="8"/>
        <v>21647.897989423691</v>
      </c>
      <c r="U15" s="21"/>
      <c r="V15" s="22">
        <f t="shared" si="14"/>
        <v>-127771762.97111957</v>
      </c>
      <c r="W15" s="17">
        <f>SUMIFS('FCPIS B'!$S$6:$S$110,'FCPIS B'!$B$6:$B$110,'PIS B'!$A15,'FCPIS B'!$C$6:$C$110,'PIS B'!$B15)*1000</f>
        <v>417259204.12999988</v>
      </c>
      <c r="X15" s="17">
        <f t="shared" si="15"/>
        <v>1.9999861717224121E-2</v>
      </c>
    </row>
    <row r="16" spans="1:24">
      <c r="A16" s="2" t="s">
        <v>545</v>
      </c>
      <c r="C16" s="100" t="s">
        <v>552</v>
      </c>
      <c r="D16" s="17">
        <f>SUMIFS('FCPIS B'!$G$6:$G$110,'FCPIS B'!$B$6:$B$110,'PIS B'!$A16,'FCPIS B'!$C$6:$C$110,'PIS B'!$B16)*1000</f>
        <v>0</v>
      </c>
      <c r="E16" s="21"/>
      <c r="F16" s="17">
        <f>SUMIFS('FCPIS B'!$T$113:$T$184,'FCPIS B'!$B$113:$B$184,'PIS B'!$A16,'FCPIS B'!$C$113:$C$184,'PIS B'!$B16)*1000</f>
        <v>0</v>
      </c>
      <c r="G16" s="21"/>
      <c r="H16" s="17">
        <f>SUMIFS('FCPIS B'!$T$187:$T$231,'FCPIS B'!$B$187:$B$231,'PIS B'!$A16,'FCPIS B'!$C$187:$C$231,'PIS B'!$B16)*-1000</f>
        <v>0</v>
      </c>
      <c r="I16" s="21"/>
      <c r="J16" s="17">
        <f>SUMIFS('FCPIS B'!$T$323:$T$338,'FCPIS B'!$B$323:$B$338,'PIS B'!$A16,'FCPIS B'!$C$323:$C$338,'PIS B'!$B16)*1000</f>
        <v>0</v>
      </c>
      <c r="K16" s="21"/>
      <c r="L16" s="17">
        <f t="shared" si="11"/>
        <v>0</v>
      </c>
      <c r="M16" s="21"/>
      <c r="N16" s="17">
        <f t="shared" si="12"/>
        <v>0</v>
      </c>
      <c r="O16" s="21"/>
      <c r="P16" s="22">
        <f>SUMIFS('FCPIS B'!$S$234:$S$336,'FCPIS B'!$B$234:$B$336,'PIS B'!$A16,'FCPIS B'!$C$234:$C$336,'PIS B'!$B16)*-1000</f>
        <v>0</v>
      </c>
      <c r="Q16" s="20"/>
      <c r="R16" s="22">
        <f t="shared" si="13"/>
        <v>0</v>
      </c>
      <c r="T16" s="13">
        <f t="shared" si="8"/>
        <v>0</v>
      </c>
      <c r="U16" s="21"/>
      <c r="V16" s="22">
        <f t="shared" si="14"/>
        <v>0</v>
      </c>
      <c r="W16" s="17">
        <f>SUMIFS('FCPIS B'!$S$6:$S$110,'FCPIS B'!$B$6:$B$110,'PIS B'!$A16,'FCPIS B'!$C$6:$C$110,'PIS B'!$B16)*1000</f>
        <v>0</v>
      </c>
      <c r="X16" s="17">
        <f t="shared" si="15"/>
        <v>0</v>
      </c>
    </row>
    <row r="17" spans="1:24">
      <c r="A17" s="2" t="s">
        <v>545</v>
      </c>
      <c r="B17" s="2" t="str">
        <f t="shared" si="16"/>
        <v>378</v>
      </c>
      <c r="C17" s="100" t="s">
        <v>553</v>
      </c>
      <c r="D17" s="17">
        <f>SUMIFS('FCPIS B'!$G$6:$G$110,'FCPIS B'!$B$6:$B$110,'PIS B'!$A17,'FCPIS B'!$C$6:$C$110,'PIS B'!$B17)*1000</f>
        <v>17577946.260000002</v>
      </c>
      <c r="E17" s="21"/>
      <c r="F17" s="17">
        <f>SUMIFS('FCPIS B'!$T$113:$T$184,'FCPIS B'!$B$113:$B$184,'PIS B'!$A17,'FCPIS B'!$C$113:$C$184,'PIS B'!$B17)*1000</f>
        <v>5216766.699999989</v>
      </c>
      <c r="G17" s="21"/>
      <c r="H17" s="17">
        <f>SUMIFS('FCPIS B'!$T$187:$T$231,'FCPIS B'!$B$187:$B$231,'PIS B'!$A17,'FCPIS B'!$C$187:$C$231,'PIS B'!$B17)*-1000</f>
        <v>-14816.109999999999</v>
      </c>
      <c r="I17" s="21"/>
      <c r="J17" s="17">
        <f>SUMIFS('FCPIS B'!$T$323:$T$338,'FCPIS B'!$B$323:$B$338,'PIS B'!$A17,'FCPIS B'!$C$323:$C$338,'PIS B'!$B17)*1000</f>
        <v>0</v>
      </c>
      <c r="K17" s="21"/>
      <c r="L17" s="17">
        <f t="shared" si="11"/>
        <v>5201950.5899999887</v>
      </c>
      <c r="M17" s="21"/>
      <c r="N17" s="17">
        <f t="shared" si="12"/>
        <v>22779896.84999999</v>
      </c>
      <c r="O17" s="21"/>
      <c r="P17" s="22">
        <f>SUMIFS('FCPIS B'!$S$234:$S$336,'FCPIS B'!$B$234:$B$336,'PIS B'!$A17,'FCPIS B'!$C$234:$C$336,'PIS B'!$B17)*-1000</f>
        <v>-2432283.1323696999</v>
      </c>
      <c r="Q17" s="20"/>
      <c r="R17" s="22">
        <f t="shared" si="13"/>
        <v>20347613.717630289</v>
      </c>
      <c r="T17" s="13">
        <f t="shared" si="8"/>
        <v>3257.7954376708749</v>
      </c>
      <c r="U17" s="21"/>
      <c r="V17" s="22">
        <f t="shared" si="14"/>
        <v>-2429025.3369320291</v>
      </c>
      <c r="W17" s="17">
        <f>SUMIFS('FCPIS B'!$S$6:$S$110,'FCPIS B'!$B$6:$B$110,'PIS B'!$A17,'FCPIS B'!$C$6:$C$110,'PIS B'!$B17)*1000</f>
        <v>22779896.850000001</v>
      </c>
      <c r="X17" s="17">
        <f t="shared" si="15"/>
        <v>0</v>
      </c>
    </row>
    <row r="18" spans="1:24">
      <c r="A18" s="2" t="s">
        <v>545</v>
      </c>
      <c r="B18" s="2" t="str">
        <f t="shared" si="16"/>
        <v>379</v>
      </c>
      <c r="C18" s="100" t="s">
        <v>554</v>
      </c>
      <c r="D18" s="17">
        <f>SUMIFS('FCPIS B'!$G$6:$G$110,'FCPIS B'!$B$6:$B$110,'PIS B'!$A18,'FCPIS B'!$C$6:$C$110,'PIS B'!$B18)*1000</f>
        <v>7283687.6499999994</v>
      </c>
      <c r="E18" s="21"/>
      <c r="F18" s="17">
        <f>SUMIFS('FCPIS B'!$T$113:$T$184,'FCPIS B'!$B$113:$B$184,'PIS B'!$A18,'FCPIS B'!$C$113:$C$184,'PIS B'!$B18)*1000</f>
        <v>4619951.6199999992</v>
      </c>
      <c r="G18" s="21"/>
      <c r="H18" s="17">
        <f>SUMIFS('FCPIS B'!$T$187:$T$231,'FCPIS B'!$B$187:$B$231,'PIS B'!$A18,'FCPIS B'!$C$187:$C$231,'PIS B'!$B18)*-1000</f>
        <v>-24883.53</v>
      </c>
      <c r="I18" s="21"/>
      <c r="J18" s="17">
        <f>SUMIFS('FCPIS B'!$T$323:$T$338,'FCPIS B'!$B$323:$B$338,'PIS B'!$A18,'FCPIS B'!$C$323:$C$338,'PIS B'!$B18)*1000</f>
        <v>0</v>
      </c>
      <c r="K18" s="21"/>
      <c r="L18" s="17">
        <f t="shared" si="11"/>
        <v>4595068.0899999989</v>
      </c>
      <c r="M18" s="21"/>
      <c r="N18" s="17">
        <f t="shared" si="12"/>
        <v>11878755.739999998</v>
      </c>
      <c r="O18" s="21"/>
      <c r="P18" s="22">
        <f>SUMIFS('FCPIS B'!$S$234:$S$336,'FCPIS B'!$B$234:$B$336,'PIS B'!$A18,'FCPIS B'!$C$234:$C$336,'PIS B'!$B18)*-1000</f>
        <v>-1307100.7396235899</v>
      </c>
      <c r="Q18" s="20"/>
      <c r="R18" s="22">
        <f t="shared" si="13"/>
        <v>10571655.000376409</v>
      </c>
      <c r="T18" s="13">
        <f t="shared" si="8"/>
        <v>2885.0930423812501</v>
      </c>
      <c r="U18" s="21"/>
      <c r="V18" s="22">
        <f t="shared" si="14"/>
        <v>-1304215.6465812086</v>
      </c>
      <c r="W18" s="17">
        <f>SUMIFS('FCPIS B'!$S$6:$S$110,'FCPIS B'!$B$6:$B$110,'PIS B'!$A18,'FCPIS B'!$C$6:$C$110,'PIS B'!$B18)*1000</f>
        <v>11878755.7399999</v>
      </c>
      <c r="X18" s="17">
        <f t="shared" si="15"/>
        <v>-9.8720192909240723E-8</v>
      </c>
    </row>
    <row r="19" spans="1:24">
      <c r="A19" s="2" t="s">
        <v>545</v>
      </c>
      <c r="B19" s="2" t="str">
        <f t="shared" si="16"/>
        <v>380</v>
      </c>
      <c r="C19" s="100" t="s">
        <v>555</v>
      </c>
      <c r="D19" s="17">
        <f>SUMIFS('FCPIS B'!$G$6:$G$110,'FCPIS B'!$B$6:$B$110,'PIS B'!$A19,'FCPIS B'!$C$6:$C$110,'PIS B'!$B19)*1000</f>
        <v>331192074.90000004</v>
      </c>
      <c r="E19" s="21"/>
      <c r="F19" s="17">
        <f>SUMIFS('FCPIS B'!$T$113:$T$184,'FCPIS B'!$B$113:$B$184,'PIS B'!$A19,'FCPIS B'!$C$113:$C$184,'PIS B'!$B19)*1000</f>
        <v>34141766.419999979</v>
      </c>
      <c r="G19" s="21"/>
      <c r="H19" s="17">
        <f>SUMIFS('FCPIS B'!$T$187:$T$231,'FCPIS B'!$B$187:$B$231,'PIS B'!$A19,'FCPIS B'!$C$187:$C$231,'PIS B'!$B19)*-1000</f>
        <v>-3375560.46</v>
      </c>
      <c r="I19" s="21"/>
      <c r="J19" s="17">
        <f>SUMIFS('FCPIS B'!$T$323:$T$338,'FCPIS B'!$B$323:$B$338,'PIS B'!$A19,'FCPIS B'!$C$323:$C$338,'PIS B'!$B19)*1000</f>
        <v>0</v>
      </c>
      <c r="K19" s="21"/>
      <c r="L19" s="17">
        <f t="shared" si="11"/>
        <v>30766205.959999979</v>
      </c>
      <c r="M19" s="21"/>
      <c r="N19" s="17">
        <f t="shared" si="12"/>
        <v>361958280.86000001</v>
      </c>
      <c r="O19" s="21"/>
      <c r="P19" s="22">
        <f>SUMIFS('FCPIS B'!$S$234:$S$336,'FCPIS B'!$B$234:$B$336,'PIS B'!$A19,'FCPIS B'!$C$234:$C$336,'PIS B'!$B19)*-1000</f>
        <v>-103433291.79649989</v>
      </c>
      <c r="Q19" s="20"/>
      <c r="R19" s="22">
        <f t="shared" si="13"/>
        <v>258524989.06350011</v>
      </c>
      <c r="T19" s="13">
        <f t="shared" si="8"/>
        <v>21321.039884168258</v>
      </c>
      <c r="U19" s="21"/>
      <c r="V19" s="22">
        <f t="shared" si="14"/>
        <v>-103411970.75661573</v>
      </c>
      <c r="W19" s="17">
        <f>SUMIFS('FCPIS B'!$S$6:$S$110,'FCPIS B'!$B$6:$B$110,'PIS B'!$A19,'FCPIS B'!$C$6:$C$110,'PIS B'!$B19)*1000</f>
        <v>361958280.83999896</v>
      </c>
      <c r="X19" s="17">
        <f t="shared" si="15"/>
        <v>-2.0001053810119629E-2</v>
      </c>
    </row>
    <row r="20" spans="1:24">
      <c r="A20" s="2" t="s">
        <v>545</v>
      </c>
      <c r="C20" s="100" t="s">
        <v>556</v>
      </c>
      <c r="D20" s="17">
        <f>SUMIFS('FCPIS B'!$G$6:$G$110,'FCPIS B'!$B$6:$B$110,'PIS B'!$A20,'FCPIS B'!$C$6:$C$110,'PIS B'!$B20)*1000</f>
        <v>0</v>
      </c>
      <c r="E20" s="21"/>
      <c r="F20" s="17">
        <f>SUMIFS('FCPIS B'!$T$113:$T$184,'FCPIS B'!$B$113:$B$184,'PIS B'!$A20,'FCPIS B'!$C$113:$C$184,'PIS B'!$B20)*1000</f>
        <v>0</v>
      </c>
      <c r="G20" s="21"/>
      <c r="H20" s="17">
        <f>SUMIFS('FCPIS B'!$T$187:$T$231,'FCPIS B'!$B$187:$B$231,'PIS B'!$A20,'FCPIS B'!$C$187:$C$231,'PIS B'!$B20)*-1000</f>
        <v>0</v>
      </c>
      <c r="I20" s="21"/>
      <c r="J20" s="17">
        <f>SUMIFS('FCPIS B'!$T$323:$T$338,'FCPIS B'!$B$323:$B$338,'PIS B'!$A20,'FCPIS B'!$C$323:$C$338,'PIS B'!$B20)*1000</f>
        <v>0</v>
      </c>
      <c r="K20" s="21"/>
      <c r="L20" s="17">
        <f t="shared" si="11"/>
        <v>0</v>
      </c>
      <c r="M20" s="21"/>
      <c r="N20" s="17">
        <f t="shared" si="12"/>
        <v>0</v>
      </c>
      <c r="O20" s="21"/>
      <c r="P20" s="22">
        <f>SUMIFS('FCPIS B'!$S$234:$S$336,'FCPIS B'!$B$234:$B$336,'PIS B'!$A20,'FCPIS B'!$C$234:$C$336,'PIS B'!$B20)*-1000</f>
        <v>0</v>
      </c>
      <c r="Q20" s="20"/>
      <c r="R20" s="22">
        <f t="shared" si="13"/>
        <v>0</v>
      </c>
      <c r="T20" s="13">
        <f t="shared" si="8"/>
        <v>0</v>
      </c>
      <c r="U20" s="21"/>
      <c r="V20" s="22">
        <f t="shared" si="14"/>
        <v>0</v>
      </c>
      <c r="W20" s="17">
        <f>SUMIFS('FCPIS B'!$S$6:$S$110,'FCPIS B'!$B$6:$B$110,'PIS B'!$A20,'FCPIS B'!$C$6:$C$110,'PIS B'!$B20)*1000</f>
        <v>0</v>
      </c>
      <c r="X20" s="17">
        <f t="shared" si="15"/>
        <v>0</v>
      </c>
    </row>
    <row r="21" spans="1:24">
      <c r="A21" s="2" t="s">
        <v>545</v>
      </c>
      <c r="B21" s="2" t="str">
        <f t="shared" si="16"/>
        <v>381</v>
      </c>
      <c r="C21" s="100" t="s">
        <v>557</v>
      </c>
      <c r="D21" s="17">
        <f>SUMIFS('FCPIS B'!$G$6:$G$110,'FCPIS B'!$B$6:$B$110,'PIS B'!$A21,'FCPIS B'!$C$6:$C$110,'PIS B'!$B21)*1000</f>
        <v>47492834.039999999</v>
      </c>
      <c r="E21" s="21"/>
      <c r="F21" s="17">
        <f>SUMIFS('FCPIS B'!$T$113:$T$184,'FCPIS B'!$B$113:$B$184,'PIS B'!$A21,'FCPIS B'!$C$113:$C$184,'PIS B'!$B21)*1000</f>
        <v>3759826.2</v>
      </c>
      <c r="G21" s="21"/>
      <c r="H21" s="17">
        <f>SUMIFS('FCPIS B'!$T$187:$T$231,'FCPIS B'!$B$187:$B$231,'PIS B'!$A21,'FCPIS B'!$C$187:$C$231,'PIS B'!$B21)*-1000</f>
        <v>0</v>
      </c>
      <c r="I21" s="21"/>
      <c r="J21" s="17">
        <f>SUMIFS('FCPIS B'!$T$323:$T$338,'FCPIS B'!$B$323:$B$338,'PIS B'!$A21,'FCPIS B'!$C$323:$C$338,'PIS B'!$B21)*1000</f>
        <v>0</v>
      </c>
      <c r="K21" s="21"/>
      <c r="L21" s="17">
        <f t="shared" si="11"/>
        <v>3759826.2</v>
      </c>
      <c r="M21" s="21"/>
      <c r="N21" s="17">
        <f t="shared" si="12"/>
        <v>51252660.240000002</v>
      </c>
      <c r="O21" s="21"/>
      <c r="P21" s="22">
        <f>SUMIFS('FCPIS B'!$S$234:$S$336,'FCPIS B'!$B$234:$B$336,'PIS B'!$A21,'FCPIS B'!$C$234:$C$336,'PIS B'!$B21)*-1000</f>
        <v>-14261965.950100001</v>
      </c>
      <c r="Q21" s="20"/>
      <c r="R21" s="22">
        <f t="shared" si="13"/>
        <v>36990694.289900005</v>
      </c>
      <c r="T21" s="13">
        <f t="shared" si="8"/>
        <v>2347.9571437985614</v>
      </c>
      <c r="U21" s="21"/>
      <c r="V21" s="22">
        <f t="shared" si="14"/>
        <v>-14259617.992956202</v>
      </c>
      <c r="W21" s="17">
        <f>SUMIFS('FCPIS B'!$S$6:$S$110,'FCPIS B'!$B$6:$B$110,'PIS B'!$A21,'FCPIS B'!$C$6:$C$110,'PIS B'!$B21)*1000</f>
        <v>51252660.239999905</v>
      </c>
      <c r="X21" s="17">
        <f t="shared" si="15"/>
        <v>-9.6857547760009766E-8</v>
      </c>
    </row>
    <row r="22" spans="1:24">
      <c r="A22" s="2" t="s">
        <v>545</v>
      </c>
      <c r="B22" s="2" t="str">
        <f t="shared" si="16"/>
        <v>383</v>
      </c>
      <c r="C22" s="100" t="s">
        <v>558</v>
      </c>
      <c r="D22" s="17">
        <f>SUMIFS('FCPIS B'!$G$6:$G$110,'FCPIS B'!$B$6:$B$110,'PIS B'!$A22,'FCPIS B'!$C$6:$C$110,'PIS B'!$B22)*1000</f>
        <v>25550379.959999997</v>
      </c>
      <c r="E22" s="21"/>
      <c r="F22" s="17">
        <f>SUMIFS('FCPIS B'!$T$113:$T$184,'FCPIS B'!$B$113:$B$184,'PIS B'!$A22,'FCPIS B'!$C$113:$C$184,'PIS B'!$B22)*1000</f>
        <v>0</v>
      </c>
      <c r="G22" s="21"/>
      <c r="H22" s="17">
        <f>SUMIFS('FCPIS B'!$T$187:$T$231,'FCPIS B'!$B$187:$B$231,'PIS B'!$A22,'FCPIS B'!$C$187:$C$231,'PIS B'!$B22)*-1000</f>
        <v>0</v>
      </c>
      <c r="I22" s="21"/>
      <c r="J22" s="17">
        <f>SUMIFS('FCPIS B'!$T$323:$T$338,'FCPIS B'!$B$323:$B$338,'PIS B'!$A22,'FCPIS B'!$C$323:$C$338,'PIS B'!$B22)*1000</f>
        <v>0</v>
      </c>
      <c r="K22" s="21"/>
      <c r="L22" s="17">
        <f t="shared" si="11"/>
        <v>0</v>
      </c>
      <c r="M22" s="21"/>
      <c r="N22" s="17">
        <f t="shared" si="12"/>
        <v>25550379.959999997</v>
      </c>
      <c r="O22" s="21"/>
      <c r="P22" s="22">
        <f>SUMIFS('FCPIS B'!$S$234:$S$336,'FCPIS B'!$B$234:$B$336,'PIS B'!$A22,'FCPIS B'!$C$234:$C$336,'PIS B'!$B22)*-1000</f>
        <v>-4816022.0691860002</v>
      </c>
      <c r="Q22" s="20"/>
      <c r="R22" s="22">
        <f t="shared" si="13"/>
        <v>20734357.890813999</v>
      </c>
      <c r="T22" s="13">
        <f t="shared" si="8"/>
        <v>0</v>
      </c>
      <c r="U22" s="21"/>
      <c r="V22" s="22">
        <f t="shared" si="14"/>
        <v>-4816022.0691860002</v>
      </c>
      <c r="W22" s="17">
        <f>SUMIFS('FCPIS B'!$S$6:$S$110,'FCPIS B'!$B$6:$B$110,'PIS B'!$A22,'FCPIS B'!$C$6:$C$110,'PIS B'!$B22)*1000</f>
        <v>25550379.959999997</v>
      </c>
      <c r="X22" s="17">
        <f t="shared" si="15"/>
        <v>0</v>
      </c>
    </row>
    <row r="23" spans="1:24">
      <c r="A23" s="2" t="s">
        <v>545</v>
      </c>
      <c r="B23" s="2" t="str">
        <f t="shared" si="16"/>
        <v>385</v>
      </c>
      <c r="C23" s="100" t="s">
        <v>559</v>
      </c>
      <c r="D23" s="17">
        <f>SUMIFS('FCPIS B'!$G$6:$G$110,'FCPIS B'!$B$6:$B$110,'PIS B'!$A23,'FCPIS B'!$C$6:$C$110,'PIS B'!$B23)*1000</f>
        <v>960686.95000000007</v>
      </c>
      <c r="E23" s="21"/>
      <c r="F23" s="17">
        <f>SUMIFS('FCPIS B'!$T$113:$T$184,'FCPIS B'!$B$113:$B$184,'PIS B'!$A23,'FCPIS B'!$C$113:$C$184,'PIS B'!$B23)*1000</f>
        <v>579568.54</v>
      </c>
      <c r="G23" s="21"/>
      <c r="H23" s="17">
        <f>SUMIFS('FCPIS B'!$T$187:$T$231,'FCPIS B'!$B$187:$B$231,'PIS B'!$A23,'FCPIS B'!$C$187:$C$231,'PIS B'!$B23)*-1000</f>
        <v>0</v>
      </c>
      <c r="I23" s="21"/>
      <c r="J23" s="17">
        <f>SUMIFS('FCPIS B'!$T$323:$T$338,'FCPIS B'!$B$323:$B$338,'PIS B'!$A23,'FCPIS B'!$C$323:$C$338,'PIS B'!$B23)*1000</f>
        <v>0</v>
      </c>
      <c r="K23" s="21"/>
      <c r="L23" s="17">
        <f t="shared" si="11"/>
        <v>579568.54</v>
      </c>
      <c r="M23" s="21"/>
      <c r="N23" s="17">
        <f t="shared" si="12"/>
        <v>1540255.4900000002</v>
      </c>
      <c r="O23" s="21"/>
      <c r="P23" s="22">
        <f>SUMIFS('FCPIS B'!$S$234:$S$336,'FCPIS B'!$B$234:$B$336,'PIS B'!$A23,'FCPIS B'!$C$234:$C$336,'PIS B'!$B23)*-1000</f>
        <v>-137356.40881036999</v>
      </c>
      <c r="Q23" s="20"/>
      <c r="R23" s="22">
        <f t="shared" si="13"/>
        <v>1402899.0811896303</v>
      </c>
      <c r="T23" s="13">
        <f t="shared" si="8"/>
        <v>361.9321802199002</v>
      </c>
      <c r="U23" s="21"/>
      <c r="V23" s="22">
        <f t="shared" si="14"/>
        <v>-136994.47663015008</v>
      </c>
      <c r="W23" s="17">
        <f>SUMIFS('FCPIS B'!$S$6:$S$110,'FCPIS B'!$B$6:$B$110,'PIS B'!$A23,'FCPIS B'!$C$6:$C$110,'PIS B'!$B23)*1000</f>
        <v>1540255.49</v>
      </c>
      <c r="X23" s="17">
        <f t="shared" si="15"/>
        <v>0</v>
      </c>
    </row>
    <row r="24" spans="1:24">
      <c r="A24" s="2" t="s">
        <v>545</v>
      </c>
      <c r="B24" s="2" t="str">
        <f t="shared" si="16"/>
        <v>387</v>
      </c>
      <c r="C24" s="100" t="s">
        <v>560</v>
      </c>
      <c r="D24" s="17">
        <f>SUMIFS('FCPIS B'!$G$6:$G$110,'FCPIS B'!$B$6:$B$110,'PIS B'!$A24,'FCPIS B'!$C$6:$C$110,'PIS B'!$B24)*1000</f>
        <v>51112.339999999895</v>
      </c>
      <c r="E24" s="21"/>
      <c r="F24" s="17">
        <f>SUMIFS('FCPIS B'!$T$113:$T$184,'FCPIS B'!$B$113:$B$184,'PIS B'!$A24,'FCPIS B'!$C$113:$C$184,'PIS B'!$B24)*1000</f>
        <v>293320.32999999978</v>
      </c>
      <c r="G24" s="21"/>
      <c r="H24" s="17">
        <f>SUMIFS('FCPIS B'!$T$187:$T$231,'FCPIS B'!$B$187:$B$231,'PIS B'!$A24,'FCPIS B'!$C$187:$C$231,'PIS B'!$B24)*-1000</f>
        <v>0</v>
      </c>
      <c r="I24" s="21"/>
      <c r="J24" s="17">
        <f>SUMIFS('FCPIS B'!$T$323:$T$338,'FCPIS B'!$B$323:$B$338,'PIS B'!$A24,'FCPIS B'!$C$323:$C$338,'PIS B'!$B24)*1000</f>
        <v>0</v>
      </c>
      <c r="K24" s="21"/>
      <c r="L24" s="17">
        <f t="shared" si="11"/>
        <v>293320.32999999978</v>
      </c>
      <c r="M24" s="21"/>
      <c r="N24" s="17">
        <f t="shared" si="12"/>
        <v>344432.66999999969</v>
      </c>
      <c r="O24" s="21"/>
      <c r="P24" s="22">
        <f>SUMIFS('FCPIS B'!$S$234:$S$336,'FCPIS B'!$B$234:$B$336,'PIS B'!$A24,'FCPIS B'!$C$234:$C$336,'PIS B'!$B24)*-1000</f>
        <v>-30729.166043999998</v>
      </c>
      <c r="Q24" s="20"/>
      <c r="R24" s="22">
        <f t="shared" si="13"/>
        <v>313703.50395599968</v>
      </c>
      <c r="T24" s="13">
        <f t="shared" si="8"/>
        <v>183.1743084945924</v>
      </c>
      <c r="U24" s="21"/>
      <c r="V24" s="22">
        <f t="shared" si="14"/>
        <v>-30545.991735505406</v>
      </c>
      <c r="W24" s="17">
        <f>SUMIFS('FCPIS B'!$S$6:$S$110,'FCPIS B'!$B$6:$B$110,'PIS B'!$A24,'FCPIS B'!$C$6:$C$110,'PIS B'!$B24)*1000</f>
        <v>344432.67</v>
      </c>
      <c r="X24" s="17">
        <f t="shared" si="15"/>
        <v>0</v>
      </c>
    </row>
    <row r="25" spans="1:24" s="10" customFormat="1">
      <c r="A25" s="2" t="s">
        <v>545</v>
      </c>
      <c r="B25" s="2"/>
      <c r="C25" s="100" t="s">
        <v>561</v>
      </c>
      <c r="D25" s="17">
        <f>SUMIFS('FCPIS B'!$G$6:$G$110,'FCPIS B'!$B$6:$B$110,'PIS B'!$A25,'FCPIS B'!$C$6:$C$110,'PIS B'!$B25)*1000</f>
        <v>0</v>
      </c>
      <c r="E25" s="21"/>
      <c r="F25" s="17">
        <f>SUMIFS('FCPIS B'!$T$113:$T$184,'FCPIS B'!$B$113:$B$184,'PIS B'!$A25,'FCPIS B'!$C$113:$C$184,'PIS B'!$B25)*1000</f>
        <v>0</v>
      </c>
      <c r="G25" s="21"/>
      <c r="H25" s="17">
        <f>SUMIFS('FCPIS B'!$T$187:$T$231,'FCPIS B'!$B$187:$B$231,'PIS B'!$A25,'FCPIS B'!$C$187:$C$231,'PIS B'!$B25)*-1000</f>
        <v>0</v>
      </c>
      <c r="I25" s="21"/>
      <c r="J25" s="17">
        <f>SUMIFS('FCPIS B'!$T$323:$T$338,'FCPIS B'!$B$323:$B$338,'PIS B'!$A25,'FCPIS B'!$C$323:$C$338,'PIS B'!$B25)*1000</f>
        <v>0</v>
      </c>
      <c r="K25" s="21"/>
      <c r="L25" s="17">
        <f t="shared" si="11"/>
        <v>0</v>
      </c>
      <c r="M25" s="21"/>
      <c r="N25" s="17">
        <f t="shared" si="12"/>
        <v>0</v>
      </c>
      <c r="O25" s="21"/>
      <c r="P25" s="22">
        <f>SUMIFS('FCPIS B'!$S$234:$S$336,'FCPIS B'!$B$234:$B$336,'PIS B'!$A25,'FCPIS B'!$C$234:$C$336,'PIS B'!$B25)*-1000</f>
        <v>0</v>
      </c>
      <c r="Q25" s="20"/>
      <c r="R25" s="22">
        <f t="shared" si="13"/>
        <v>0</v>
      </c>
      <c r="S25" s="2"/>
      <c r="T25" s="13">
        <f t="shared" si="8"/>
        <v>0</v>
      </c>
      <c r="U25" s="21"/>
      <c r="V25" s="22">
        <f t="shared" si="14"/>
        <v>0</v>
      </c>
      <c r="W25" s="17">
        <f>SUMIFS('FCPIS B'!$S$6:$S$110,'FCPIS B'!$B$6:$B$110,'PIS B'!$A25,'FCPIS B'!$C$6:$C$110,'PIS B'!$B25)*1000</f>
        <v>0</v>
      </c>
      <c r="X25" s="17">
        <f t="shared" si="15"/>
        <v>0</v>
      </c>
    </row>
    <row r="26" spans="1:24">
      <c r="A26" s="2" t="s">
        <v>545</v>
      </c>
      <c r="B26" s="2" t="str">
        <f t="shared" si="16"/>
        <v>388</v>
      </c>
      <c r="C26" s="100" t="s">
        <v>562</v>
      </c>
      <c r="D26" s="17">
        <f>SUMIFS('FCPIS B'!$G$6:$G$110,'FCPIS B'!$B$6:$B$110,'PIS B'!$A26,'FCPIS B'!$C$6:$C$110,'PIS B'!$B26)*1000</f>
        <v>10476131.659999998</v>
      </c>
      <c r="E26" s="21"/>
      <c r="F26" s="17">
        <f>SUMIFS('FCPIS B'!$T$113:$T$184,'FCPIS B'!$B$113:$B$184,'PIS B'!$A26,'FCPIS B'!$C$113:$C$184,'PIS B'!$B26)*1000</f>
        <v>0</v>
      </c>
      <c r="G26" s="21"/>
      <c r="H26" s="17">
        <f>SUMIFS('FCPIS B'!$T$187:$T$231,'FCPIS B'!$B$187:$B$231,'PIS B'!$A26,'FCPIS B'!$C$187:$C$231,'PIS B'!$B26)*-1000</f>
        <v>-979</v>
      </c>
      <c r="I26" s="21"/>
      <c r="J26" s="17">
        <f>SUMIFS('FCPIS B'!$T$323:$T$338,'FCPIS B'!$B$323:$B$338,'PIS B'!$A26,'FCPIS B'!$C$323:$C$338,'PIS B'!$B26)*1000</f>
        <v>0</v>
      </c>
      <c r="K26" s="21"/>
      <c r="L26" s="17">
        <f t="shared" si="11"/>
        <v>-979</v>
      </c>
      <c r="M26" s="21"/>
      <c r="N26" s="17">
        <f t="shared" si="12"/>
        <v>10475152.659999998</v>
      </c>
      <c r="O26" s="21"/>
      <c r="P26" s="22">
        <f>SUMIFS('FCPIS B'!$S$234:$S$336,'FCPIS B'!$B$234:$B$336,'PIS B'!$A26,'FCPIS B'!$C$234:$C$336,'PIS B'!$B26)*-1000</f>
        <v>-1462931.7442399899</v>
      </c>
      <c r="Q26" s="20"/>
      <c r="R26" s="22">
        <f t="shared" si="13"/>
        <v>9012220.9157600086</v>
      </c>
      <c r="T26" s="13">
        <f t="shared" si="8"/>
        <v>0</v>
      </c>
      <c r="U26" s="21"/>
      <c r="V26" s="22">
        <f t="shared" si="14"/>
        <v>-1462931.7442399899</v>
      </c>
      <c r="W26" s="17">
        <f>SUMIFS('FCPIS B'!$S$6:$S$110,'FCPIS B'!$B$6:$B$110,'PIS B'!$A26,'FCPIS B'!$C$6:$C$110,'PIS B'!$B26)*1000</f>
        <v>10475152.66</v>
      </c>
      <c r="X26" s="17">
        <f t="shared" si="15"/>
        <v>0</v>
      </c>
    </row>
    <row r="27" spans="1:24">
      <c r="A27" s="2" t="s">
        <v>545</v>
      </c>
      <c r="C27" s="100"/>
      <c r="D27" s="26">
        <f>SUM(D11:D26)</f>
        <v>826712777.51999998</v>
      </c>
      <c r="E27" s="25"/>
      <c r="F27" s="26">
        <f>SUM(F11:F26)</f>
        <v>83287787.439999953</v>
      </c>
      <c r="G27" s="25"/>
      <c r="H27" s="26">
        <f>SUM(H11:H26)</f>
        <v>-5671237.0399999991</v>
      </c>
      <c r="I27" s="25"/>
      <c r="J27" s="26">
        <f>SUM(J11:J26)</f>
        <v>0</v>
      </c>
      <c r="K27" s="25"/>
      <c r="L27" s="26">
        <f>SUM(L11:L26)</f>
        <v>77616550.399999931</v>
      </c>
      <c r="M27" s="25"/>
      <c r="N27" s="26">
        <f>SUM(N11:N26)</f>
        <v>904329327.91999996</v>
      </c>
      <c r="O27" s="100"/>
      <c r="P27" s="26">
        <f>SUM(P11:P26)</f>
        <v>-256120125.95753035</v>
      </c>
      <c r="Q27" s="100"/>
      <c r="R27" s="26">
        <f>SUM(R11:R26)</f>
        <v>648209201.96246958</v>
      </c>
      <c r="S27" s="100"/>
      <c r="T27" s="26">
        <f>SUM('FC CWIP &amp; RWIP B'!Q17:Q18)*1000</f>
        <v>52012.02</v>
      </c>
      <c r="U27" s="6"/>
      <c r="V27" s="26">
        <f t="shared" si="14"/>
        <v>-256068113.93753034</v>
      </c>
      <c r="W27" s="8"/>
      <c r="X27" s="8"/>
    </row>
    <row r="28" spans="1:24">
      <c r="A28" s="2" t="s">
        <v>545</v>
      </c>
      <c r="B28" s="2" t="str">
        <f>MID(C28,2,3)</f>
        <v/>
      </c>
      <c r="C28" s="100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100"/>
      <c r="P28" s="100"/>
      <c r="Q28" s="100"/>
      <c r="R28" s="100"/>
      <c r="S28" s="100"/>
      <c r="T28" s="13"/>
      <c r="U28" s="6"/>
      <c r="V28" s="13"/>
      <c r="W28" s="8"/>
      <c r="X28" s="8"/>
    </row>
    <row r="29" spans="1:24">
      <c r="A29" s="2" t="s">
        <v>545</v>
      </c>
      <c r="C29" s="101" t="s">
        <v>456</v>
      </c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100"/>
      <c r="P29" s="100"/>
      <c r="Q29" s="100"/>
      <c r="R29" s="100"/>
      <c r="S29" s="100"/>
      <c r="T29" s="13"/>
      <c r="U29" s="6"/>
      <c r="V29" s="13"/>
      <c r="W29" s="8"/>
      <c r="X29" s="8"/>
    </row>
    <row r="30" spans="1:24">
      <c r="A30" s="2" t="s">
        <v>545</v>
      </c>
      <c r="B30" s="2" t="str">
        <f t="shared" ref="B30:B38" si="17">MID(C30,2,3)</f>
        <v>392</v>
      </c>
      <c r="C30" s="100" t="s">
        <v>564</v>
      </c>
      <c r="D30" s="25">
        <f>SUMIFS('FCPIS B'!$G$6:$G$110,'FCPIS B'!$B$6:$B$110,'PIS B'!$A30,'FCPIS B'!$C$6:$C$110,'PIS B'!$B30)*1000</f>
        <v>1527001.55</v>
      </c>
      <c r="E30" s="25"/>
      <c r="F30" s="25">
        <f>SUMIFS('FCPIS B'!$T$113:$T$184,'FCPIS B'!$B$113:$B$184,'PIS B'!$A30,'FCPIS B'!$C$113:$C$184,'PIS B'!$B30)*1000</f>
        <v>389377.79</v>
      </c>
      <c r="G30" s="25"/>
      <c r="H30" s="25">
        <f>SUMIFS('FCPIS B'!$T$187:$T$231,'FCPIS B'!$B$187:$B$231,'PIS B'!$A30,'FCPIS B'!$C$187:$C$231,'PIS B'!$B30)*-1000</f>
        <v>0</v>
      </c>
      <c r="I30" s="25"/>
      <c r="J30" s="25">
        <f>SUMIFS('FCPIS B'!$T$323:$T$338,'FCPIS B'!$B$323:$B$338,'PIS B'!$A30,'FCPIS B'!$C$323:$C$338,'PIS B'!$B30)*1000</f>
        <v>0</v>
      </c>
      <c r="K30" s="25"/>
      <c r="L30" s="25">
        <f t="shared" ref="L30:L36" si="18">SUM(F30:J30)</f>
        <v>389377.79</v>
      </c>
      <c r="M30" s="25"/>
      <c r="N30" s="23">
        <f t="shared" ref="N30:N36" si="19">D30+L30</f>
        <v>1916379.34</v>
      </c>
      <c r="O30" s="100"/>
      <c r="P30" s="103">
        <f>SUMIFS('FCPIS B'!$S$234:$S$336,'FCPIS B'!$B$234:$B$336,'PIS B'!$A30,'FCPIS B'!$C$234:$C$336,'PIS B'!$B30)*-1000</f>
        <v>-859745.35568039992</v>
      </c>
      <c r="Q30" s="100"/>
      <c r="R30" s="103">
        <f t="shared" ref="R30:R36" si="20">SUM(N30:P30)</f>
        <v>1056633.9843196003</v>
      </c>
      <c r="S30" s="100"/>
      <c r="T30" s="13"/>
      <c r="U30" s="6"/>
      <c r="V30" s="13">
        <f t="shared" ref="V30:V37" si="21">P30+T30</f>
        <v>-859745.35568039992</v>
      </c>
      <c r="W30" s="8">
        <f>SUMIFS('FCPIS B'!$S$6:$S$110,'FCPIS B'!$B$6:$B$110,'PIS B'!$A30,'FCPIS B'!$C$6:$C$110,'PIS B'!$B30)*1000</f>
        <v>1916379.3399999992</v>
      </c>
      <c r="X30" s="8">
        <f t="shared" ref="X30:X50" si="22">W30-N30</f>
        <v>0</v>
      </c>
    </row>
    <row r="31" spans="1:24">
      <c r="A31" s="2" t="s">
        <v>545</v>
      </c>
      <c r="C31" s="100" t="s">
        <v>565</v>
      </c>
      <c r="D31" s="25">
        <f>SUMIFS('FCPIS B'!$G$6:$G$110,'FCPIS B'!$B$6:$B$110,'PIS B'!$A31,'FCPIS B'!$C$6:$C$110,'PIS B'!$B31)*1000</f>
        <v>0</v>
      </c>
      <c r="E31" s="25"/>
      <c r="F31" s="25">
        <f>SUMIFS('FCPIS B'!$T$113:$T$184,'FCPIS B'!$B$113:$B$184,'PIS B'!$A31,'FCPIS B'!$C$113:$C$184,'PIS B'!$B31)*1000</f>
        <v>0</v>
      </c>
      <c r="G31" s="25"/>
      <c r="H31" s="25">
        <f>SUMIFS('FCPIS B'!$T$187:$T$231,'FCPIS B'!$B$187:$B$231,'PIS B'!$A31,'FCPIS B'!$C$187:$C$231,'PIS B'!$B31)*-1000</f>
        <v>0</v>
      </c>
      <c r="I31" s="25"/>
      <c r="J31" s="25">
        <f>SUMIFS('FCPIS B'!$T$323:$T$338,'FCPIS B'!$B$323:$B$338,'PIS B'!$A31,'FCPIS B'!$C$323:$C$338,'PIS B'!$B31)*1000</f>
        <v>0</v>
      </c>
      <c r="K31" s="25"/>
      <c r="L31" s="25">
        <f t="shared" si="18"/>
        <v>0</v>
      </c>
      <c r="M31" s="25"/>
      <c r="N31" s="23">
        <f t="shared" si="19"/>
        <v>0</v>
      </c>
      <c r="O31" s="100"/>
      <c r="P31" s="103">
        <f>SUMIFS('FCPIS B'!$S$234:$S$336,'FCPIS B'!$B$234:$B$336,'PIS B'!$A31,'FCPIS B'!$C$234:$C$336,'PIS B'!$B31)*-1000</f>
        <v>0</v>
      </c>
      <c r="Q31" s="100"/>
      <c r="R31" s="103">
        <f t="shared" si="20"/>
        <v>0</v>
      </c>
      <c r="S31" s="100"/>
      <c r="T31" s="13"/>
      <c r="U31" s="6"/>
      <c r="V31" s="13">
        <f t="shared" si="21"/>
        <v>0</v>
      </c>
      <c r="W31" s="8">
        <f>SUMIFS('FCPIS B'!$S$6:$S$110,'FCPIS B'!$B$6:$B$110,'PIS B'!$A31,'FCPIS B'!$C$6:$C$110,'PIS B'!$B31)*1000</f>
        <v>0</v>
      </c>
      <c r="X31" s="8">
        <f t="shared" si="22"/>
        <v>0</v>
      </c>
    </row>
    <row r="32" spans="1:24">
      <c r="A32" s="2" t="s">
        <v>545</v>
      </c>
      <c r="B32" s="2" t="str">
        <f t="shared" si="17"/>
        <v>394</v>
      </c>
      <c r="C32" s="100" t="s">
        <v>566</v>
      </c>
      <c r="D32" s="25">
        <f>SUMIFS('FCPIS B'!$G$6:$G$110,'FCPIS B'!$B$6:$B$110,'PIS B'!$A32,'FCPIS B'!$C$6:$C$110,'PIS B'!$B32)*1000</f>
        <v>6716456.9400000004</v>
      </c>
      <c r="E32" s="25"/>
      <c r="F32" s="25">
        <f>SUMIFS('FCPIS B'!$T$113:$T$184,'FCPIS B'!$B$113:$B$184,'PIS B'!$A32,'FCPIS B'!$C$113:$C$184,'PIS B'!$B32)*1000</f>
        <v>430610.81999999995</v>
      </c>
      <c r="G32" s="25"/>
      <c r="H32" s="25">
        <f>SUMIFS('FCPIS B'!$T$187:$T$231,'FCPIS B'!$B$187:$B$231,'PIS B'!$A32,'FCPIS B'!$C$187:$C$231,'PIS B'!$B32)*-1000</f>
        <v>-245638.37</v>
      </c>
      <c r="I32" s="25"/>
      <c r="J32" s="25">
        <f>SUMIFS('FCPIS B'!$T$323:$T$338,'FCPIS B'!$B$323:$B$338,'PIS B'!$A32,'FCPIS B'!$C$323:$C$338,'PIS B'!$B32)*1000</f>
        <v>3657</v>
      </c>
      <c r="K32" s="25"/>
      <c r="L32" s="25">
        <f t="shared" si="18"/>
        <v>188629.44999999995</v>
      </c>
      <c r="M32" s="25"/>
      <c r="N32" s="23">
        <f t="shared" si="19"/>
        <v>6905086.3900000006</v>
      </c>
      <c r="O32" s="100"/>
      <c r="P32" s="103">
        <f>SUMIFS('FCPIS B'!$S$234:$S$336,'FCPIS B'!$B$234:$B$336,'PIS B'!$A32,'FCPIS B'!$C$234:$C$336,'PIS B'!$B32)*-1000</f>
        <v>-2663124.74645</v>
      </c>
      <c r="Q32" s="100"/>
      <c r="R32" s="103">
        <f t="shared" si="20"/>
        <v>4241961.6435500011</v>
      </c>
      <c r="S32" s="100"/>
      <c r="T32" s="13"/>
      <c r="U32" s="6"/>
      <c r="V32" s="13">
        <f t="shared" si="21"/>
        <v>-2663124.74645</v>
      </c>
      <c r="W32" s="8">
        <f>SUMIFS('FCPIS B'!$S$6:$S$110,'FCPIS B'!$B$6:$B$110,'PIS B'!$A32,'FCPIS B'!$C$6:$C$110,'PIS B'!$B32)*1000</f>
        <v>6905086.3899999904</v>
      </c>
      <c r="X32" s="8">
        <f t="shared" si="22"/>
        <v>-1.0244548320770264E-8</v>
      </c>
    </row>
    <row r="33" spans="1:24">
      <c r="A33" s="2" t="s">
        <v>545</v>
      </c>
      <c r="B33" s="2" t="str">
        <f t="shared" si="17"/>
        <v>395</v>
      </c>
      <c r="C33" s="100" t="s">
        <v>567</v>
      </c>
      <c r="D33" s="25">
        <f>SUMIFS('FCPIS B'!$G$6:$G$110,'FCPIS B'!$B$6:$B$110,'PIS B'!$A33,'FCPIS B'!$C$6:$C$110,'PIS B'!$B33)*1000</f>
        <v>0</v>
      </c>
      <c r="E33" s="25"/>
      <c r="F33" s="25">
        <f>SUMIFS('FCPIS B'!$T$113:$T$184,'FCPIS B'!$B$113:$B$184,'PIS B'!$A33,'FCPIS B'!$C$113:$C$184,'PIS B'!$B33)*1000</f>
        <v>0</v>
      </c>
      <c r="G33" s="25"/>
      <c r="H33" s="25">
        <f>SUMIFS('FCPIS B'!$T$187:$T$231,'FCPIS B'!$B$187:$B$231,'PIS B'!$A33,'FCPIS B'!$C$187:$C$231,'PIS B'!$B33)*-1000</f>
        <v>0</v>
      </c>
      <c r="I33" s="25"/>
      <c r="J33" s="25">
        <f>SUMIFS('FCPIS B'!$T$323:$T$338,'FCPIS B'!$B$323:$B$338,'PIS B'!$A33,'FCPIS B'!$C$323:$C$338,'PIS B'!$B33)*1000</f>
        <v>0</v>
      </c>
      <c r="K33" s="25"/>
      <c r="L33" s="25">
        <f t="shared" si="18"/>
        <v>0</v>
      </c>
      <c r="M33" s="25"/>
      <c r="N33" s="23">
        <f t="shared" si="19"/>
        <v>0</v>
      </c>
      <c r="O33" s="100"/>
      <c r="P33" s="103">
        <f>SUMIFS('FCPIS B'!$S$234:$S$336,'FCPIS B'!$B$234:$B$336,'PIS B'!$A33,'FCPIS B'!$C$234:$C$336,'PIS B'!$B33)*-1000</f>
        <v>0</v>
      </c>
      <c r="Q33" s="100"/>
      <c r="R33" s="103">
        <f t="shared" si="20"/>
        <v>0</v>
      </c>
      <c r="S33" s="100"/>
      <c r="T33" s="13"/>
      <c r="U33" s="6"/>
      <c r="V33" s="13">
        <f t="shared" si="21"/>
        <v>0</v>
      </c>
      <c r="W33" s="8">
        <f>SUMIFS('FCPIS B'!$S$6:$S$110,'FCPIS B'!$B$6:$B$110,'PIS B'!$A33,'FCPIS B'!$C$6:$C$110,'PIS B'!$B33)*1000</f>
        <v>0</v>
      </c>
      <c r="X33" s="8">
        <f t="shared" si="22"/>
        <v>0</v>
      </c>
    </row>
    <row r="34" spans="1:24">
      <c r="A34" s="2" t="s">
        <v>545</v>
      </c>
      <c r="B34" s="2" t="str">
        <f t="shared" si="17"/>
        <v>396</v>
      </c>
      <c r="C34" s="100" t="s">
        <v>568</v>
      </c>
      <c r="D34" s="25">
        <f>SUMIFS('FCPIS B'!$G$6:$G$110,'FCPIS B'!$B$6:$B$110,'PIS B'!$A34,'FCPIS B'!$C$6:$C$110,'PIS B'!$B34)*1000</f>
        <v>3161883.48</v>
      </c>
      <c r="E34" s="25"/>
      <c r="F34" s="25">
        <f>SUMIFS('FCPIS B'!$T$113:$T$184,'FCPIS B'!$B$113:$B$184,'PIS B'!$A34,'FCPIS B'!$C$113:$C$184,'PIS B'!$B34)*1000</f>
        <v>609345.93999999994</v>
      </c>
      <c r="G34" s="25"/>
      <c r="H34" s="25">
        <f>SUMIFS('FCPIS B'!$T$187:$T$231,'FCPIS B'!$B$187:$B$231,'PIS B'!$A34,'FCPIS B'!$C$187:$C$231,'PIS B'!$B34)*-1000</f>
        <v>0</v>
      </c>
      <c r="I34" s="25"/>
      <c r="J34" s="25">
        <f>SUMIFS('FCPIS B'!$T$323:$T$338,'FCPIS B'!$B$323:$B$338,'PIS B'!$A34,'FCPIS B'!$C$323:$C$338,'PIS B'!$B34)*1000</f>
        <v>0</v>
      </c>
      <c r="K34" s="25"/>
      <c r="L34" s="25">
        <f t="shared" si="18"/>
        <v>609345.93999999994</v>
      </c>
      <c r="M34" s="25"/>
      <c r="N34" s="23">
        <f t="shared" si="19"/>
        <v>3771229.42</v>
      </c>
      <c r="O34" s="100"/>
      <c r="P34" s="103">
        <f>SUMIFS('FCPIS B'!$S$234:$S$336,'FCPIS B'!$B$234:$B$336,'PIS B'!$A34,'FCPIS B'!$C$234:$C$336,'PIS B'!$B34)*-1000</f>
        <v>-2421969.4913152903</v>
      </c>
      <c r="Q34" s="100"/>
      <c r="R34" s="103">
        <f t="shared" si="20"/>
        <v>1349259.9286847096</v>
      </c>
      <c r="S34" s="100"/>
      <c r="T34" s="13"/>
      <c r="U34" s="6"/>
      <c r="V34" s="13">
        <f t="shared" si="21"/>
        <v>-2421969.4913152903</v>
      </c>
      <c r="W34" s="8">
        <f>SUMIFS('FCPIS B'!$S$6:$S$110,'FCPIS B'!$B$6:$B$110,'PIS B'!$A34,'FCPIS B'!$C$6:$C$110,'PIS B'!$B34)*1000</f>
        <v>3771229.42</v>
      </c>
      <c r="X34" s="8">
        <f t="shared" si="22"/>
        <v>0</v>
      </c>
    </row>
    <row r="35" spans="1:24">
      <c r="A35" s="2" t="s">
        <v>545</v>
      </c>
      <c r="C35" s="100" t="s">
        <v>569</v>
      </c>
      <c r="D35" s="25">
        <f>SUMIFS('FCPIS B'!$G$6:$G$110,'FCPIS B'!$B$6:$B$110,'PIS B'!$A35,'FCPIS B'!$C$6:$C$110,'PIS B'!$B35)*1000</f>
        <v>0</v>
      </c>
      <c r="E35" s="25"/>
      <c r="F35" s="25">
        <f>SUMIFS('FCPIS B'!$T$113:$T$184,'FCPIS B'!$B$113:$B$184,'PIS B'!$A35,'FCPIS B'!$C$113:$C$184,'PIS B'!$B35)*1000</f>
        <v>0</v>
      </c>
      <c r="G35" s="25"/>
      <c r="H35" s="25">
        <f>SUMIFS('FCPIS B'!$T$187:$T$231,'FCPIS B'!$B$187:$B$231,'PIS B'!$A35,'FCPIS B'!$C$187:$C$231,'PIS B'!$B35)*-1000</f>
        <v>0</v>
      </c>
      <c r="I35" s="25"/>
      <c r="J35" s="25">
        <f>SUMIFS('FCPIS B'!$T$323:$T$338,'FCPIS B'!$B$323:$B$338,'PIS B'!$A35,'FCPIS B'!$C$323:$C$338,'PIS B'!$B35)*1000</f>
        <v>0</v>
      </c>
      <c r="K35" s="25"/>
      <c r="L35" s="25">
        <f t="shared" si="18"/>
        <v>0</v>
      </c>
      <c r="M35" s="25"/>
      <c r="N35" s="25">
        <f t="shared" si="19"/>
        <v>0</v>
      </c>
      <c r="O35" s="105"/>
      <c r="P35" s="106">
        <f>SUMIFS('FCPIS B'!$S$234:$S$336,'FCPIS B'!$B$234:$B$336,'PIS B'!$A35,'FCPIS B'!$C$234:$C$336,'PIS B'!$B35)*-1000</f>
        <v>0</v>
      </c>
      <c r="Q35" s="105"/>
      <c r="R35" s="106">
        <f t="shared" si="20"/>
        <v>0</v>
      </c>
      <c r="S35" s="100"/>
      <c r="T35" s="13"/>
      <c r="U35" s="6"/>
      <c r="V35" s="13">
        <f t="shared" si="21"/>
        <v>0</v>
      </c>
      <c r="W35" s="8">
        <f>SUMIFS('FCPIS B'!$S$6:$S$110,'FCPIS B'!$B$6:$B$110,'PIS B'!$A35,'FCPIS B'!$C$6:$C$110,'PIS B'!$B35)*1000</f>
        <v>0</v>
      </c>
      <c r="X35" s="8">
        <f t="shared" si="22"/>
        <v>0</v>
      </c>
    </row>
    <row r="36" spans="1:24">
      <c r="A36" s="2" t="s">
        <v>545</v>
      </c>
      <c r="B36" s="2" t="str">
        <f t="shared" si="17"/>
        <v>397</v>
      </c>
      <c r="C36" s="102" t="s">
        <v>570</v>
      </c>
      <c r="D36" s="25">
        <f>SUMIFS('FCPIS B'!$G$6:$G$110,'FCPIS B'!$B$6:$B$110,'PIS B'!$A36,'FCPIS B'!$C$6:$C$110,'PIS B'!$B36)*1000</f>
        <v>0</v>
      </c>
      <c r="E36" s="25"/>
      <c r="F36" s="25">
        <f>SUMIFS('FCPIS B'!$T$113:$T$184,'FCPIS B'!$B$113:$B$184,'PIS B'!$A36,'FCPIS B'!$C$113:$C$184,'PIS B'!$B36)*1000</f>
        <v>0</v>
      </c>
      <c r="G36" s="25"/>
      <c r="H36" s="25">
        <f>SUMIFS('FCPIS B'!$T$187:$T$231,'FCPIS B'!$B$187:$B$231,'PIS B'!$A36,'FCPIS B'!$C$187:$C$231,'PIS B'!$B36)*-1000</f>
        <v>0</v>
      </c>
      <c r="I36" s="25"/>
      <c r="J36" s="25">
        <f>SUMIFS('FCPIS B'!$T$323:$T$338,'FCPIS B'!$B$323:$B$338,'PIS B'!$A36,'FCPIS B'!$C$323:$C$338,'PIS B'!$B36)*1000</f>
        <v>0</v>
      </c>
      <c r="K36" s="25"/>
      <c r="L36" s="25">
        <f t="shared" si="18"/>
        <v>0</v>
      </c>
      <c r="M36" s="25"/>
      <c r="N36" s="25">
        <f t="shared" si="19"/>
        <v>0</v>
      </c>
      <c r="O36" s="100"/>
      <c r="P36" s="106">
        <f>SUMIFS('FCPIS B'!$S$234:$S$336,'FCPIS B'!$B$234:$B$336,'PIS B'!$A36,'FCPIS B'!$C$234:$C$336,'PIS B'!$B36)*-1000</f>
        <v>0</v>
      </c>
      <c r="Q36" s="100"/>
      <c r="R36" s="106">
        <f t="shared" si="20"/>
        <v>0</v>
      </c>
      <c r="S36" s="100"/>
      <c r="T36" s="13"/>
      <c r="U36" s="6"/>
      <c r="V36" s="13">
        <f t="shared" si="21"/>
        <v>0</v>
      </c>
      <c r="W36" s="8">
        <f>SUMIFS('FCPIS B'!$S$6:$S$110,'FCPIS B'!$B$6:$B$110,'PIS B'!$A36,'FCPIS B'!$C$6:$C$110,'PIS B'!$B36)*1000</f>
        <v>0</v>
      </c>
      <c r="X36" s="8">
        <f t="shared" si="22"/>
        <v>0</v>
      </c>
    </row>
    <row r="37" spans="1:24">
      <c r="A37" s="2" t="s">
        <v>545</v>
      </c>
      <c r="B37" s="2" t="str">
        <f t="shared" si="17"/>
        <v/>
      </c>
      <c r="C37" s="100"/>
      <c r="D37" s="26">
        <f>SUM(D30:D36)</f>
        <v>11405341.970000001</v>
      </c>
      <c r="E37" s="25"/>
      <c r="F37" s="26">
        <f>SUM(F30:F36)</f>
        <v>1429334.5499999998</v>
      </c>
      <c r="G37" s="25"/>
      <c r="H37" s="26">
        <f>SUM(H30:H36)</f>
        <v>-245638.37</v>
      </c>
      <c r="I37" s="25"/>
      <c r="J37" s="26">
        <f>SUM(J30:J36)</f>
        <v>3657</v>
      </c>
      <c r="K37" s="25"/>
      <c r="L37" s="26">
        <f>SUM(L30:L36)</f>
        <v>1187353.18</v>
      </c>
      <c r="M37" s="25"/>
      <c r="N37" s="26">
        <f>SUM(N30:N36)</f>
        <v>12592695.15</v>
      </c>
      <c r="O37" s="100"/>
      <c r="P37" s="26">
        <f>SUM(P30:P36)</f>
        <v>-5944839.5934456903</v>
      </c>
      <c r="Q37" s="100"/>
      <c r="R37" s="26">
        <f>SUM(R30:R36)</f>
        <v>6647855.556554311</v>
      </c>
      <c r="S37" s="100"/>
      <c r="T37" s="26">
        <f>SUM('FC CWIP &amp; RWIP B'!Q19)*1000</f>
        <v>0</v>
      </c>
      <c r="U37" s="6"/>
      <c r="V37" s="26">
        <f t="shared" si="21"/>
        <v>-5944839.5934456903</v>
      </c>
      <c r="W37" s="8"/>
      <c r="X37" s="8"/>
    </row>
    <row r="38" spans="1:24">
      <c r="A38" s="2" t="s">
        <v>545</v>
      </c>
      <c r="B38" s="2" t="str">
        <f t="shared" si="17"/>
        <v/>
      </c>
      <c r="C38" s="100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100"/>
      <c r="P38" s="100"/>
      <c r="Q38" s="100"/>
      <c r="R38" s="100"/>
      <c r="S38" s="100"/>
      <c r="T38" s="13"/>
      <c r="U38" s="6"/>
      <c r="V38" s="13"/>
      <c r="W38" s="8"/>
      <c r="X38" s="8"/>
    </row>
    <row r="39" spans="1:24">
      <c r="A39" s="2" t="s">
        <v>545</v>
      </c>
      <c r="C39" s="108" t="s">
        <v>457</v>
      </c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100"/>
      <c r="P39" s="100"/>
      <c r="Q39" s="100"/>
      <c r="R39" s="100"/>
      <c r="S39" s="100"/>
      <c r="T39" s="13"/>
      <c r="U39" s="6"/>
      <c r="V39" s="13"/>
      <c r="W39" s="16"/>
      <c r="X39" s="16"/>
    </row>
    <row r="40" spans="1:24">
      <c r="A40" s="2" t="s">
        <v>545</v>
      </c>
      <c r="B40" s="2" t="str">
        <f t="shared" ref="B40:B42" si="23">MID(C40,2,3)</f>
        <v>302</v>
      </c>
      <c r="C40" s="102" t="s">
        <v>17</v>
      </c>
      <c r="D40" s="25">
        <f>SUMIFS('FCPIS B'!$G$6:$G$110,'FCPIS B'!$B$6:$B$110,'PIS B'!$A40,'FCPIS B'!$C$6:$C$110,'PIS B'!$B40)*1000</f>
        <v>387.49</v>
      </c>
      <c r="E40" s="25"/>
      <c r="F40" s="25">
        <f>SUMIFS('FCPIS B'!$T$113:$T$184,'FCPIS B'!$B$113:$B$184,'PIS B'!$A40,'FCPIS B'!$C$113:$C$184,'PIS B'!$B40)*1000</f>
        <v>0</v>
      </c>
      <c r="G40" s="25"/>
      <c r="H40" s="25">
        <f>SUMIFS('FCPIS B'!$T$187:$T$231,'FCPIS B'!$B$187:$B$231,'PIS B'!$A40,'FCPIS B'!$C$187:$C$231,'PIS B'!$B40)*-1000</f>
        <v>0</v>
      </c>
      <c r="I40" s="25"/>
      <c r="J40" s="25">
        <f>SUMIFS('FCPIS B'!$T$323:$T$338,'FCPIS B'!$B$323:$B$338,'PIS B'!$A40,'FCPIS B'!$C$323:$C$338,'PIS B'!$B40)*1000</f>
        <v>0</v>
      </c>
      <c r="K40" s="25"/>
      <c r="L40" s="25">
        <f t="shared" ref="L40" si="24">SUM(F40:J40)</f>
        <v>0</v>
      </c>
      <c r="M40" s="25"/>
      <c r="N40" s="25">
        <f t="shared" ref="N40" si="25">D40+L40</f>
        <v>387.49</v>
      </c>
      <c r="O40" s="100"/>
      <c r="P40" s="106">
        <f>SUMIFS('FCPIS B'!$S$234:$S$336,'FCPIS B'!$B$234:$B$336,'PIS B'!$A40,'FCPIS B'!$C$234:$C$336,'PIS B'!$B40)*-1000</f>
        <v>-170.978221002</v>
      </c>
      <c r="Q40" s="100"/>
      <c r="R40" s="106">
        <f t="shared" ref="R40" si="26">SUM(N40:P40)</f>
        <v>216.51177899800001</v>
      </c>
      <c r="S40" s="100"/>
      <c r="T40" s="13"/>
      <c r="U40" s="6"/>
      <c r="V40" s="13">
        <f t="shared" ref="V40:V41" si="27">P40+T40</f>
        <v>-170.978221002</v>
      </c>
      <c r="W40" s="8">
        <f>SUMIFS('FCPIS B'!$S$6:$S$110,'FCPIS B'!$B$6:$B$110,'PIS B'!$A40,'FCPIS B'!$C$6:$C$110,'PIS B'!$B40)*1000</f>
        <v>387.49</v>
      </c>
      <c r="X40" s="8">
        <f t="shared" si="22"/>
        <v>0</v>
      </c>
    </row>
    <row r="41" spans="1:24">
      <c r="A41" s="2" t="s">
        <v>545</v>
      </c>
      <c r="B41" s="2" t="str">
        <f t="shared" si="23"/>
        <v/>
      </c>
      <c r="C41" s="100"/>
      <c r="D41" s="26">
        <f>SUM(D40:D40)</f>
        <v>387.49</v>
      </c>
      <c r="E41" s="25"/>
      <c r="F41" s="26">
        <f>SUM(F40:F40)</f>
        <v>0</v>
      </c>
      <c r="G41" s="25"/>
      <c r="H41" s="26">
        <f>SUM(H40:H40)</f>
        <v>0</v>
      </c>
      <c r="I41" s="25"/>
      <c r="J41" s="26">
        <f>SUM(J40:J40)</f>
        <v>0</v>
      </c>
      <c r="K41" s="25"/>
      <c r="L41" s="26">
        <f>SUM(L40:L40)</f>
        <v>0</v>
      </c>
      <c r="M41" s="25"/>
      <c r="N41" s="26">
        <f>SUM(N40:N40)</f>
        <v>387.49</v>
      </c>
      <c r="O41" s="100"/>
      <c r="P41" s="26">
        <f>SUM(P40:P40)</f>
        <v>-170.978221002</v>
      </c>
      <c r="Q41" s="100"/>
      <c r="R41" s="26">
        <f>SUM(R40:R40)</f>
        <v>216.51177899800001</v>
      </c>
      <c r="S41" s="100"/>
      <c r="T41" s="26">
        <v>0</v>
      </c>
      <c r="U41" s="6"/>
      <c r="V41" s="26">
        <f t="shared" si="27"/>
        <v>-170.978221002</v>
      </c>
      <c r="W41" s="8"/>
      <c r="X41" s="8"/>
    </row>
    <row r="42" spans="1:24">
      <c r="A42" s="2" t="s">
        <v>545</v>
      </c>
      <c r="B42" s="2" t="str">
        <f t="shared" si="23"/>
        <v/>
      </c>
      <c r="C42" s="100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100"/>
      <c r="P42" s="100"/>
      <c r="Q42" s="100"/>
      <c r="R42" s="100"/>
      <c r="S42" s="100"/>
      <c r="T42" s="15"/>
      <c r="U42" s="14"/>
      <c r="V42" s="15"/>
      <c r="W42" s="16"/>
      <c r="X42" s="16"/>
    </row>
    <row r="43" spans="1:24">
      <c r="A43" s="2" t="s">
        <v>545</v>
      </c>
      <c r="C43" s="108" t="s">
        <v>572</v>
      </c>
      <c r="D43" s="107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100"/>
      <c r="P43" s="100"/>
      <c r="Q43" s="100"/>
      <c r="R43" s="100"/>
      <c r="S43" s="100"/>
      <c r="T43" s="13"/>
      <c r="U43" s="6"/>
      <c r="V43" s="13"/>
      <c r="W43" s="16"/>
      <c r="X43" s="16"/>
    </row>
    <row r="44" spans="1:24">
      <c r="A44" s="2" t="s">
        <v>545</v>
      </c>
      <c r="B44" s="2" t="str">
        <f t="shared" ref="B44:B61" si="28">MID(C44,2,3)</f>
        <v>350</v>
      </c>
      <c r="C44" s="100" t="s">
        <v>573</v>
      </c>
      <c r="D44" s="17">
        <f>SUMIFS('FCPIS B'!$G$6:$G$110,'FCPIS B'!$B$6:$B$110,'PIS B'!$A44,'FCPIS B'!$C$6:$C$110,'PIS B'!$B44)*1000</f>
        <v>137733.56</v>
      </c>
      <c r="E44" s="21"/>
      <c r="F44" s="17">
        <f>SUMIFS('FCPIS B'!$T$113:$T$184,'FCPIS B'!$B$113:$B$184,'PIS B'!$A44,'FCPIS B'!$C$113:$C$184,'PIS B'!$B44)*1000</f>
        <v>0</v>
      </c>
      <c r="G44" s="21"/>
      <c r="H44" s="17">
        <f>SUMIFS('FCPIS B'!$T$187:$T$231,'FCPIS B'!$B$187:$B$231,'PIS B'!$A44,'FCPIS B'!$C$187:$C$231,'PIS B'!$B44)*-1000</f>
        <v>0</v>
      </c>
      <c r="I44" s="21"/>
      <c r="J44" s="17">
        <f>SUMIFS('FCPIS B'!$T$323:$T$338,'FCPIS B'!$B$323:$B$338,'PIS B'!$A44,'FCPIS B'!$C$323:$C$338,'PIS B'!$B44)*1000</f>
        <v>-3657</v>
      </c>
      <c r="K44" s="21"/>
      <c r="L44" s="17">
        <f t="shared" ref="L44:L54" si="29">SUM(F44:J44)</f>
        <v>-3657</v>
      </c>
      <c r="M44" s="21"/>
      <c r="N44" s="17">
        <f t="shared" ref="N44:N54" si="30">D44+L44</f>
        <v>134076.56</v>
      </c>
      <c r="O44" s="21"/>
      <c r="P44" s="22">
        <f>SUMIFS('FCPIS B'!$S$234:$S$336,'FCPIS B'!$B$234:$B$336,'PIS B'!$A44,'FCPIS B'!$C$234:$C$336,'PIS B'!$B44)*-1000</f>
        <v>-69852.564571979892</v>
      </c>
      <c r="Q44" s="20"/>
      <c r="R44" s="22">
        <f t="shared" ref="R44:R54" si="31">SUM(N44:P44)</f>
        <v>64223.995428020105</v>
      </c>
      <c r="T44" s="13">
        <f t="shared" ref="T44:T54" si="32">F44/F$62*T$62</f>
        <v>0</v>
      </c>
      <c r="U44" s="21"/>
      <c r="V44" s="22">
        <f t="shared" ref="V44:V62" si="33">P44+T44</f>
        <v>-69852.564571979892</v>
      </c>
      <c r="W44" s="17">
        <f>SUMIFS('FCPIS B'!$S$6:$S$110,'FCPIS B'!$B$6:$B$110,'PIS B'!$A44,'FCPIS B'!$C$6:$C$110,'PIS B'!$B44)*1000</f>
        <v>134076.56</v>
      </c>
      <c r="X44" s="17">
        <f t="shared" si="22"/>
        <v>0</v>
      </c>
    </row>
    <row r="45" spans="1:24">
      <c r="A45" s="2" t="s">
        <v>545</v>
      </c>
      <c r="C45" s="100" t="s">
        <v>574</v>
      </c>
      <c r="D45" s="17">
        <f>SUMIFS('FCPIS B'!$G$6:$G$110,'FCPIS B'!$B$6:$B$110,'PIS B'!$A45,'FCPIS B'!$C$6:$C$110,'PIS B'!$B45)*1000</f>
        <v>0</v>
      </c>
      <c r="E45" s="21"/>
      <c r="F45" s="17">
        <f>SUMIFS('FCPIS B'!$T$113:$T$184,'FCPIS B'!$B$113:$B$184,'PIS B'!$A45,'FCPIS B'!$C$113:$C$184,'PIS B'!$B45)*1000</f>
        <v>0</v>
      </c>
      <c r="G45" s="21"/>
      <c r="H45" s="17">
        <f>SUMIFS('FCPIS B'!$T$187:$T$231,'FCPIS B'!$B$187:$B$231,'PIS B'!$A45,'FCPIS B'!$C$187:$C$231,'PIS B'!$B45)*-1000</f>
        <v>0</v>
      </c>
      <c r="I45" s="21"/>
      <c r="J45" s="17">
        <f>SUMIFS('FCPIS B'!$T$323:$T$338,'FCPIS B'!$B$323:$B$338,'PIS B'!$A45,'FCPIS B'!$C$323:$C$338,'PIS B'!$B45)*1000</f>
        <v>0</v>
      </c>
      <c r="K45" s="21"/>
      <c r="L45" s="17">
        <f t="shared" si="29"/>
        <v>0</v>
      </c>
      <c r="M45" s="21"/>
      <c r="N45" s="17">
        <f t="shared" si="30"/>
        <v>0</v>
      </c>
      <c r="O45" s="21"/>
      <c r="P45" s="22">
        <f>SUMIFS('FCPIS B'!$S$234:$S$336,'FCPIS B'!$B$234:$B$336,'PIS B'!$A45,'FCPIS B'!$C$234:$C$336,'PIS B'!$B45)*-1000</f>
        <v>0</v>
      </c>
      <c r="Q45" s="20"/>
      <c r="R45" s="22">
        <f t="shared" si="31"/>
        <v>0</v>
      </c>
      <c r="T45" s="13">
        <f t="shared" si="32"/>
        <v>0</v>
      </c>
      <c r="U45" s="21"/>
      <c r="V45" s="22">
        <f t="shared" si="33"/>
        <v>0</v>
      </c>
      <c r="W45" s="17">
        <f>SUMIFS('FCPIS B'!$S$6:$S$110,'FCPIS B'!$B$6:$B$110,'PIS B'!$A45,'FCPIS B'!$C$6:$C$110,'PIS B'!$B45)*1000</f>
        <v>0</v>
      </c>
      <c r="X45" s="17">
        <f t="shared" si="22"/>
        <v>0</v>
      </c>
    </row>
    <row r="46" spans="1:24">
      <c r="A46" s="2" t="s">
        <v>545</v>
      </c>
      <c r="C46" s="100" t="s">
        <v>575</v>
      </c>
      <c r="D46" s="17">
        <f>SUMIFS('FCPIS B'!$G$6:$G$110,'FCPIS B'!$B$6:$B$110,'PIS B'!$A46,'FCPIS B'!$C$6:$C$110,'PIS B'!$B46)*1000</f>
        <v>0</v>
      </c>
      <c r="E46" s="21"/>
      <c r="F46" s="17">
        <f>SUMIFS('FCPIS B'!$T$113:$T$184,'FCPIS B'!$B$113:$B$184,'PIS B'!$A46,'FCPIS B'!$C$113:$C$184,'PIS B'!$B46)*1000</f>
        <v>0</v>
      </c>
      <c r="G46" s="21"/>
      <c r="H46" s="17">
        <f>SUMIFS('FCPIS B'!$T$187:$T$231,'FCPIS B'!$B$187:$B$231,'PIS B'!$A46,'FCPIS B'!$C$187:$C$231,'PIS B'!$B46)*-1000</f>
        <v>0</v>
      </c>
      <c r="I46" s="21"/>
      <c r="J46" s="17">
        <f>SUMIFS('FCPIS B'!$T$323:$T$338,'FCPIS B'!$B$323:$B$338,'PIS B'!$A46,'FCPIS B'!$C$323:$C$338,'PIS B'!$B46)*1000</f>
        <v>0</v>
      </c>
      <c r="K46" s="21"/>
      <c r="L46" s="17">
        <f t="shared" si="29"/>
        <v>0</v>
      </c>
      <c r="M46" s="21"/>
      <c r="N46" s="17">
        <f t="shared" si="30"/>
        <v>0</v>
      </c>
      <c r="O46" s="21"/>
      <c r="P46" s="22">
        <f>SUMIFS('FCPIS B'!$S$234:$S$336,'FCPIS B'!$B$234:$B$336,'PIS B'!$A46,'FCPIS B'!$C$234:$C$336,'PIS B'!$B46)*-1000</f>
        <v>0</v>
      </c>
      <c r="Q46" s="20"/>
      <c r="R46" s="22">
        <f t="shared" si="31"/>
        <v>0</v>
      </c>
      <c r="T46" s="13">
        <f t="shared" si="32"/>
        <v>0</v>
      </c>
      <c r="U46" s="21"/>
      <c r="V46" s="22">
        <f t="shared" si="33"/>
        <v>0</v>
      </c>
      <c r="W46" s="17">
        <f>SUMIFS('FCPIS B'!$S$6:$S$110,'FCPIS B'!$B$6:$B$110,'PIS B'!$A46,'FCPIS B'!$C$6:$C$110,'PIS B'!$B46)*1000</f>
        <v>0</v>
      </c>
      <c r="X46" s="17">
        <f t="shared" si="22"/>
        <v>0</v>
      </c>
    </row>
    <row r="47" spans="1:24">
      <c r="A47" s="2" t="s">
        <v>545</v>
      </c>
      <c r="B47" s="2" t="str">
        <f t="shared" si="28"/>
        <v>351</v>
      </c>
      <c r="C47" s="100" t="s">
        <v>576</v>
      </c>
      <c r="D47" s="17">
        <f>SUMIFS('FCPIS B'!$G$6:$G$110,'FCPIS B'!$B$6:$B$110,'PIS B'!$A47,'FCPIS B'!$C$6:$C$110,'PIS B'!$B47)*1000</f>
        <v>14937157.23</v>
      </c>
      <c r="E47" s="21"/>
      <c r="F47" s="17">
        <f>SUMIFS('FCPIS B'!$T$113:$T$184,'FCPIS B'!$B$113:$B$184,'PIS B'!$A47,'FCPIS B'!$C$113:$C$184,'PIS B'!$B47)*1000</f>
        <v>838176.84999999986</v>
      </c>
      <c r="G47" s="21"/>
      <c r="H47" s="17">
        <f>SUMIFS('FCPIS B'!$T$187:$T$231,'FCPIS B'!$B$187:$B$231,'PIS B'!$A47,'FCPIS B'!$C$187:$C$231,'PIS B'!$B47)*-1000</f>
        <v>-8207.67</v>
      </c>
      <c r="I47" s="21"/>
      <c r="J47" s="17">
        <f>SUMIFS('FCPIS B'!$T$323:$T$338,'FCPIS B'!$B$323:$B$338,'PIS B'!$A47,'FCPIS B'!$C$323:$C$338,'PIS B'!$B47)*1000</f>
        <v>0</v>
      </c>
      <c r="K47" s="21"/>
      <c r="L47" s="17">
        <f t="shared" si="29"/>
        <v>829969.17999999982</v>
      </c>
      <c r="M47" s="21"/>
      <c r="N47" s="17">
        <f t="shared" si="30"/>
        <v>15767126.41</v>
      </c>
      <c r="O47" s="21"/>
      <c r="P47" s="22">
        <f>SUMIFS('FCPIS B'!$S$234:$S$336,'FCPIS B'!$B$234:$B$336,'PIS B'!$A47,'FCPIS B'!$C$234:$C$336,'PIS B'!$B47)*-1000</f>
        <v>-2386389.8680235087</v>
      </c>
      <c r="Q47" s="20"/>
      <c r="R47" s="22">
        <f t="shared" si="31"/>
        <v>13380736.541976491</v>
      </c>
      <c r="T47" s="13">
        <f t="shared" si="32"/>
        <v>0</v>
      </c>
      <c r="U47" s="21"/>
      <c r="V47" s="22">
        <f t="shared" si="33"/>
        <v>-2386389.8680235087</v>
      </c>
      <c r="W47" s="17">
        <f>SUMIFS('FCPIS B'!$S$6:$S$110,'FCPIS B'!$B$6:$B$110,'PIS B'!$A47,'FCPIS B'!$C$6:$C$110,'PIS B'!$B47)*1000</f>
        <v>15767126.41</v>
      </c>
      <c r="X47" s="17">
        <f t="shared" si="22"/>
        <v>0</v>
      </c>
    </row>
    <row r="48" spans="1:24">
      <c r="A48" s="2" t="s">
        <v>545</v>
      </c>
      <c r="C48" s="100" t="s">
        <v>577</v>
      </c>
      <c r="D48" s="17">
        <f>SUMIFS('FCPIS B'!$G$6:$G$110,'FCPIS B'!$B$6:$B$110,'PIS B'!$A48,'FCPIS B'!$C$6:$C$110,'PIS B'!$B48)*1000</f>
        <v>0</v>
      </c>
      <c r="E48" s="21"/>
      <c r="F48" s="17">
        <f>SUMIFS('FCPIS B'!$T$113:$T$184,'FCPIS B'!$B$113:$B$184,'PIS B'!$A48,'FCPIS B'!$C$113:$C$184,'PIS B'!$B48)*1000</f>
        <v>0</v>
      </c>
      <c r="G48" s="21"/>
      <c r="H48" s="17">
        <f>SUMIFS('FCPIS B'!$T$187:$T$231,'FCPIS B'!$B$187:$B$231,'PIS B'!$A48,'FCPIS B'!$C$187:$C$231,'PIS B'!$B48)*-1000</f>
        <v>0</v>
      </c>
      <c r="I48" s="21"/>
      <c r="J48" s="17">
        <f>SUMIFS('FCPIS B'!$T$323:$T$338,'FCPIS B'!$B$323:$B$338,'PIS B'!$A48,'FCPIS B'!$C$323:$C$338,'PIS B'!$B48)*1000</f>
        <v>0</v>
      </c>
      <c r="K48" s="21"/>
      <c r="L48" s="17">
        <f t="shared" si="29"/>
        <v>0</v>
      </c>
      <c r="M48" s="21"/>
      <c r="N48" s="17">
        <f t="shared" si="30"/>
        <v>0</v>
      </c>
      <c r="O48" s="21"/>
      <c r="P48" s="22">
        <f>SUMIFS('FCPIS B'!$S$234:$S$336,'FCPIS B'!$B$234:$B$336,'PIS B'!$A48,'FCPIS B'!$C$234:$C$336,'PIS B'!$B48)*-1000</f>
        <v>0</v>
      </c>
      <c r="Q48" s="20"/>
      <c r="R48" s="22">
        <f t="shared" si="31"/>
        <v>0</v>
      </c>
      <c r="T48" s="13">
        <f t="shared" si="32"/>
        <v>0</v>
      </c>
      <c r="U48" s="21"/>
      <c r="V48" s="22">
        <f t="shared" si="33"/>
        <v>0</v>
      </c>
      <c r="W48" s="17">
        <f>SUMIFS('FCPIS B'!$S$6:$S$110,'FCPIS B'!$B$6:$B$110,'PIS B'!$A48,'FCPIS B'!$C$6:$C$110,'PIS B'!$B48)*1000</f>
        <v>0</v>
      </c>
      <c r="X48" s="17">
        <f t="shared" si="22"/>
        <v>0</v>
      </c>
    </row>
    <row r="49" spans="1:24">
      <c r="A49" s="2" t="s">
        <v>545</v>
      </c>
      <c r="B49" s="96">
        <v>352.1</v>
      </c>
      <c r="C49" s="100" t="s">
        <v>578</v>
      </c>
      <c r="D49" s="17">
        <f>SUMIFS('FCPIS B'!$G$6:$G$110,'FCPIS B'!$B$6:$B$110,'PIS B'!$A49,'FCPIS B'!$C$6:$C$110,'PIS B'!$B49)*1000</f>
        <v>548241.14</v>
      </c>
      <c r="E49" s="21"/>
      <c r="F49" s="17">
        <f>SUMIFS('FCPIS B'!$T$113:$T$184,'FCPIS B'!$B$113:$B$184,'PIS B'!$A49,'FCPIS B'!$C$113:$C$184,'PIS B'!$B49)*1000</f>
        <v>0</v>
      </c>
      <c r="G49" s="21"/>
      <c r="H49" s="17">
        <f>SUMIFS('FCPIS B'!$T$187:$T$231,'FCPIS B'!$B$187:$B$231,'PIS B'!$A49,'FCPIS B'!$C$187:$C$231,'PIS B'!$B49)*-1000</f>
        <v>0</v>
      </c>
      <c r="I49" s="21"/>
      <c r="J49" s="17">
        <f>SUMIFS('FCPIS B'!$T$323:$T$338,'FCPIS B'!$B$323:$B$338,'PIS B'!$A49,'FCPIS B'!$C$323:$C$338,'PIS B'!$B49)*1000</f>
        <v>0</v>
      </c>
      <c r="K49" s="21"/>
      <c r="L49" s="17">
        <f t="shared" si="29"/>
        <v>0</v>
      </c>
      <c r="M49" s="21"/>
      <c r="N49" s="17">
        <f t="shared" si="30"/>
        <v>548241.14</v>
      </c>
      <c r="O49" s="21"/>
      <c r="P49" s="22">
        <f>SUMIFS('FCPIS B'!$S$234:$S$336,'FCPIS B'!$B$234:$B$336,'PIS B'!$A49,'FCPIS B'!$C$234:$C$336,'PIS B'!$B49)*-1000</f>
        <v>-569589.96</v>
      </c>
      <c r="Q49" s="20"/>
      <c r="R49" s="22">
        <f t="shared" si="31"/>
        <v>-21348.819999999949</v>
      </c>
      <c r="T49" s="13">
        <f t="shared" si="32"/>
        <v>0</v>
      </c>
      <c r="U49" s="21"/>
      <c r="V49" s="22">
        <f t="shared" si="33"/>
        <v>-569589.96</v>
      </c>
      <c r="W49" s="17">
        <f>SUMIFS('FCPIS B'!$S$6:$S$110,'FCPIS B'!$B$6:$B$110,'PIS B'!$A49,'FCPIS B'!$C$6:$C$110,'PIS B'!$B49)*1000</f>
        <v>548241.14</v>
      </c>
      <c r="X49" s="17">
        <f t="shared" si="22"/>
        <v>0</v>
      </c>
    </row>
    <row r="50" spans="1:24">
      <c r="A50" s="2" t="s">
        <v>545</v>
      </c>
      <c r="B50" s="96" t="s">
        <v>607</v>
      </c>
      <c r="C50" s="100" t="s">
        <v>579</v>
      </c>
      <c r="D50" s="17">
        <f>SUMIFS('FCPIS B'!$G$6:$G$110,'FCPIS B'!$B$6:$B$110,'PIS B'!$A50,'FCPIS B'!$C$6:$C$110,'PIS B'!$B50)*1000</f>
        <v>400511.39999999997</v>
      </c>
      <c r="E50" s="21"/>
      <c r="F50" s="17">
        <f>SUMIFS('FCPIS B'!$T$113:$T$184,'FCPIS B'!$B$113:$B$184,'PIS B'!$A50,'FCPIS B'!$C$113:$C$184,'PIS B'!$B50)*1000</f>
        <v>0</v>
      </c>
      <c r="G50" s="21"/>
      <c r="H50" s="17">
        <f>SUMIFS('FCPIS B'!$T$187:$T$231,'FCPIS B'!$B$187:$B$231,'PIS B'!$A50,'FCPIS B'!$C$187:$C$231,'PIS B'!$B50)*-1000</f>
        <v>0</v>
      </c>
      <c r="I50" s="21"/>
      <c r="J50" s="17">
        <f>SUMIFS('FCPIS B'!$T$323:$T$338,'FCPIS B'!$B$323:$B$338,'PIS B'!$A50,'FCPIS B'!$C$323:$C$338,'PIS B'!$B50)*1000</f>
        <v>0</v>
      </c>
      <c r="K50" s="21"/>
      <c r="L50" s="17">
        <f t="shared" si="29"/>
        <v>0</v>
      </c>
      <c r="M50" s="21"/>
      <c r="N50" s="17">
        <f t="shared" si="30"/>
        <v>400511.39999999997</v>
      </c>
      <c r="O50" s="21"/>
      <c r="P50" s="22">
        <f>SUMIFS('FCPIS B'!$S$234:$S$336,'FCPIS B'!$B$234:$B$336,'PIS B'!$A50,'FCPIS B'!$C$234:$C$336,'PIS B'!$B50)*-1000</f>
        <v>-452027.29</v>
      </c>
      <c r="Q50" s="20"/>
      <c r="R50" s="22">
        <f t="shared" si="31"/>
        <v>-51515.890000000014</v>
      </c>
      <c r="T50" s="13">
        <f t="shared" si="32"/>
        <v>0</v>
      </c>
      <c r="U50" s="21"/>
      <c r="V50" s="22">
        <f t="shared" si="33"/>
        <v>-452027.29</v>
      </c>
      <c r="W50" s="17">
        <f>SUMIFS('FCPIS B'!$S$6:$S$110,'FCPIS B'!$B$6:$B$110,'PIS B'!$A50,'FCPIS B'!$C$6:$C$110,'PIS B'!$B50)*1000</f>
        <v>400511.39999999997</v>
      </c>
      <c r="X50" s="17">
        <f t="shared" si="22"/>
        <v>0</v>
      </c>
    </row>
    <row r="51" spans="1:24">
      <c r="A51" s="2" t="s">
        <v>545</v>
      </c>
      <c r="B51" s="96" t="s">
        <v>1104</v>
      </c>
      <c r="C51" s="100" t="s">
        <v>580</v>
      </c>
      <c r="D51" s="17">
        <f>SUMIFS('FCPIS B'!$G$6:$G$110,'FCPIS B'!$B$6:$B$110,'PIS B'!$A51,'FCPIS B'!$C$6:$C$110,'PIS B'!$B51)*1000</f>
        <v>11788845</v>
      </c>
      <c r="E51" s="21"/>
      <c r="F51" s="17">
        <f>SUMIFS('FCPIS B'!$T$113:$T$184,'FCPIS B'!$B$113:$B$184,'PIS B'!$A51,'FCPIS B'!$C$113:$C$184,'PIS B'!$B51)*1000</f>
        <v>0</v>
      </c>
      <c r="G51" s="21"/>
      <c r="H51" s="17">
        <f>SUMIFS('FCPIS B'!$T$187:$T$231,'FCPIS B'!$B$187:$B$231,'PIS B'!$A51,'FCPIS B'!$C$187:$C$231,'PIS B'!$B51)*-1000</f>
        <v>0</v>
      </c>
      <c r="I51" s="21"/>
      <c r="J51" s="17">
        <f>SUMIFS('FCPIS B'!$T$323:$T$338,'FCPIS B'!$B$323:$B$338,'PIS B'!$A51,'FCPIS B'!$C$323:$C$338,'PIS B'!$B51)*1000</f>
        <v>0</v>
      </c>
      <c r="K51" s="21"/>
      <c r="L51" s="17">
        <f t="shared" si="29"/>
        <v>0</v>
      </c>
      <c r="M51" s="21"/>
      <c r="N51" s="17">
        <f t="shared" si="30"/>
        <v>11788845</v>
      </c>
      <c r="O51" s="21"/>
      <c r="P51" s="22">
        <f>SUMIFS('FCPIS B'!$S$234:$S$336,'FCPIS B'!$B$234:$B$336,'PIS B'!$A51,'FCPIS B'!$C$234:$C$336,'PIS B'!$B51)*-1000</f>
        <v>-8194835.6482500006</v>
      </c>
      <c r="Q51" s="20"/>
      <c r="R51" s="22">
        <f t="shared" si="31"/>
        <v>3594009.3517499994</v>
      </c>
      <c r="T51" s="13">
        <f t="shared" si="32"/>
        <v>0</v>
      </c>
      <c r="U51" s="21"/>
      <c r="V51" s="22">
        <f t="shared" si="33"/>
        <v>-8194835.6482500006</v>
      </c>
      <c r="W51" s="17">
        <f>SUMIFS('FCPIS B'!$S$6:$S$110,'FCPIS B'!$B$6:$B$110,'PIS B'!$A51,'FCPIS B'!$C$6:$C$110,'PIS B'!$B51)*1000</f>
        <v>11788845</v>
      </c>
      <c r="X51" s="17">
        <f t="shared" ref="X51:X54" si="34">W51-N51</f>
        <v>0</v>
      </c>
    </row>
    <row r="52" spans="1:24">
      <c r="A52" s="2" t="s">
        <v>545</v>
      </c>
      <c r="C52" s="100" t="s">
        <v>581</v>
      </c>
      <c r="D52" s="17">
        <f>SUMIFS('FCPIS B'!$G$6:$G$110,'FCPIS B'!$B$6:$B$110,'PIS B'!$A52,'FCPIS B'!$C$6:$C$110,'PIS B'!$B52)*1000</f>
        <v>0</v>
      </c>
      <c r="E52" s="21"/>
      <c r="F52" s="17">
        <f>SUMIFS('FCPIS B'!$T$113:$T$184,'FCPIS B'!$B$113:$B$184,'PIS B'!$A52,'FCPIS B'!$C$113:$C$184,'PIS B'!$B52)*1000</f>
        <v>0</v>
      </c>
      <c r="G52" s="21"/>
      <c r="H52" s="17">
        <f>SUMIFS('FCPIS B'!$T$187:$T$231,'FCPIS B'!$B$187:$B$231,'PIS B'!$A52,'FCPIS B'!$C$187:$C$231,'PIS B'!$B52)*-1000</f>
        <v>0</v>
      </c>
      <c r="I52" s="21"/>
      <c r="J52" s="17">
        <f>SUMIFS('FCPIS B'!$T$323:$T$338,'FCPIS B'!$B$323:$B$338,'PIS B'!$A52,'FCPIS B'!$C$323:$C$338,'PIS B'!$B52)*1000</f>
        <v>0</v>
      </c>
      <c r="K52" s="21"/>
      <c r="L52" s="17">
        <f t="shared" si="29"/>
        <v>0</v>
      </c>
      <c r="M52" s="21"/>
      <c r="N52" s="17">
        <f t="shared" si="30"/>
        <v>0</v>
      </c>
      <c r="O52" s="21"/>
      <c r="P52" s="22">
        <f>SUMIFS('FCPIS B'!$S$234:$S$336,'FCPIS B'!$B$234:$B$336,'PIS B'!$A52,'FCPIS B'!$C$234:$C$336,'PIS B'!$B52)*-1000</f>
        <v>0</v>
      </c>
      <c r="Q52" s="20"/>
      <c r="R52" s="22">
        <f t="shared" si="31"/>
        <v>0</v>
      </c>
      <c r="T52" s="13">
        <f t="shared" si="32"/>
        <v>0</v>
      </c>
      <c r="U52" s="21"/>
      <c r="V52" s="22">
        <f t="shared" si="33"/>
        <v>0</v>
      </c>
      <c r="W52" s="17">
        <f>SUMIFS('FCPIS B'!$S$6:$S$110,'FCPIS B'!$B$6:$B$110,'PIS B'!$A52,'FCPIS B'!$C$6:$C$110,'PIS B'!$B52)*1000</f>
        <v>0</v>
      </c>
      <c r="X52" s="17">
        <f t="shared" si="34"/>
        <v>0</v>
      </c>
    </row>
    <row r="53" spans="1:24">
      <c r="A53" s="2" t="s">
        <v>545</v>
      </c>
      <c r="C53" s="100" t="s">
        <v>582</v>
      </c>
      <c r="D53" s="17">
        <f>SUMIFS('FCPIS B'!$G$6:$G$110,'FCPIS B'!$B$6:$B$110,'PIS B'!$A53,'FCPIS B'!$C$6:$C$110,'PIS B'!$B53)*1000</f>
        <v>0</v>
      </c>
      <c r="E53" s="21"/>
      <c r="F53" s="17">
        <f>SUMIFS('FCPIS B'!$T$113:$T$184,'FCPIS B'!$B$113:$B$184,'PIS B'!$A53,'FCPIS B'!$C$113:$C$184,'PIS B'!$B53)*1000</f>
        <v>0</v>
      </c>
      <c r="G53" s="21"/>
      <c r="H53" s="17">
        <f>SUMIFS('FCPIS B'!$T$187:$T$231,'FCPIS B'!$B$187:$B$231,'PIS B'!$A53,'FCPIS B'!$C$187:$C$231,'PIS B'!$B53)*-1000</f>
        <v>0</v>
      </c>
      <c r="I53" s="21"/>
      <c r="J53" s="17">
        <f>SUMIFS('FCPIS B'!$T$323:$T$338,'FCPIS B'!$B$323:$B$338,'PIS B'!$A53,'FCPIS B'!$C$323:$C$338,'PIS B'!$B53)*1000</f>
        <v>0</v>
      </c>
      <c r="K53" s="21"/>
      <c r="L53" s="17">
        <f t="shared" si="29"/>
        <v>0</v>
      </c>
      <c r="M53" s="21"/>
      <c r="N53" s="17">
        <f t="shared" si="30"/>
        <v>0</v>
      </c>
      <c r="O53" s="21"/>
      <c r="P53" s="22">
        <f>SUMIFS('FCPIS B'!$S$234:$S$336,'FCPIS B'!$B$234:$B$336,'PIS B'!$A53,'FCPIS B'!$C$234:$C$336,'PIS B'!$B53)*-1000</f>
        <v>0</v>
      </c>
      <c r="Q53" s="20"/>
      <c r="R53" s="22">
        <f t="shared" si="31"/>
        <v>0</v>
      </c>
      <c r="T53" s="13">
        <f t="shared" si="32"/>
        <v>0</v>
      </c>
      <c r="U53" s="21"/>
      <c r="V53" s="22">
        <f t="shared" si="33"/>
        <v>0</v>
      </c>
      <c r="W53" s="17">
        <f>SUMIFS('FCPIS B'!$S$6:$S$110,'FCPIS B'!$B$6:$B$110,'PIS B'!$A53,'FCPIS B'!$C$6:$C$110,'PIS B'!$B53)*1000</f>
        <v>0</v>
      </c>
      <c r="X53" s="17">
        <f t="shared" si="34"/>
        <v>0</v>
      </c>
    </row>
    <row r="54" spans="1:24">
      <c r="A54" s="2" t="s">
        <v>545</v>
      </c>
      <c r="B54" s="2" t="str">
        <f t="shared" si="28"/>
        <v>352</v>
      </c>
      <c r="C54" s="100" t="s">
        <v>583</v>
      </c>
      <c r="D54" s="17">
        <f>SUMIFS('FCPIS B'!$G$6:$G$110,'FCPIS B'!$B$6:$B$110,'PIS B'!$A54,'FCPIS B'!$C$6:$C$110,'PIS B'!$B54)*1000</f>
        <v>19130528.169999901</v>
      </c>
      <c r="E54" s="21"/>
      <c r="F54" s="17">
        <f>SUMIFS('FCPIS B'!$T$113:$T$184,'FCPIS B'!$B$113:$B$184,'PIS B'!$A54,'FCPIS B'!$C$113:$C$184,'PIS B'!$B54)*1000</f>
        <v>1015135.2000000001</v>
      </c>
      <c r="G54" s="21"/>
      <c r="H54" s="17">
        <f>SUMIFS('FCPIS B'!$T$187:$T$231,'FCPIS B'!$B$187:$B$231,'PIS B'!$A54,'FCPIS B'!$C$187:$C$231,'PIS B'!$B54)*-1000</f>
        <v>0</v>
      </c>
      <c r="I54" s="21"/>
      <c r="J54" s="17">
        <f>SUMIFS('FCPIS B'!$T$323:$T$338,'FCPIS B'!$B$323:$B$338,'PIS B'!$A54,'FCPIS B'!$C$323:$C$338,'PIS B'!$B54)*1000</f>
        <v>0</v>
      </c>
      <c r="K54" s="21"/>
      <c r="L54" s="17">
        <f t="shared" si="29"/>
        <v>1015135.2000000001</v>
      </c>
      <c r="M54" s="21"/>
      <c r="N54" s="17">
        <f t="shared" si="30"/>
        <v>20145663.3699999</v>
      </c>
      <c r="O54" s="21"/>
      <c r="P54" s="22">
        <f>SUMIFS('FCPIS B'!$S$234:$S$336,'FCPIS B'!$B$234:$B$336,'PIS B'!$A54,'FCPIS B'!$C$234:$C$336,'PIS B'!$B54)*-1000</f>
        <v>-3073069.009354589</v>
      </c>
      <c r="Q54" s="20"/>
      <c r="R54" s="22">
        <f t="shared" si="31"/>
        <v>17072594.360645313</v>
      </c>
      <c r="T54" s="13">
        <f t="shared" si="32"/>
        <v>0</v>
      </c>
      <c r="U54" s="21"/>
      <c r="V54" s="22">
        <f t="shared" si="33"/>
        <v>-3073069.009354589</v>
      </c>
      <c r="W54" s="17">
        <f>SUMIFS('FCPIS B'!$S$6:$S$110,'FCPIS B'!$B$6:$B$110,'PIS B'!$A54,'FCPIS B'!$C$6:$C$110,'PIS B'!$B54)*1000</f>
        <v>20145663.369999986</v>
      </c>
      <c r="X54" s="17">
        <f t="shared" si="34"/>
        <v>8.5681676864624023E-8</v>
      </c>
    </row>
    <row r="55" spans="1:24">
      <c r="A55" s="2" t="s">
        <v>545</v>
      </c>
      <c r="B55" s="2" t="str">
        <f t="shared" si="28"/>
        <v>353</v>
      </c>
      <c r="C55" s="100" t="s">
        <v>584</v>
      </c>
      <c r="D55" s="17">
        <f>SUMIFS('FCPIS B'!$G$6:$G$110,'FCPIS B'!$B$6:$B$110,'PIS B'!$A55,'FCPIS B'!$C$6:$C$110,'PIS B'!$B55)*1000</f>
        <v>21951171.490000002</v>
      </c>
      <c r="E55" s="21"/>
      <c r="F55" s="17">
        <f>SUMIFS('FCPIS B'!$T$113:$T$184,'FCPIS B'!$B$113:$B$184,'PIS B'!$A55,'FCPIS B'!$C$113:$C$184,'PIS B'!$B55)*1000</f>
        <v>1132283.599999998</v>
      </c>
      <c r="G55" s="21"/>
      <c r="H55" s="17">
        <f>SUMIFS('FCPIS B'!$T$187:$T$231,'FCPIS B'!$B$187:$B$231,'PIS B'!$A55,'FCPIS B'!$C$187:$C$231,'PIS B'!$B55)*-1000</f>
        <v>-2568.4899999999898</v>
      </c>
      <c r="I55" s="21"/>
      <c r="J55" s="17">
        <f>SUMIFS('FCPIS B'!$T$323:$T$338,'FCPIS B'!$B$323:$B$338,'PIS B'!$A55,'FCPIS B'!$C$323:$C$338,'PIS B'!$B55)*1000</f>
        <v>0</v>
      </c>
      <c r="K55" s="21"/>
      <c r="L55" s="17">
        <f t="shared" ref="L55:L61" si="35">SUM(F55:J55)</f>
        <v>1129715.109999998</v>
      </c>
      <c r="M55" s="21"/>
      <c r="N55" s="17">
        <f t="shared" ref="N55:N61" si="36">D55+L55</f>
        <v>23080886.600000001</v>
      </c>
      <c r="O55" s="21"/>
      <c r="P55" s="22">
        <f>SUMIFS('FCPIS B'!$S$234:$S$336,'FCPIS B'!$B$234:$B$336,'PIS B'!$A55,'FCPIS B'!$C$234:$C$336,'PIS B'!$B55)*-1000</f>
        <v>-8773707.4748441707</v>
      </c>
      <c r="Q55" s="20"/>
      <c r="R55" s="22">
        <f t="shared" ref="R55:R61" si="37">SUM(N55:P55)</f>
        <v>14307179.125155831</v>
      </c>
      <c r="T55" s="13">
        <f t="shared" ref="T55:T61" si="38">F55/F$62*T$62</f>
        <v>0</v>
      </c>
      <c r="U55" s="21"/>
      <c r="V55" s="22">
        <f t="shared" ref="V55:V61" si="39">P55+T55</f>
        <v>-8773707.4748441707</v>
      </c>
      <c r="W55" s="17">
        <f>SUMIFS('FCPIS B'!$S$6:$S$110,'FCPIS B'!$B$6:$B$110,'PIS B'!$A55,'FCPIS B'!$C$6:$C$110,'PIS B'!$B55)*1000</f>
        <v>23080886.599999998</v>
      </c>
      <c r="X55" s="17">
        <f t="shared" ref="X55:X61" si="40">W55-N55</f>
        <v>0</v>
      </c>
    </row>
    <row r="56" spans="1:24">
      <c r="A56" s="2" t="s">
        <v>545</v>
      </c>
      <c r="B56" s="2" t="str">
        <f t="shared" si="28"/>
        <v>354</v>
      </c>
      <c r="C56" s="100" t="s">
        <v>585</v>
      </c>
      <c r="D56" s="17">
        <f>SUMIFS('FCPIS B'!$G$6:$G$110,'FCPIS B'!$B$6:$B$110,'PIS B'!$A56,'FCPIS B'!$C$6:$C$110,'PIS B'!$B56)*1000</f>
        <v>47688419.020000003</v>
      </c>
      <c r="E56" s="21"/>
      <c r="F56" s="17">
        <f>SUMIFS('FCPIS B'!$T$113:$T$184,'FCPIS B'!$B$113:$B$184,'PIS B'!$A56,'FCPIS B'!$C$113:$C$184,'PIS B'!$B56)*1000</f>
        <v>9072191.6099999994</v>
      </c>
      <c r="G56" s="21"/>
      <c r="H56" s="17">
        <f>SUMIFS('FCPIS B'!$T$187:$T$231,'FCPIS B'!$B$187:$B$231,'PIS B'!$A56,'FCPIS B'!$C$187:$C$231,'PIS B'!$B56)*-1000</f>
        <v>-316154.84000000003</v>
      </c>
      <c r="I56" s="21"/>
      <c r="J56" s="17">
        <f>SUMIFS('FCPIS B'!$T$323:$T$338,'FCPIS B'!$B$323:$B$338,'PIS B'!$A56,'FCPIS B'!$C$323:$C$338,'PIS B'!$B56)*1000</f>
        <v>0</v>
      </c>
      <c r="K56" s="21"/>
      <c r="L56" s="17">
        <f t="shared" si="35"/>
        <v>8756036.7699999996</v>
      </c>
      <c r="M56" s="21"/>
      <c r="N56" s="17">
        <f t="shared" si="36"/>
        <v>56444455.790000007</v>
      </c>
      <c r="O56" s="21"/>
      <c r="P56" s="22">
        <f>SUMIFS('FCPIS B'!$S$234:$S$336,'FCPIS B'!$B$234:$B$336,'PIS B'!$A56,'FCPIS B'!$C$234:$C$336,'PIS B'!$B56)*-1000</f>
        <v>-7160404.7762560006</v>
      </c>
      <c r="Q56" s="20"/>
      <c r="R56" s="22">
        <f t="shared" si="37"/>
        <v>49284051.013744004</v>
      </c>
      <c r="T56" s="13">
        <f t="shared" si="38"/>
        <v>0</v>
      </c>
      <c r="U56" s="21"/>
      <c r="V56" s="22">
        <f t="shared" si="39"/>
        <v>-7160404.7762560006</v>
      </c>
      <c r="W56" s="17">
        <f>SUMIFS('FCPIS B'!$S$6:$S$110,'FCPIS B'!$B$6:$B$110,'PIS B'!$A56,'FCPIS B'!$C$6:$C$110,'PIS B'!$B56)*1000</f>
        <v>56444455.789999999</v>
      </c>
      <c r="X56" s="17">
        <f t="shared" si="40"/>
        <v>0</v>
      </c>
    </row>
    <row r="57" spans="1:24">
      <c r="A57" s="2" t="s">
        <v>545</v>
      </c>
      <c r="B57" s="2" t="str">
        <f t="shared" si="28"/>
        <v>355</v>
      </c>
      <c r="C57" s="100" t="s">
        <v>586</v>
      </c>
      <c r="D57" s="17">
        <f>SUMIFS('FCPIS B'!$G$6:$G$110,'FCPIS B'!$B$6:$B$110,'PIS B'!$A57,'FCPIS B'!$C$6:$C$110,'PIS B'!$B57)*1000</f>
        <v>1749308.77</v>
      </c>
      <c r="E57" s="21"/>
      <c r="F57" s="17">
        <f>SUMIFS('FCPIS B'!$T$113:$T$184,'FCPIS B'!$B$113:$B$184,'PIS B'!$A57,'FCPIS B'!$C$113:$C$184,'PIS B'!$B57)*1000</f>
        <v>525667.65</v>
      </c>
      <c r="G57" s="21"/>
      <c r="H57" s="17">
        <f>SUMIFS('FCPIS B'!$T$187:$T$231,'FCPIS B'!$B$187:$B$231,'PIS B'!$A57,'FCPIS B'!$C$187:$C$231,'PIS B'!$B57)*-1000</f>
        <v>0</v>
      </c>
      <c r="I57" s="21"/>
      <c r="J57" s="17">
        <f>SUMIFS('FCPIS B'!$T$323:$T$338,'FCPIS B'!$B$323:$B$338,'PIS B'!$A57,'FCPIS B'!$C$323:$C$338,'PIS B'!$B57)*1000</f>
        <v>0</v>
      </c>
      <c r="K57" s="21"/>
      <c r="L57" s="17">
        <f t="shared" si="35"/>
        <v>525667.65</v>
      </c>
      <c r="M57" s="21"/>
      <c r="N57" s="17">
        <f t="shared" si="36"/>
        <v>2274976.42</v>
      </c>
      <c r="O57" s="21"/>
      <c r="P57" s="22">
        <f>SUMIFS('FCPIS B'!$S$234:$S$336,'FCPIS B'!$B$234:$B$336,'PIS B'!$A57,'FCPIS B'!$C$234:$C$336,'PIS B'!$B57)*-1000</f>
        <v>-264933.99849039997</v>
      </c>
      <c r="Q57" s="20"/>
      <c r="R57" s="22">
        <f t="shared" si="37"/>
        <v>2010042.4215096</v>
      </c>
      <c r="T57" s="13">
        <f t="shared" si="38"/>
        <v>0</v>
      </c>
      <c r="U57" s="21"/>
      <c r="V57" s="22">
        <f t="shared" si="39"/>
        <v>-264933.99849039997</v>
      </c>
      <c r="W57" s="17">
        <f>SUMIFS('FCPIS B'!$S$6:$S$110,'FCPIS B'!$B$6:$B$110,'PIS B'!$A57,'FCPIS B'!$C$6:$C$110,'PIS B'!$B57)*1000</f>
        <v>2274976.42</v>
      </c>
      <c r="X57" s="17">
        <f t="shared" si="40"/>
        <v>0</v>
      </c>
    </row>
    <row r="58" spans="1:24">
      <c r="A58" s="2" t="s">
        <v>545</v>
      </c>
      <c r="B58" s="2" t="str">
        <f t="shared" si="28"/>
        <v>356</v>
      </c>
      <c r="C58" s="100" t="s">
        <v>587</v>
      </c>
      <c r="D58" s="17">
        <f>SUMIFS('FCPIS B'!$G$6:$G$110,'FCPIS B'!$B$6:$B$110,'PIS B'!$A58,'FCPIS B'!$C$6:$C$110,'PIS B'!$B58)*1000</f>
        <v>19845187.960000001</v>
      </c>
      <c r="E58" s="21"/>
      <c r="F58" s="17">
        <f>SUMIFS('FCPIS B'!$T$113:$T$184,'FCPIS B'!$B$113:$B$184,'PIS B'!$A58,'FCPIS B'!$C$113:$C$184,'PIS B'!$B58)*1000</f>
        <v>3196034.959999999</v>
      </c>
      <c r="G58" s="21"/>
      <c r="H58" s="17">
        <f>SUMIFS('FCPIS B'!$T$187:$T$231,'FCPIS B'!$B$187:$B$231,'PIS B'!$A58,'FCPIS B'!$C$187:$C$231,'PIS B'!$B58)*-1000</f>
        <v>-31971.51</v>
      </c>
      <c r="I58" s="21"/>
      <c r="J58" s="17">
        <f>SUMIFS('FCPIS B'!$T$323:$T$338,'FCPIS B'!$B$323:$B$338,'PIS B'!$A58,'FCPIS B'!$C$323:$C$338,'PIS B'!$B58)*1000</f>
        <v>0</v>
      </c>
      <c r="K58" s="21"/>
      <c r="L58" s="17">
        <f t="shared" si="35"/>
        <v>3164063.4499999993</v>
      </c>
      <c r="M58" s="21"/>
      <c r="N58" s="17">
        <f t="shared" si="36"/>
        <v>23009251.41</v>
      </c>
      <c r="O58" s="21"/>
      <c r="P58" s="22">
        <f>SUMIFS('FCPIS B'!$S$234:$S$336,'FCPIS B'!$B$234:$B$336,'PIS B'!$A58,'FCPIS B'!$C$234:$C$336,'PIS B'!$B58)*-1000</f>
        <v>-5762050.2384038903</v>
      </c>
      <c r="Q58" s="20"/>
      <c r="R58" s="22">
        <f t="shared" si="37"/>
        <v>17247201.17159611</v>
      </c>
      <c r="T58" s="13">
        <f t="shared" si="38"/>
        <v>0</v>
      </c>
      <c r="U58" s="21"/>
      <c r="V58" s="22">
        <f t="shared" si="39"/>
        <v>-5762050.2384038903</v>
      </c>
      <c r="W58" s="17">
        <f>SUMIFS('FCPIS B'!$S$6:$S$110,'FCPIS B'!$B$6:$B$110,'PIS B'!$A58,'FCPIS B'!$C$6:$C$110,'PIS B'!$B58)*1000</f>
        <v>23009251.41</v>
      </c>
      <c r="X58" s="17">
        <f t="shared" si="40"/>
        <v>0</v>
      </c>
    </row>
    <row r="59" spans="1:24">
      <c r="A59" s="2" t="s">
        <v>545</v>
      </c>
      <c r="B59" s="2" t="str">
        <f t="shared" si="28"/>
        <v>357</v>
      </c>
      <c r="C59" s="100" t="s">
        <v>588</v>
      </c>
      <c r="D59" s="17">
        <f>SUMIFS('FCPIS B'!$G$6:$G$110,'FCPIS B'!$B$6:$B$110,'PIS B'!$A59,'FCPIS B'!$C$6:$C$110,'PIS B'!$B59)*1000</f>
        <v>3154110.41</v>
      </c>
      <c r="E59" s="21"/>
      <c r="F59" s="17">
        <f>SUMIFS('FCPIS B'!$T$113:$T$184,'FCPIS B'!$B$113:$B$184,'PIS B'!$A59,'FCPIS B'!$C$113:$C$184,'PIS B'!$B59)*1000</f>
        <v>1487676.9799999997</v>
      </c>
      <c r="G59" s="21"/>
      <c r="H59" s="17">
        <f>SUMIFS('FCPIS B'!$T$187:$T$231,'FCPIS B'!$B$187:$B$231,'PIS B'!$A59,'FCPIS B'!$C$187:$C$231,'PIS B'!$B59)*-1000</f>
        <v>0</v>
      </c>
      <c r="I59" s="21"/>
      <c r="J59" s="17">
        <f>SUMIFS('FCPIS B'!$T$323:$T$338,'FCPIS B'!$B$323:$B$338,'PIS B'!$A59,'FCPIS B'!$C$323:$C$338,'PIS B'!$B59)*1000</f>
        <v>0</v>
      </c>
      <c r="K59" s="21"/>
      <c r="L59" s="17">
        <f t="shared" si="35"/>
        <v>1487676.9799999997</v>
      </c>
      <c r="M59" s="21"/>
      <c r="N59" s="17">
        <f t="shared" si="36"/>
        <v>4641787.3899999997</v>
      </c>
      <c r="O59" s="21"/>
      <c r="P59" s="22">
        <f>SUMIFS('FCPIS B'!$S$234:$S$336,'FCPIS B'!$B$234:$B$336,'PIS B'!$A59,'FCPIS B'!$C$234:$C$336,'PIS B'!$B59)*-1000</f>
        <v>-362209.87800780003</v>
      </c>
      <c r="Q59" s="20"/>
      <c r="R59" s="22">
        <f t="shared" si="37"/>
        <v>4279577.5119921993</v>
      </c>
      <c r="T59" s="13">
        <f t="shared" si="38"/>
        <v>0</v>
      </c>
      <c r="U59" s="21"/>
      <c r="V59" s="22">
        <f t="shared" si="39"/>
        <v>-362209.87800780003</v>
      </c>
      <c r="W59" s="17">
        <f>SUMIFS('FCPIS B'!$S$6:$S$110,'FCPIS B'!$B$6:$B$110,'PIS B'!$A59,'FCPIS B'!$C$6:$C$110,'PIS B'!$B59)*1000</f>
        <v>4641787.3899999997</v>
      </c>
      <c r="X59" s="17">
        <f t="shared" si="40"/>
        <v>0</v>
      </c>
    </row>
    <row r="60" spans="1:24">
      <c r="A60" s="2" t="s">
        <v>545</v>
      </c>
      <c r="C60" s="100" t="s">
        <v>589</v>
      </c>
      <c r="D60" s="17">
        <f>SUMIFS('FCPIS B'!$G$6:$G$110,'FCPIS B'!$B$6:$B$110,'PIS B'!$A60,'FCPIS B'!$C$6:$C$110,'PIS B'!$B60)*1000</f>
        <v>0</v>
      </c>
      <c r="E60" s="21"/>
      <c r="F60" s="17">
        <f>SUMIFS('FCPIS B'!$T$113:$T$184,'FCPIS B'!$B$113:$B$184,'PIS B'!$A60,'FCPIS B'!$C$113:$C$184,'PIS B'!$B60)*1000</f>
        <v>0</v>
      </c>
      <c r="G60" s="21"/>
      <c r="H60" s="17">
        <f>SUMIFS('FCPIS B'!$T$187:$T$231,'FCPIS B'!$B$187:$B$231,'PIS B'!$A60,'FCPIS B'!$C$187:$C$231,'PIS B'!$B60)*-1000</f>
        <v>0</v>
      </c>
      <c r="I60" s="21"/>
      <c r="J60" s="17">
        <f>SUMIFS('FCPIS B'!$T$323:$T$338,'FCPIS B'!$B$323:$B$338,'PIS B'!$A60,'FCPIS B'!$C$323:$C$338,'PIS B'!$B60)*1000</f>
        <v>0</v>
      </c>
      <c r="K60" s="21"/>
      <c r="L60" s="17">
        <f t="shared" si="35"/>
        <v>0</v>
      </c>
      <c r="M60" s="21"/>
      <c r="N60" s="17">
        <f t="shared" si="36"/>
        <v>0</v>
      </c>
      <c r="O60" s="21"/>
      <c r="P60" s="22">
        <f>SUMIFS('FCPIS B'!$S$234:$S$336,'FCPIS B'!$B$234:$B$336,'PIS B'!$A60,'FCPIS B'!$C$234:$C$336,'PIS B'!$B60)*-1000</f>
        <v>0</v>
      </c>
      <c r="Q60" s="20"/>
      <c r="R60" s="22">
        <f t="shared" si="37"/>
        <v>0</v>
      </c>
      <c r="T60" s="13">
        <f t="shared" si="38"/>
        <v>0</v>
      </c>
      <c r="U60" s="21"/>
      <c r="V60" s="22">
        <f t="shared" si="39"/>
        <v>0</v>
      </c>
      <c r="W60" s="17">
        <f>SUMIFS('FCPIS B'!$S$6:$S$110,'FCPIS B'!$B$6:$B$110,'PIS B'!$A60,'FCPIS B'!$C$6:$C$110,'PIS B'!$B60)*1000</f>
        <v>0</v>
      </c>
      <c r="X60" s="17">
        <f t="shared" si="40"/>
        <v>0</v>
      </c>
    </row>
    <row r="61" spans="1:24">
      <c r="A61" s="2" t="s">
        <v>545</v>
      </c>
      <c r="B61" s="2" t="str">
        <f t="shared" si="28"/>
        <v>358</v>
      </c>
      <c r="C61" s="100" t="s">
        <v>590</v>
      </c>
      <c r="D61" s="17">
        <f>SUMIFS('FCPIS B'!$G$6:$G$110,'FCPIS B'!$B$6:$B$110,'PIS B'!$A61,'FCPIS B'!$C$6:$C$110,'PIS B'!$B61)*1000</f>
        <v>4437148.12</v>
      </c>
      <c r="E61" s="21"/>
      <c r="F61" s="17">
        <f>SUMIFS('FCPIS B'!$T$113:$T$184,'FCPIS B'!$B$113:$B$184,'PIS B'!$A61,'FCPIS B'!$C$113:$C$184,'PIS B'!$B61)*1000</f>
        <v>0</v>
      </c>
      <c r="G61" s="21"/>
      <c r="H61" s="17">
        <f>SUMIFS('FCPIS B'!$T$187:$T$231,'FCPIS B'!$B$187:$B$231,'PIS B'!$A61,'FCPIS B'!$C$187:$C$231,'PIS B'!$B61)*-1000</f>
        <v>-4450.2800000000007</v>
      </c>
      <c r="I61" s="21"/>
      <c r="J61" s="17">
        <f>SUMIFS('FCPIS B'!$T$323:$T$338,'FCPIS B'!$B$323:$B$338,'PIS B'!$A61,'FCPIS B'!$C$323:$C$338,'PIS B'!$B61)*1000</f>
        <v>0</v>
      </c>
      <c r="K61" s="21"/>
      <c r="L61" s="17">
        <f t="shared" si="35"/>
        <v>-4450.2800000000007</v>
      </c>
      <c r="M61" s="21"/>
      <c r="N61" s="17">
        <f t="shared" si="36"/>
        <v>4432697.84</v>
      </c>
      <c r="O61" s="21"/>
      <c r="P61" s="22">
        <f>SUMIFS('FCPIS B'!$S$234:$S$336,'FCPIS B'!$B$234:$B$336,'PIS B'!$A61,'FCPIS B'!$C$234:$C$336,'PIS B'!$B61)*-1000</f>
        <v>-994496.55975199898</v>
      </c>
      <c r="Q61" s="20"/>
      <c r="R61" s="22">
        <f t="shared" si="37"/>
        <v>3438201.2802480008</v>
      </c>
      <c r="T61" s="13">
        <f t="shared" si="38"/>
        <v>0</v>
      </c>
      <c r="U61" s="21"/>
      <c r="V61" s="22">
        <f t="shared" si="39"/>
        <v>-994496.55975199898</v>
      </c>
      <c r="W61" s="17">
        <f>SUMIFS('FCPIS B'!$S$6:$S$110,'FCPIS B'!$B$6:$B$110,'PIS B'!$A61,'FCPIS B'!$C$6:$C$110,'PIS B'!$B61)*1000</f>
        <v>4432697.84</v>
      </c>
      <c r="X61" s="17">
        <f t="shared" si="40"/>
        <v>0</v>
      </c>
    </row>
    <row r="62" spans="1:24">
      <c r="A62" s="2" t="s">
        <v>545</v>
      </c>
      <c r="B62" s="2" t="str">
        <f t="shared" ref="B62:B63" si="41">MID(C62,2,3)</f>
        <v/>
      </c>
      <c r="C62" s="100"/>
      <c r="D62" s="26">
        <f>SUM(D44:D61)</f>
        <v>145768362.26999989</v>
      </c>
      <c r="E62" s="25"/>
      <c r="F62" s="26">
        <f>SUM(F44:F61)</f>
        <v>17267166.849999998</v>
      </c>
      <c r="G62" s="25"/>
      <c r="H62" s="26">
        <f>SUM(H44:H61)</f>
        <v>-363352.79000000004</v>
      </c>
      <c r="I62" s="25"/>
      <c r="J62" s="26">
        <f>SUM(J44:J61)</f>
        <v>-3657</v>
      </c>
      <c r="K62" s="25"/>
      <c r="L62" s="26">
        <f>SUM(L44:L61)</f>
        <v>16900157.059999995</v>
      </c>
      <c r="M62" s="25"/>
      <c r="N62" s="26">
        <f>SUM(N44:N61)</f>
        <v>162668519.32999989</v>
      </c>
      <c r="O62" s="100"/>
      <c r="P62" s="26">
        <f>SUM(P44:P61)</f>
        <v>-38063567.265954345</v>
      </c>
      <c r="Q62" s="100"/>
      <c r="R62" s="26">
        <f>SUM(R44:R61)</f>
        <v>124604952.06404556</v>
      </c>
      <c r="S62" s="100"/>
      <c r="T62" s="26">
        <f>SUM('FC CWIP &amp; RWIP B'!Q20)*1000</f>
        <v>0</v>
      </c>
      <c r="U62" s="6"/>
      <c r="V62" s="26">
        <f t="shared" si="33"/>
        <v>-38063567.265954345</v>
      </c>
      <c r="W62" s="8"/>
      <c r="X62" s="8"/>
    </row>
    <row r="63" spans="1:24">
      <c r="A63" s="2" t="s">
        <v>545</v>
      </c>
      <c r="B63" s="2" t="str">
        <f t="shared" si="41"/>
        <v/>
      </c>
      <c r="C63" s="100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100"/>
      <c r="P63" s="100"/>
      <c r="Q63" s="100"/>
      <c r="R63" s="100"/>
      <c r="S63" s="100"/>
      <c r="T63" s="13"/>
      <c r="U63" s="6"/>
      <c r="V63" s="13"/>
      <c r="W63" s="8"/>
      <c r="X63" s="8"/>
    </row>
    <row r="64" spans="1:24">
      <c r="A64" s="2" t="s">
        <v>545</v>
      </c>
      <c r="C64" s="108" t="s">
        <v>591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100"/>
      <c r="P64" s="100"/>
      <c r="Q64" s="100"/>
      <c r="R64" s="100"/>
      <c r="S64" s="100"/>
      <c r="T64" s="13"/>
      <c r="U64" s="6"/>
      <c r="V64" s="13"/>
      <c r="W64" s="8"/>
      <c r="X64" s="8"/>
    </row>
    <row r="65" spans="1:24">
      <c r="A65" s="2" t="s">
        <v>545</v>
      </c>
      <c r="B65" s="2" t="str">
        <f t="shared" ref="B65:B67" si="42">MID(C65,2,3)</f>
        <v>365</v>
      </c>
      <c r="C65" s="100" t="s">
        <v>592</v>
      </c>
      <c r="D65" s="17">
        <f>SUMIFS('FCPIS B'!$G$6:$G$110,'FCPIS B'!$B$6:$B$110,'PIS B'!$A65,'FCPIS B'!$C$6:$C$110,'PIS B'!$B65)*1000</f>
        <v>220659.049999999</v>
      </c>
      <c r="E65" s="21"/>
      <c r="F65" s="17">
        <f>SUMIFS('FCPIS B'!$T$113:$T$184,'FCPIS B'!$B$113:$B$184,'PIS B'!$A65,'FCPIS B'!$C$113:$C$184,'PIS B'!$B65)*1000</f>
        <v>0</v>
      </c>
      <c r="G65" s="21"/>
      <c r="H65" s="17">
        <f>SUMIFS('FCPIS B'!$T$187:$T$231,'FCPIS B'!$B$187:$B$231,'PIS B'!$A65,'FCPIS B'!$C$187:$C$231,'PIS B'!$B65)*-1000</f>
        <v>0</v>
      </c>
      <c r="I65" s="21"/>
      <c r="J65" s="17">
        <f>SUMIFS('FCPIS B'!$T$323:$T$338,'FCPIS B'!$B$323:$B$338,'PIS B'!$A65,'FCPIS B'!$C$323:$C$338,'PIS B'!$B65)*1000</f>
        <v>0</v>
      </c>
      <c r="K65" s="21"/>
      <c r="L65" s="17">
        <f t="shared" ref="L65:L67" si="43">SUM(F65:J65)</f>
        <v>0</v>
      </c>
      <c r="M65" s="21"/>
      <c r="N65" s="17">
        <f t="shared" ref="N65:N67" si="44">D65+L65</f>
        <v>220659.049999999</v>
      </c>
      <c r="O65" s="21"/>
      <c r="P65" s="22">
        <f>SUMIFS('FCPIS B'!$S$234:$S$336,'FCPIS B'!$B$234:$B$336,'PIS B'!$A65,'FCPIS B'!$C$234:$C$336,'PIS B'!$B65)*-1000</f>
        <v>-210904.27724002002</v>
      </c>
      <c r="Q65" s="20"/>
      <c r="R65" s="22">
        <f t="shared" ref="R65:R67" si="45">SUM(N65:P65)</f>
        <v>9754.7727599789796</v>
      </c>
      <c r="T65" s="13">
        <f>F65/F$68*T$68</f>
        <v>0</v>
      </c>
      <c r="U65" s="21"/>
      <c r="V65" s="22">
        <f t="shared" ref="V65:V68" si="46">P65+T65</f>
        <v>-210904.27724002002</v>
      </c>
      <c r="W65" s="17">
        <f>SUMIFS('FCPIS B'!$S$6:$S$110,'FCPIS B'!$B$6:$B$110,'PIS B'!$A65,'FCPIS B'!$C$6:$C$110,'PIS B'!$B65)*1000</f>
        <v>220659.049999999</v>
      </c>
      <c r="X65" s="17">
        <f t="shared" ref="X65:X67" si="47">W65-N65</f>
        <v>0</v>
      </c>
    </row>
    <row r="66" spans="1:24">
      <c r="A66" s="2" t="s">
        <v>545</v>
      </c>
      <c r="B66" s="2" t="str">
        <f t="shared" si="42"/>
        <v>367</v>
      </c>
      <c r="C66" s="100" t="s">
        <v>593</v>
      </c>
      <c r="D66" s="17">
        <f>SUMIFS('FCPIS B'!$G$6:$G$110,'FCPIS B'!$B$6:$B$110,'PIS B'!$A66,'FCPIS B'!$C$6:$C$110,'PIS B'!$B66)*1000</f>
        <v>51029182.57</v>
      </c>
      <c r="E66" s="21"/>
      <c r="F66" s="17">
        <f>SUMIFS('FCPIS B'!$T$113:$T$184,'FCPIS B'!$B$113:$B$184,'PIS B'!$A66,'FCPIS B'!$C$113:$C$184,'PIS B'!$B66)*1000</f>
        <v>1955719.5199999998</v>
      </c>
      <c r="G66" s="21"/>
      <c r="H66" s="17">
        <f>SUMIFS('FCPIS B'!$T$187:$T$231,'FCPIS B'!$B$187:$B$231,'PIS B'!$A66,'FCPIS B'!$C$187:$C$231,'PIS B'!$B66)*-1000</f>
        <v>-86944.069999999905</v>
      </c>
      <c r="I66" s="21"/>
      <c r="J66" s="17">
        <f>SUMIFS('FCPIS B'!$T$323:$T$338,'FCPIS B'!$B$323:$B$338,'PIS B'!$A66,'FCPIS B'!$C$323:$C$338,'PIS B'!$B66)*1000</f>
        <v>0</v>
      </c>
      <c r="K66" s="21"/>
      <c r="L66" s="17">
        <f t="shared" si="43"/>
        <v>1868775.45</v>
      </c>
      <c r="M66" s="21"/>
      <c r="N66" s="17">
        <f t="shared" si="44"/>
        <v>52897958.020000003</v>
      </c>
      <c r="O66" s="21"/>
      <c r="P66" s="22">
        <f>SUMIFS('FCPIS B'!$S$234:$S$336,'FCPIS B'!$B$234:$B$336,'PIS B'!$A66,'FCPIS B'!$C$234:$C$336,'PIS B'!$B66)*-1000</f>
        <v>-11122241.9828534</v>
      </c>
      <c r="Q66" s="20"/>
      <c r="R66" s="22">
        <f t="shared" si="45"/>
        <v>41775716.037146606</v>
      </c>
      <c r="T66" s="13">
        <f>F66/F$68*T$68</f>
        <v>2633.66</v>
      </c>
      <c r="U66" s="21"/>
      <c r="V66" s="22">
        <f t="shared" si="46"/>
        <v>-11119608.322853399</v>
      </c>
      <c r="W66" s="17">
        <f>SUMIFS('FCPIS B'!$S$6:$S$110,'FCPIS B'!$B$6:$B$110,'PIS B'!$A66,'FCPIS B'!$C$6:$C$110,'PIS B'!$B66)*1000</f>
        <v>52897958.019999996</v>
      </c>
      <c r="X66" s="17">
        <f t="shared" si="47"/>
        <v>0</v>
      </c>
    </row>
    <row r="67" spans="1:24">
      <c r="A67" s="2" t="s">
        <v>545</v>
      </c>
      <c r="B67" s="2" t="str">
        <f t="shared" si="42"/>
        <v>372</v>
      </c>
      <c r="C67" s="100" t="s">
        <v>594</v>
      </c>
      <c r="D67" s="17">
        <f>SUMIFS('FCPIS B'!$G$6:$G$110,'FCPIS B'!$B$6:$B$110,'PIS B'!$A67,'FCPIS B'!$C$6:$C$110,'PIS B'!$B67)*1000</f>
        <v>2332004.91</v>
      </c>
      <c r="E67" s="21"/>
      <c r="F67" s="17">
        <f>SUMIFS('FCPIS B'!$T$113:$T$184,'FCPIS B'!$B$113:$B$184,'PIS B'!$A67,'FCPIS B'!$C$113:$C$184,'PIS B'!$B67)*1000</f>
        <v>0</v>
      </c>
      <c r="G67" s="21"/>
      <c r="H67" s="17">
        <f>SUMIFS('FCPIS B'!$T$187:$T$231,'FCPIS B'!$B$187:$B$231,'PIS B'!$A67,'FCPIS B'!$C$187:$C$231,'PIS B'!$B67)*-1000</f>
        <v>0</v>
      </c>
      <c r="I67" s="21"/>
      <c r="J67" s="17">
        <f>SUMIFS('FCPIS B'!$T$323:$T$338,'FCPIS B'!$B$323:$B$338,'PIS B'!$A67,'FCPIS B'!$C$323:$C$338,'PIS B'!$B67)*1000</f>
        <v>0</v>
      </c>
      <c r="K67" s="21"/>
      <c r="L67" s="17">
        <f t="shared" si="43"/>
        <v>0</v>
      </c>
      <c r="M67" s="21"/>
      <c r="N67" s="17">
        <f t="shared" si="44"/>
        <v>2332004.91</v>
      </c>
      <c r="O67" s="21"/>
      <c r="P67" s="22">
        <f>SUMIFS('FCPIS B'!$S$234:$S$336,'FCPIS B'!$B$234:$B$336,'PIS B'!$A67,'FCPIS B'!$C$234:$C$336,'PIS B'!$B67)*-1000</f>
        <v>-346544.82546599902</v>
      </c>
      <c r="Q67" s="20"/>
      <c r="R67" s="22">
        <f t="shared" si="45"/>
        <v>1985460.0845340011</v>
      </c>
      <c r="T67" s="13">
        <f>F67/F$68*T$68</f>
        <v>0</v>
      </c>
      <c r="U67" s="21"/>
      <c r="V67" s="22">
        <f t="shared" si="46"/>
        <v>-346544.82546599902</v>
      </c>
      <c r="W67" s="17">
        <f>SUMIFS('FCPIS B'!$S$6:$S$110,'FCPIS B'!$B$6:$B$110,'PIS B'!$A67,'FCPIS B'!$C$6:$C$110,'PIS B'!$B67)*1000</f>
        <v>2332004.91</v>
      </c>
      <c r="X67" s="17">
        <f t="shared" si="47"/>
        <v>0</v>
      </c>
    </row>
    <row r="68" spans="1:24">
      <c r="C68" s="100"/>
      <c r="D68" s="26">
        <f>SUM(D65:D67)</f>
        <v>53581846.530000001</v>
      </c>
      <c r="E68" s="25"/>
      <c r="F68" s="26">
        <f>SUM(F65:F67)</f>
        <v>1955719.5199999998</v>
      </c>
      <c r="G68" s="25"/>
      <c r="H68" s="26">
        <f>SUM(H65:H67)</f>
        <v>-86944.069999999905</v>
      </c>
      <c r="I68" s="25"/>
      <c r="J68" s="26">
        <f>SUM(J65:J67)</f>
        <v>0</v>
      </c>
      <c r="K68" s="25"/>
      <c r="L68" s="26">
        <f>SUM(L65:L67)</f>
        <v>1868775.45</v>
      </c>
      <c r="M68" s="25"/>
      <c r="N68" s="26">
        <f>SUM(N65:N67)</f>
        <v>55450621.980000004</v>
      </c>
      <c r="O68" s="100"/>
      <c r="P68" s="26">
        <f>SUM(P65:P67)</f>
        <v>-11679691.085559418</v>
      </c>
      <c r="Q68" s="100"/>
      <c r="R68" s="26">
        <f>SUM(R65:R67)</f>
        <v>43770930.894440591</v>
      </c>
      <c r="S68" s="100"/>
      <c r="T68" s="26">
        <f>SUM('FC CWIP &amp; RWIP B'!Q21)*1000</f>
        <v>2633.66</v>
      </c>
      <c r="U68" s="6"/>
      <c r="V68" s="26">
        <f t="shared" si="46"/>
        <v>-11677057.425559418</v>
      </c>
      <c r="W68" s="8"/>
      <c r="X68" s="8"/>
    </row>
    <row r="69" spans="1:24">
      <c r="B69" s="2" t="str">
        <f t="shared" ref="B69" si="48">MID(C69,2,3)</f>
        <v/>
      </c>
      <c r="C69" s="100"/>
      <c r="D69" s="25"/>
      <c r="E69" s="25"/>
      <c r="F69" s="25">
        <v>0</v>
      </c>
      <c r="G69" s="25"/>
      <c r="H69" s="25"/>
      <c r="I69" s="25"/>
      <c r="J69" s="25"/>
      <c r="K69" s="25"/>
      <c r="L69" s="25"/>
      <c r="M69" s="25"/>
      <c r="N69" s="25"/>
      <c r="O69" s="100"/>
      <c r="P69" s="100"/>
      <c r="Q69" s="100"/>
      <c r="R69" s="100"/>
      <c r="S69" s="100"/>
      <c r="T69" s="13"/>
      <c r="U69" s="6"/>
      <c r="V69" s="13"/>
      <c r="W69" s="16"/>
      <c r="X69" s="16"/>
    </row>
    <row r="70" spans="1:24">
      <c r="C70" s="100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100"/>
      <c r="P70" s="100"/>
      <c r="Q70" s="100"/>
      <c r="R70" s="100"/>
      <c r="S70" s="100"/>
      <c r="T70" s="13"/>
      <c r="U70" s="6"/>
      <c r="V70" s="13"/>
      <c r="W70" s="16"/>
      <c r="X70" s="16"/>
    </row>
    <row r="71" spans="1:24" s="19" customFormat="1" ht="15.75" thickBot="1">
      <c r="C71" s="112" t="s">
        <v>595</v>
      </c>
      <c r="D71" s="30">
        <f>D68+D62+D41+D37+D27</f>
        <v>1037468715.7799999</v>
      </c>
      <c r="E71" s="111"/>
      <c r="F71" s="30">
        <f>F68+F62+F41+F37+F27</f>
        <v>103940008.35999995</v>
      </c>
      <c r="G71" s="111"/>
      <c r="H71" s="30">
        <f>H68+H62+H41+H37+H27</f>
        <v>-6367172.2699999996</v>
      </c>
      <c r="I71" s="111"/>
      <c r="J71" s="30">
        <f>J68+J62+J41+J37+J27</f>
        <v>0</v>
      </c>
      <c r="K71" s="111"/>
      <c r="L71" s="30">
        <f>L68+L62+L41+L37+L27</f>
        <v>97572836.089999929</v>
      </c>
      <c r="M71" s="111"/>
      <c r="N71" s="30">
        <f>N68+N62+N41+N37+N27</f>
        <v>1135041551.8699999</v>
      </c>
      <c r="O71" s="111"/>
      <c r="P71" s="30">
        <f>P68+P62+P41+P37+P27</f>
        <v>-311808394.88071078</v>
      </c>
      <c r="Q71"/>
      <c r="R71" s="30">
        <f>R68+R62+R41+R37+R27</f>
        <v>823233156.98928905</v>
      </c>
      <c r="T71" s="30">
        <f>T68+T62+T41+T37+T27</f>
        <v>54645.679999999993</v>
      </c>
      <c r="V71" s="30">
        <f>V68+V62+V41+V37+V27</f>
        <v>-311753749.20071077</v>
      </c>
      <c r="W71" s="98"/>
      <c r="X71" s="98"/>
    </row>
    <row r="72" spans="1:24" s="19" customFormat="1" ht="13.5" thickTop="1">
      <c r="C72" s="18" t="s">
        <v>1310</v>
      </c>
      <c r="D72" s="98">
        <v>1037468715.7799999</v>
      </c>
      <c r="E72" s="99"/>
      <c r="F72" s="98"/>
      <c r="G72" s="99"/>
      <c r="H72" s="98"/>
      <c r="I72" s="99"/>
      <c r="J72" s="98"/>
      <c r="K72" s="99"/>
      <c r="L72" s="98"/>
      <c r="M72" s="99"/>
      <c r="N72" s="98"/>
      <c r="W72" s="98"/>
      <c r="X72" s="98"/>
    </row>
    <row r="73" spans="1:24" s="19" customFormat="1">
      <c r="D73" s="98">
        <f>D71-D72</f>
        <v>0</v>
      </c>
      <c r="E73" s="99"/>
      <c r="F73" s="98"/>
      <c r="G73" s="99"/>
      <c r="H73" s="98"/>
      <c r="I73" s="99"/>
      <c r="J73" s="98"/>
      <c r="K73" s="99"/>
      <c r="L73" s="98"/>
      <c r="M73" s="99"/>
      <c r="N73" s="98"/>
      <c r="W73" s="98"/>
      <c r="X73" s="98"/>
    </row>
    <row r="74" spans="1:24" s="19" customFormat="1">
      <c r="D74" s="98"/>
      <c r="E74" s="99"/>
      <c r="F74" s="98"/>
      <c r="G74" s="99"/>
      <c r="H74" s="98"/>
      <c r="I74" s="99"/>
      <c r="J74" s="98"/>
      <c r="K74" s="99"/>
      <c r="L74" s="98"/>
      <c r="M74" s="99"/>
      <c r="N74" s="98"/>
      <c r="W74" s="98"/>
      <c r="X74" s="98"/>
    </row>
    <row r="75" spans="1:24" s="19" customFormat="1">
      <c r="D75" s="98"/>
      <c r="E75" s="99"/>
      <c r="F75" s="98"/>
      <c r="G75" s="99"/>
      <c r="H75" s="98"/>
      <c r="I75" s="99"/>
      <c r="J75" s="98"/>
      <c r="K75" s="99"/>
      <c r="L75" s="98"/>
      <c r="M75" s="99"/>
      <c r="N75" s="98"/>
      <c r="W75" s="98"/>
      <c r="X75" s="98"/>
    </row>
    <row r="76" spans="1:24" s="19" customFormat="1" ht="15">
      <c r="C76"/>
      <c r="D76" s="24"/>
      <c r="E76" s="385"/>
      <c r="F76" s="25"/>
      <c r="G76" s="385"/>
      <c r="H76" s="25"/>
      <c r="I76" s="385"/>
      <c r="J76" s="24"/>
      <c r="K76" s="385"/>
      <c r="L76" s="25"/>
      <c r="M76" s="385"/>
      <c r="N76" s="24"/>
      <c r="O76" s="385"/>
      <c r="P76" s="385"/>
      <c r="Q76" s="385"/>
      <c r="R76" s="386"/>
      <c r="W76" s="98"/>
      <c r="X76" s="98"/>
    </row>
    <row r="77" spans="1:24" s="19" customFormat="1" ht="15">
      <c r="C77" s="109" t="s">
        <v>454</v>
      </c>
      <c r="D77" s="24"/>
      <c r="E77" s="385"/>
      <c r="F77" s="24"/>
      <c r="G77" s="385"/>
      <c r="H77" s="24"/>
      <c r="I77" s="385"/>
      <c r="J77" s="24"/>
      <c r="K77" s="385"/>
      <c r="L77" s="24"/>
      <c r="M77" s="385"/>
      <c r="N77" s="24"/>
      <c r="O77" s="387"/>
      <c r="P77" s="24"/>
      <c r="Q77" s="387"/>
      <c r="R77" s="24"/>
      <c r="W77" s="98"/>
      <c r="X77" s="98"/>
    </row>
    <row r="78" spans="1:24" s="19" customFormat="1" ht="15">
      <c r="C78" s="109" t="s">
        <v>455</v>
      </c>
      <c r="D78" s="24"/>
      <c r="E78"/>
      <c r="F78" s="24"/>
      <c r="G78"/>
      <c r="H78" s="24"/>
      <c r="I78"/>
      <c r="J78" s="24"/>
      <c r="K78"/>
      <c r="L78" s="24"/>
      <c r="M78"/>
      <c r="N78" s="24"/>
      <c r="O78" s="110"/>
      <c r="P78" s="110"/>
      <c r="Q78" s="110"/>
      <c r="R78" s="110"/>
      <c r="W78" s="98"/>
      <c r="X78" s="98"/>
    </row>
    <row r="79" spans="1:24" s="19" customFormat="1" ht="15">
      <c r="C79" s="109" t="s">
        <v>16</v>
      </c>
      <c r="D79"/>
      <c r="E79"/>
      <c r="F79"/>
      <c r="G79"/>
      <c r="H79"/>
      <c r="I79"/>
      <c r="J79"/>
      <c r="K79"/>
      <c r="L79"/>
      <c r="M79"/>
      <c r="N79"/>
      <c r="O79" s="110"/>
      <c r="P79" s="110"/>
      <c r="Q79" s="110"/>
      <c r="R79" s="110"/>
      <c r="W79" s="98"/>
      <c r="X79" s="98"/>
    </row>
    <row r="80" spans="1:24" s="19" customFormat="1" ht="15">
      <c r="C80" s="109" t="s">
        <v>458</v>
      </c>
      <c r="D80"/>
      <c r="E80"/>
      <c r="F80"/>
      <c r="G80"/>
      <c r="H80"/>
      <c r="I80"/>
      <c r="J80"/>
      <c r="K80"/>
      <c r="L80"/>
      <c r="M80"/>
      <c r="N80"/>
      <c r="O80" s="110"/>
      <c r="P80" s="110"/>
      <c r="Q80" s="110"/>
      <c r="R80" s="110"/>
      <c r="W80" s="98"/>
      <c r="X80" s="98"/>
    </row>
    <row r="81" spans="1:24" s="19" customFormat="1">
      <c r="A81" s="19" t="s">
        <v>452</v>
      </c>
      <c r="B81" s="2" t="str">
        <f t="shared" ref="B81:B108" si="49">MID(C81,2,3)</f>
        <v>389</v>
      </c>
      <c r="C81" s="100" t="s">
        <v>459</v>
      </c>
      <c r="D81" s="17">
        <f>SUMIFS('FCPIS B'!$G$6:$G$110,'FCPIS B'!$B$6:$B$110,'PIS B'!$A81,'FCPIS B'!$C$6:$C$110,'PIS B'!$B81)*1000*$A$4</f>
        <v>529946.79299999995</v>
      </c>
      <c r="E81" s="21"/>
      <c r="F81" s="17">
        <f>SUMIFS('FCPIS B'!$T$113:$T$184,'FCPIS B'!$B$113:$B$184,'PIS B'!$A81,'FCPIS B'!$C$113:$C$184,'PIS B'!$B81)*1000*$A$4</f>
        <v>0</v>
      </c>
      <c r="G81" s="21"/>
      <c r="H81" s="8">
        <f>SUMIFS('FCPIS B'!$T$187:$T$231,'FCPIS B'!$B$187:$B$231,'PIS B'!$A81,'FCPIS B'!$C$187:$C$231,'PIS B'!$B81)*-1000*$A$4</f>
        <v>0</v>
      </c>
      <c r="I81" s="237"/>
      <c r="J81" s="8">
        <f>SUMIFS('FCPIS B'!$T$323:$T$338,'FCPIS B'!$B$323:$B$338,'PIS B'!$A81,'FCPIS B'!$C$323:$C$338,'PIS B'!$B81)*1000*$A$4</f>
        <v>0</v>
      </c>
      <c r="K81" s="21"/>
      <c r="L81" s="17">
        <f t="shared" ref="L81" si="50">SUM(F81:J81)</f>
        <v>0</v>
      </c>
      <c r="M81" s="21"/>
      <c r="N81" s="17">
        <f t="shared" ref="N81" si="51">D81+L81</f>
        <v>529946.79299999995</v>
      </c>
      <c r="O81" s="21"/>
      <c r="P81" s="22">
        <f>SUMIFS('FCPIS B'!$S$234:$S$336,'FCPIS B'!$B$234:$B$336,'PIS B'!$A81,'FCPIS B'!$C$234:$C$336,'PIS B'!$B81)*-1000*$A$4</f>
        <v>-42248.573999999993</v>
      </c>
      <c r="Q81" s="20"/>
      <c r="R81" s="22">
        <f t="shared" ref="R81" si="52">SUM(N81:P81)</f>
        <v>487698.21899999992</v>
      </c>
      <c r="S81" s="2"/>
      <c r="T81" s="13">
        <f>F81/F$111*T$111</f>
        <v>0</v>
      </c>
      <c r="U81" s="21"/>
      <c r="V81" s="22">
        <f t="shared" ref="V81:V110" si="53">P81+T81</f>
        <v>-42248.573999999993</v>
      </c>
      <c r="W81" s="17">
        <f>SUMIFS('FCPIS B'!$S$6:$S$110,'FCPIS B'!$B$6:$B$110,'PIS B'!$A81,'FCPIS B'!$C$6:$C$110,'PIS B'!$B81)*1000*$A$4</f>
        <v>529946.79299999995</v>
      </c>
      <c r="X81" s="17">
        <f t="shared" ref="X81" si="54">W81-N81</f>
        <v>0</v>
      </c>
    </row>
    <row r="82" spans="1:24" s="19" customFormat="1">
      <c r="A82" s="19" t="s">
        <v>452</v>
      </c>
      <c r="B82" s="2"/>
      <c r="C82" s="100" t="s">
        <v>460</v>
      </c>
      <c r="D82" s="23">
        <f>SUMIFS('FCPIS B'!$G$6:$G$110,'FCPIS B'!$B$6:$B$110,'PIS B'!$A82,'FCPIS B'!$C$6:$C$110,'PIS B'!$B82)*1000*$A$4</f>
        <v>0</v>
      </c>
      <c r="E82" s="25"/>
      <c r="F82" s="25">
        <f>SUMIFS('FCPIS B'!$T$113:$T$184,'FCPIS B'!$B$113:$B$184,'PIS B'!$A82,'FCPIS B'!$C$113:$C$184,'PIS B'!$B82)*1000*$A$4</f>
        <v>0</v>
      </c>
      <c r="G82" s="25"/>
      <c r="H82" s="25">
        <f>SUMIFS('FCPIS B'!$T$187:$T$231,'FCPIS B'!$B$187:$B$231,'PIS B'!$A82,'FCPIS B'!$C$187:$C$231,'PIS B'!$B82)*-1000*$A$4</f>
        <v>0</v>
      </c>
      <c r="I82" s="25"/>
      <c r="J82" s="25">
        <f>SUMIFS('FCPIS B'!$T$323:$T$338,'FCPIS B'!$B$323:$B$338,'PIS B'!$A82,'FCPIS B'!$C$323:$C$338,'PIS B'!$B82)*1000*$A$4</f>
        <v>0</v>
      </c>
      <c r="K82" s="25"/>
      <c r="L82" s="25">
        <f t="shared" ref="L82:L110" si="55">SUM(F82:J82)</f>
        <v>0</v>
      </c>
      <c r="M82" s="25"/>
      <c r="N82" s="23">
        <f t="shared" ref="N82:N110" si="56">D82+L82</f>
        <v>0</v>
      </c>
      <c r="O82" s="100"/>
      <c r="P82" s="103">
        <f>SUMIFS('FCPIS B'!$S$234:$S$336,'FCPIS B'!$B$234:$B$336,'PIS B'!$A82,'FCPIS B'!$C$234:$C$336,'PIS B'!$B82)*-1000*$A$4</f>
        <v>0</v>
      </c>
      <c r="Q82" s="100"/>
      <c r="R82" s="103">
        <f t="shared" ref="R82:R110" si="57">SUM(N82:P82)</f>
        <v>0</v>
      </c>
      <c r="T82" s="13">
        <f t="shared" ref="T82:T110" si="58">F82/F$111*T$111</f>
        <v>0</v>
      </c>
      <c r="V82" s="22">
        <f t="shared" si="53"/>
        <v>0</v>
      </c>
      <c r="W82" s="98">
        <f>SUMIFS('FCPIS B'!$S$6:$S$110,'FCPIS B'!$B$6:$B$110,'PIS B'!$A82,'FCPIS B'!$C$6:$C$110,'PIS B'!$B82)*1000*$A$4</f>
        <v>0</v>
      </c>
      <c r="X82" s="98">
        <f t="shared" ref="X82:X110" si="59">W82-N82</f>
        <v>0</v>
      </c>
    </row>
    <row r="83" spans="1:24" s="19" customFormat="1">
      <c r="A83" s="19" t="s">
        <v>452</v>
      </c>
      <c r="B83" s="2" t="str">
        <f t="shared" si="49"/>
        <v>390</v>
      </c>
      <c r="C83" s="100" t="s">
        <v>461</v>
      </c>
      <c r="D83" s="23">
        <f>SUMIFS('FCPIS B'!$G$6:$G$110,'FCPIS B'!$B$6:$B$110,'PIS B'!$A83,'FCPIS B'!$C$6:$C$110,'PIS B'!$B83)*1000*$A$4</f>
        <v>23360905.36199997</v>
      </c>
      <c r="E83" s="25"/>
      <c r="F83" s="25">
        <f>SUMIFS('FCPIS B'!$T$113:$T$184,'FCPIS B'!$B$113:$B$184,'PIS B'!$A83,'FCPIS B'!$C$113:$C$184,'PIS B'!$B83)*1000*$A$4</f>
        <v>746799.46499999939</v>
      </c>
      <c r="G83" s="25"/>
      <c r="H83" s="25">
        <f>SUMIFS('FCPIS B'!$T$187:$T$231,'FCPIS B'!$B$187:$B$231,'PIS B'!$A83,'FCPIS B'!$C$187:$C$231,'PIS B'!$B83)*-1000*$A$4</f>
        <v>-50195.205000000002</v>
      </c>
      <c r="I83" s="25"/>
      <c r="J83" s="25">
        <f>SUMIFS('FCPIS B'!$T$323:$T$338,'FCPIS B'!$B$323:$B$338,'PIS B'!$A83,'FCPIS B'!$C$323:$C$338,'PIS B'!$B83)*1000*$A$4</f>
        <v>0</v>
      </c>
      <c r="K83" s="25"/>
      <c r="L83" s="25">
        <f t="shared" si="55"/>
        <v>696604.25999999943</v>
      </c>
      <c r="M83" s="25"/>
      <c r="N83" s="23">
        <f t="shared" si="56"/>
        <v>24057509.621999968</v>
      </c>
      <c r="O83" s="100"/>
      <c r="P83" s="103">
        <f>SUMIFS('FCPIS B'!$S$234:$S$336,'FCPIS B'!$B$234:$B$336,'PIS B'!$A83,'FCPIS B'!$C$234:$C$336,'PIS B'!$B83)*-1000*$A$4</f>
        <v>-10550452.639616491</v>
      </c>
      <c r="Q83" s="100"/>
      <c r="R83" s="103">
        <f t="shared" si="57"/>
        <v>13507056.982383477</v>
      </c>
      <c r="T83" s="13">
        <f t="shared" si="58"/>
        <v>0</v>
      </c>
      <c r="V83" s="22">
        <f t="shared" si="53"/>
        <v>-10550452.639616491</v>
      </c>
      <c r="W83" s="98">
        <f>SUMIFS('FCPIS B'!$S$6:$S$110,'FCPIS B'!$B$6:$B$110,'PIS B'!$A83,'FCPIS B'!$C$6:$C$110,'PIS B'!$B83)*1000*$A$4</f>
        <v>24057509.621999972</v>
      </c>
      <c r="X83" s="98">
        <f t="shared" si="59"/>
        <v>0</v>
      </c>
    </row>
    <row r="84" spans="1:24" s="19" customFormat="1">
      <c r="A84" s="19" t="s">
        <v>452</v>
      </c>
      <c r="B84" s="2"/>
      <c r="C84" s="100" t="s">
        <v>462</v>
      </c>
      <c r="D84" s="23">
        <f>SUMIFS('FCPIS B'!$G$6:$G$110,'FCPIS B'!$B$6:$B$110,'PIS B'!$A84,'FCPIS B'!$C$6:$C$110,'PIS B'!$B84)*1000*$A$4</f>
        <v>0</v>
      </c>
      <c r="E84" s="25"/>
      <c r="F84" s="25">
        <f>SUMIFS('FCPIS B'!$T$113:$T$184,'FCPIS B'!$B$113:$B$184,'PIS B'!$A84,'FCPIS B'!$C$113:$C$184,'PIS B'!$B84)*1000*$A$4</f>
        <v>0</v>
      </c>
      <c r="G84" s="25"/>
      <c r="H84" s="25">
        <f>SUMIFS('FCPIS B'!$T$187:$T$231,'FCPIS B'!$B$187:$B$231,'PIS B'!$A84,'FCPIS B'!$C$187:$C$231,'PIS B'!$B84)*-1000*$A$4</f>
        <v>0</v>
      </c>
      <c r="I84" s="25"/>
      <c r="J84" s="25">
        <f>SUMIFS('FCPIS B'!$T$323:$T$338,'FCPIS B'!$B$323:$B$338,'PIS B'!$A84,'FCPIS B'!$C$323:$C$338,'PIS B'!$B84)*1000*$A$4</f>
        <v>0</v>
      </c>
      <c r="K84" s="25"/>
      <c r="L84" s="25">
        <f t="shared" si="55"/>
        <v>0</v>
      </c>
      <c r="M84" s="25"/>
      <c r="N84" s="23">
        <f t="shared" si="56"/>
        <v>0</v>
      </c>
      <c r="O84" s="100"/>
      <c r="P84" s="103">
        <f>SUMIFS('FCPIS B'!$S$234:$S$336,'FCPIS B'!$B$234:$B$336,'PIS B'!$A84,'FCPIS B'!$C$234:$C$336,'PIS B'!$B84)*-1000*$A$4</f>
        <v>0</v>
      </c>
      <c r="Q84" s="100"/>
      <c r="R84" s="103">
        <f t="shared" si="57"/>
        <v>0</v>
      </c>
      <c r="T84" s="13">
        <f t="shared" si="58"/>
        <v>0</v>
      </c>
      <c r="V84" s="22">
        <f t="shared" si="53"/>
        <v>0</v>
      </c>
      <c r="W84" s="98">
        <f>SUMIFS('FCPIS B'!$S$6:$S$110,'FCPIS B'!$B$6:$B$110,'PIS B'!$A84,'FCPIS B'!$C$6:$C$110,'PIS B'!$B84)*1000*$A$4</f>
        <v>0</v>
      </c>
      <c r="X84" s="98">
        <f t="shared" si="59"/>
        <v>0</v>
      </c>
    </row>
    <row r="85" spans="1:24" s="19" customFormat="1">
      <c r="A85" s="19" t="s">
        <v>452</v>
      </c>
      <c r="B85" s="2"/>
      <c r="C85" s="100" t="s">
        <v>463</v>
      </c>
      <c r="D85" s="23">
        <f>SUMIFS('FCPIS B'!$G$6:$G$110,'FCPIS B'!$B$6:$B$110,'PIS B'!$A85,'FCPIS B'!$C$6:$C$110,'PIS B'!$B85)*1000*$A$4</f>
        <v>0</v>
      </c>
      <c r="E85" s="25"/>
      <c r="F85" s="25">
        <f>SUMIFS('FCPIS B'!$T$113:$T$184,'FCPIS B'!$B$113:$B$184,'PIS B'!$A85,'FCPIS B'!$C$113:$C$184,'PIS B'!$B85)*1000*$A$4</f>
        <v>0</v>
      </c>
      <c r="G85" s="25"/>
      <c r="H85" s="25">
        <f>SUMIFS('FCPIS B'!$T$187:$T$231,'FCPIS B'!$B$187:$B$231,'PIS B'!$A85,'FCPIS B'!$C$187:$C$231,'PIS B'!$B85)*-1000*$A$4</f>
        <v>0</v>
      </c>
      <c r="I85" s="25"/>
      <c r="J85" s="25">
        <f>SUMIFS('FCPIS B'!$T$323:$T$338,'FCPIS B'!$B$323:$B$338,'PIS B'!$A85,'FCPIS B'!$C$323:$C$338,'PIS B'!$B85)*1000*$A$4</f>
        <v>0</v>
      </c>
      <c r="K85" s="25"/>
      <c r="L85" s="25">
        <f t="shared" si="55"/>
        <v>0</v>
      </c>
      <c r="M85" s="25"/>
      <c r="N85" s="23">
        <f t="shared" si="56"/>
        <v>0</v>
      </c>
      <c r="O85" s="100"/>
      <c r="P85" s="103">
        <f>SUMIFS('FCPIS B'!$S$234:$S$336,'FCPIS B'!$B$234:$B$336,'PIS B'!$A85,'FCPIS B'!$C$234:$C$336,'PIS B'!$B85)*-1000*$A$4</f>
        <v>0</v>
      </c>
      <c r="Q85" s="100"/>
      <c r="R85" s="103">
        <f t="shared" si="57"/>
        <v>0</v>
      </c>
      <c r="T85" s="13">
        <f t="shared" si="58"/>
        <v>0</v>
      </c>
      <c r="V85" s="22">
        <f t="shared" si="53"/>
        <v>0</v>
      </c>
      <c r="W85" s="98">
        <f>SUMIFS('FCPIS B'!$S$6:$S$110,'FCPIS B'!$B$6:$B$110,'PIS B'!$A85,'FCPIS B'!$C$6:$C$110,'PIS B'!$B85)*1000*$A$4</f>
        <v>0</v>
      </c>
      <c r="X85" s="98">
        <f t="shared" si="59"/>
        <v>0</v>
      </c>
    </row>
    <row r="86" spans="1:24" s="19" customFormat="1">
      <c r="A86" s="19" t="s">
        <v>452</v>
      </c>
      <c r="B86" s="2"/>
      <c r="C86" s="100" t="s">
        <v>464</v>
      </c>
      <c r="D86" s="23">
        <f>SUMIFS('FCPIS B'!$G$6:$G$110,'FCPIS B'!$B$6:$B$110,'PIS B'!$A86,'FCPIS B'!$C$6:$C$110,'PIS B'!$B86)*1000*$A$4</f>
        <v>0</v>
      </c>
      <c r="E86" s="25"/>
      <c r="F86" s="25">
        <f>SUMIFS('FCPIS B'!$T$113:$T$184,'FCPIS B'!$B$113:$B$184,'PIS B'!$A86,'FCPIS B'!$C$113:$C$184,'PIS B'!$B86)*1000*$A$4</f>
        <v>0</v>
      </c>
      <c r="G86" s="25"/>
      <c r="H86" s="25">
        <f>SUMIFS('FCPIS B'!$T$187:$T$231,'FCPIS B'!$B$187:$B$231,'PIS B'!$A86,'FCPIS B'!$C$187:$C$231,'PIS B'!$B86)*-1000*$A$4</f>
        <v>0</v>
      </c>
      <c r="I86" s="25"/>
      <c r="J86" s="25">
        <f>SUMIFS('FCPIS B'!$T$323:$T$338,'FCPIS B'!$B$323:$B$338,'PIS B'!$A86,'FCPIS B'!$C$323:$C$338,'PIS B'!$B86)*1000*$A$4</f>
        <v>0</v>
      </c>
      <c r="K86" s="25"/>
      <c r="L86" s="25">
        <f t="shared" si="55"/>
        <v>0</v>
      </c>
      <c r="M86" s="25"/>
      <c r="N86" s="23">
        <f t="shared" si="56"/>
        <v>0</v>
      </c>
      <c r="O86" s="100"/>
      <c r="P86" s="103">
        <f>SUMIFS('FCPIS B'!$S$234:$S$336,'FCPIS B'!$B$234:$B$336,'PIS B'!$A86,'FCPIS B'!$C$234:$C$336,'PIS B'!$B86)*-1000*$A$4</f>
        <v>0</v>
      </c>
      <c r="Q86" s="100"/>
      <c r="R86" s="103">
        <f t="shared" si="57"/>
        <v>0</v>
      </c>
      <c r="T86" s="13">
        <f t="shared" si="58"/>
        <v>0</v>
      </c>
      <c r="V86" s="22">
        <f t="shared" si="53"/>
        <v>0</v>
      </c>
      <c r="W86" s="98">
        <f>SUMIFS('FCPIS B'!$S$6:$S$110,'FCPIS B'!$B$6:$B$110,'PIS B'!$A86,'FCPIS B'!$C$6:$C$110,'PIS B'!$B86)*1000*$A$4</f>
        <v>0</v>
      </c>
      <c r="X86" s="98">
        <f t="shared" si="59"/>
        <v>0</v>
      </c>
    </row>
    <row r="87" spans="1:24" s="19" customFormat="1">
      <c r="A87" s="19" t="s">
        <v>452</v>
      </c>
      <c r="B87" s="2"/>
      <c r="C87" s="100" t="s">
        <v>465</v>
      </c>
      <c r="D87" s="23">
        <f>SUMIFS('FCPIS B'!$G$6:$G$110,'FCPIS B'!$B$6:$B$110,'PIS B'!$A87,'FCPIS B'!$C$6:$C$110,'PIS B'!$B87)*1000*$A$4</f>
        <v>0</v>
      </c>
      <c r="E87" s="25"/>
      <c r="F87" s="25">
        <f>SUMIFS('FCPIS B'!$T$113:$T$184,'FCPIS B'!$B$113:$B$184,'PIS B'!$A87,'FCPIS B'!$C$113:$C$184,'PIS B'!$B87)*1000*$A$4</f>
        <v>0</v>
      </c>
      <c r="G87" s="25"/>
      <c r="H87" s="25">
        <f>SUMIFS('FCPIS B'!$T$187:$T$231,'FCPIS B'!$B$187:$B$231,'PIS B'!$A87,'FCPIS B'!$C$187:$C$231,'PIS B'!$B87)*-1000*$A$4</f>
        <v>0</v>
      </c>
      <c r="I87" s="25"/>
      <c r="J87" s="25">
        <f>SUMIFS('FCPIS B'!$T$323:$T$338,'FCPIS B'!$B$323:$B$338,'PIS B'!$A87,'FCPIS B'!$C$323:$C$338,'PIS B'!$B87)*1000*$A$4</f>
        <v>0</v>
      </c>
      <c r="K87" s="25"/>
      <c r="L87" s="25">
        <f t="shared" si="55"/>
        <v>0</v>
      </c>
      <c r="M87" s="25"/>
      <c r="N87" s="23">
        <f t="shared" si="56"/>
        <v>0</v>
      </c>
      <c r="O87" s="100"/>
      <c r="P87" s="103">
        <f>SUMIFS('FCPIS B'!$S$234:$S$336,'FCPIS B'!$B$234:$B$336,'PIS B'!$A87,'FCPIS B'!$C$234:$C$336,'PIS B'!$B87)*-1000*$A$4</f>
        <v>0</v>
      </c>
      <c r="Q87" s="100"/>
      <c r="R87" s="103">
        <f t="shared" si="57"/>
        <v>0</v>
      </c>
      <c r="T87" s="13">
        <f t="shared" si="58"/>
        <v>0</v>
      </c>
      <c r="V87" s="22">
        <f t="shared" si="53"/>
        <v>0</v>
      </c>
      <c r="W87" s="98">
        <f>SUMIFS('FCPIS B'!$S$6:$S$110,'FCPIS B'!$B$6:$B$110,'PIS B'!$A87,'FCPIS B'!$C$6:$C$110,'PIS B'!$B87)*1000*$A$4</f>
        <v>0</v>
      </c>
      <c r="X87" s="98">
        <f t="shared" si="59"/>
        <v>0</v>
      </c>
    </row>
    <row r="88" spans="1:24" s="19" customFormat="1">
      <c r="A88" s="19" t="s">
        <v>452</v>
      </c>
      <c r="B88" s="2" t="str">
        <f t="shared" si="49"/>
        <v>391</v>
      </c>
      <c r="C88" s="100" t="s">
        <v>466</v>
      </c>
      <c r="D88" s="23">
        <f>SUMIFS('FCPIS B'!$G$6:$G$110,'FCPIS B'!$B$6:$B$110,'PIS B'!$A88,'FCPIS B'!$C$6:$C$110,'PIS B'!$B88)*1000*$A$4</f>
        <v>11699182.001999998</v>
      </c>
      <c r="E88" s="25"/>
      <c r="F88" s="25">
        <f>SUMIFS('FCPIS B'!$T$113:$T$184,'FCPIS B'!$B$113:$B$184,'PIS B'!$A88,'FCPIS B'!$C$113:$C$184,'PIS B'!$B88)*1000*$A$4</f>
        <v>2928350.8470000001</v>
      </c>
      <c r="G88" s="25"/>
      <c r="H88" s="25">
        <f>SUMIFS('FCPIS B'!$T$187:$T$231,'FCPIS B'!$B$187:$B$231,'PIS B'!$A88,'FCPIS B'!$C$187:$C$231,'PIS B'!$B88)*-1000*$A$4</f>
        <v>-1827480.84</v>
      </c>
      <c r="I88" s="25"/>
      <c r="J88" s="25">
        <f>SUMIFS('FCPIS B'!$T$323:$T$338,'FCPIS B'!$B$323:$B$338,'PIS B'!$A88,'FCPIS B'!$C$323:$C$338,'PIS B'!$B88)*1000*$A$4</f>
        <v>0</v>
      </c>
      <c r="K88" s="25"/>
      <c r="L88" s="25">
        <f t="shared" si="55"/>
        <v>1100870.007</v>
      </c>
      <c r="M88" s="25"/>
      <c r="N88" s="23">
        <f t="shared" si="56"/>
        <v>12800052.008999998</v>
      </c>
      <c r="O88" s="100"/>
      <c r="P88" s="103">
        <f>SUMIFS('FCPIS B'!$S$234:$S$336,'FCPIS B'!$B$234:$B$336,'PIS B'!$A88,'FCPIS B'!$C$234:$C$336,'PIS B'!$B88)*-1000*$A$4</f>
        <v>-4842606.6697134003</v>
      </c>
      <c r="Q88" s="100"/>
      <c r="R88" s="103">
        <f t="shared" si="57"/>
        <v>7957445.3392865974</v>
      </c>
      <c r="T88" s="13">
        <f t="shared" si="58"/>
        <v>0</v>
      </c>
      <c r="V88" s="22">
        <f t="shared" si="53"/>
        <v>-4842606.6697134003</v>
      </c>
      <c r="W88" s="98">
        <f>SUMIFS('FCPIS B'!$S$6:$S$110,'FCPIS B'!$B$6:$B$110,'PIS B'!$A88,'FCPIS B'!$C$6:$C$110,'PIS B'!$B88)*1000*$A$4</f>
        <v>12800052.009</v>
      </c>
      <c r="X88" s="98">
        <f t="shared" si="59"/>
        <v>0</v>
      </c>
    </row>
    <row r="89" spans="1:24" s="19" customFormat="1">
      <c r="A89" s="19" t="s">
        <v>452</v>
      </c>
      <c r="B89" s="2"/>
      <c r="C89" s="100" t="s">
        <v>467</v>
      </c>
      <c r="D89" s="23">
        <f>SUMIFS('FCPIS B'!$G$6:$G$110,'FCPIS B'!$B$6:$B$110,'PIS B'!$A89,'FCPIS B'!$C$6:$C$110,'PIS B'!$B89)*1000*$A$4</f>
        <v>0</v>
      </c>
      <c r="E89" s="25"/>
      <c r="F89" s="25">
        <f>SUMIFS('FCPIS B'!$T$113:$T$184,'FCPIS B'!$B$113:$B$184,'PIS B'!$A89,'FCPIS B'!$C$113:$C$184,'PIS B'!$B89)*1000*$A$4</f>
        <v>0</v>
      </c>
      <c r="G89" s="25"/>
      <c r="H89" s="25">
        <f>SUMIFS('FCPIS B'!$T$187:$T$231,'FCPIS B'!$B$187:$B$231,'PIS B'!$A89,'FCPIS B'!$C$187:$C$231,'PIS B'!$B89)*-1000*$A$4</f>
        <v>0</v>
      </c>
      <c r="I89" s="25"/>
      <c r="J89" s="25">
        <f>SUMIFS('FCPIS B'!$T$323:$T$338,'FCPIS B'!$B$323:$B$338,'PIS B'!$A89,'FCPIS B'!$C$323:$C$338,'PIS B'!$B89)*1000*$A$4</f>
        <v>0</v>
      </c>
      <c r="K89" s="25"/>
      <c r="L89" s="25">
        <f t="shared" si="55"/>
        <v>0</v>
      </c>
      <c r="M89" s="25"/>
      <c r="N89" s="23">
        <f t="shared" si="56"/>
        <v>0</v>
      </c>
      <c r="O89" s="100"/>
      <c r="P89" s="103">
        <f>SUMIFS('FCPIS B'!$S$234:$S$336,'FCPIS B'!$B$234:$B$336,'PIS B'!$A89,'FCPIS B'!$C$234:$C$336,'PIS B'!$B89)*-1000*$A$4</f>
        <v>0</v>
      </c>
      <c r="Q89" s="100"/>
      <c r="R89" s="103">
        <f t="shared" si="57"/>
        <v>0</v>
      </c>
      <c r="T89" s="13">
        <f t="shared" si="58"/>
        <v>0</v>
      </c>
      <c r="V89" s="22">
        <f t="shared" si="53"/>
        <v>0</v>
      </c>
      <c r="W89" s="98">
        <f>SUMIFS('FCPIS B'!$S$6:$S$110,'FCPIS B'!$B$6:$B$110,'PIS B'!$A89,'FCPIS B'!$C$6:$C$110,'PIS B'!$B89)*1000*$A$4</f>
        <v>0</v>
      </c>
      <c r="X89" s="98">
        <f t="shared" si="59"/>
        <v>0</v>
      </c>
    </row>
    <row r="90" spans="1:24" s="19" customFormat="1">
      <c r="A90" s="19" t="s">
        <v>452</v>
      </c>
      <c r="B90" s="2"/>
      <c r="C90" s="100" t="s">
        <v>468</v>
      </c>
      <c r="D90" s="23">
        <f>SUMIFS('FCPIS B'!$G$6:$G$110,'FCPIS B'!$B$6:$B$110,'PIS B'!$A90,'FCPIS B'!$C$6:$C$110,'PIS B'!$B90)*1000*$A$4</f>
        <v>0</v>
      </c>
      <c r="E90" s="25"/>
      <c r="F90" s="25">
        <f>SUMIFS('FCPIS B'!$T$113:$T$184,'FCPIS B'!$B$113:$B$184,'PIS B'!$A90,'FCPIS B'!$C$113:$C$184,'PIS B'!$B90)*1000*$A$4</f>
        <v>0</v>
      </c>
      <c r="G90" s="25"/>
      <c r="H90" s="25">
        <f>SUMIFS('FCPIS B'!$T$187:$T$231,'FCPIS B'!$B$187:$B$231,'PIS B'!$A90,'FCPIS B'!$C$187:$C$231,'PIS B'!$B90)*-1000*$A$4</f>
        <v>0</v>
      </c>
      <c r="I90" s="25"/>
      <c r="J90" s="25">
        <f>SUMIFS('FCPIS B'!$T$323:$T$338,'FCPIS B'!$B$323:$B$338,'PIS B'!$A90,'FCPIS B'!$C$323:$C$338,'PIS B'!$B90)*1000*$A$4</f>
        <v>0</v>
      </c>
      <c r="K90" s="25"/>
      <c r="L90" s="25">
        <f t="shared" si="55"/>
        <v>0</v>
      </c>
      <c r="M90" s="25"/>
      <c r="N90" s="23">
        <f t="shared" si="56"/>
        <v>0</v>
      </c>
      <c r="O90" s="100"/>
      <c r="P90" s="103">
        <f>SUMIFS('FCPIS B'!$S$234:$S$336,'FCPIS B'!$B$234:$B$336,'PIS B'!$A90,'FCPIS B'!$C$234:$C$336,'PIS B'!$B90)*-1000*$A$4</f>
        <v>0</v>
      </c>
      <c r="Q90" s="100"/>
      <c r="R90" s="103">
        <f t="shared" si="57"/>
        <v>0</v>
      </c>
      <c r="T90" s="13">
        <f t="shared" si="58"/>
        <v>0</v>
      </c>
      <c r="V90" s="22">
        <f t="shared" si="53"/>
        <v>0</v>
      </c>
      <c r="W90" s="98">
        <f>SUMIFS('FCPIS B'!$S$6:$S$110,'FCPIS B'!$B$6:$B$110,'PIS B'!$A90,'FCPIS B'!$C$6:$C$110,'PIS B'!$B90)*1000*$A$4</f>
        <v>0</v>
      </c>
      <c r="X90" s="98">
        <f t="shared" si="59"/>
        <v>0</v>
      </c>
    </row>
    <row r="91" spans="1:24" s="19" customFormat="1">
      <c r="A91" s="19" t="s">
        <v>452</v>
      </c>
      <c r="B91" s="2"/>
      <c r="C91" s="100" t="s">
        <v>469</v>
      </c>
      <c r="D91" s="23">
        <f>SUMIFS('FCPIS B'!$G$6:$G$110,'FCPIS B'!$B$6:$B$110,'PIS B'!$A91,'FCPIS B'!$C$6:$C$110,'PIS B'!$B91)*1000*$A$4</f>
        <v>0</v>
      </c>
      <c r="E91" s="25"/>
      <c r="F91" s="25">
        <f>SUMIFS('FCPIS B'!$T$113:$T$184,'FCPIS B'!$B$113:$B$184,'PIS B'!$A91,'FCPIS B'!$C$113:$C$184,'PIS B'!$B91)*1000*$A$4</f>
        <v>0</v>
      </c>
      <c r="G91" s="25"/>
      <c r="H91" s="25">
        <f>SUMIFS('FCPIS B'!$T$187:$T$231,'FCPIS B'!$B$187:$B$231,'PIS B'!$A91,'FCPIS B'!$C$187:$C$231,'PIS B'!$B91)*-1000*$A$4</f>
        <v>0</v>
      </c>
      <c r="I91" s="25"/>
      <c r="J91" s="25">
        <f>SUMIFS('FCPIS B'!$T$323:$T$338,'FCPIS B'!$B$323:$B$338,'PIS B'!$A91,'FCPIS B'!$C$323:$C$338,'PIS B'!$B91)*1000*$A$4</f>
        <v>0</v>
      </c>
      <c r="K91" s="25"/>
      <c r="L91" s="25">
        <f t="shared" si="55"/>
        <v>0</v>
      </c>
      <c r="M91" s="25"/>
      <c r="N91" s="23">
        <f t="shared" si="56"/>
        <v>0</v>
      </c>
      <c r="O91" s="100"/>
      <c r="P91" s="103">
        <f>SUMIFS('FCPIS B'!$S$234:$S$336,'FCPIS B'!$B$234:$B$336,'PIS B'!$A91,'FCPIS B'!$C$234:$C$336,'PIS B'!$B91)*-1000*$A$4</f>
        <v>0</v>
      </c>
      <c r="Q91" s="100"/>
      <c r="R91" s="103">
        <f t="shared" si="57"/>
        <v>0</v>
      </c>
      <c r="T91" s="13">
        <f t="shared" si="58"/>
        <v>0</v>
      </c>
      <c r="V91" s="22">
        <f t="shared" si="53"/>
        <v>0</v>
      </c>
      <c r="W91" s="98">
        <f>SUMIFS('FCPIS B'!$S$6:$S$110,'FCPIS B'!$B$6:$B$110,'PIS B'!$A91,'FCPIS B'!$C$6:$C$110,'PIS B'!$B91)*1000*$A$4</f>
        <v>0</v>
      </c>
      <c r="X91" s="98">
        <f t="shared" si="59"/>
        <v>0</v>
      </c>
    </row>
    <row r="92" spans="1:24" s="19" customFormat="1">
      <c r="A92" s="19" t="s">
        <v>452</v>
      </c>
      <c r="B92" s="2"/>
      <c r="C92" s="100" t="s">
        <v>470</v>
      </c>
      <c r="D92" s="23">
        <f>SUMIFS('FCPIS B'!$G$6:$G$110,'FCPIS B'!$B$6:$B$110,'PIS B'!$A92,'FCPIS B'!$C$6:$C$110,'PIS B'!$B92)*1000*$A$4</f>
        <v>0</v>
      </c>
      <c r="E92" s="25"/>
      <c r="F92" s="25">
        <f>SUMIFS('FCPIS B'!$T$113:$T$184,'FCPIS B'!$B$113:$B$184,'PIS B'!$A92,'FCPIS B'!$C$113:$C$184,'PIS B'!$B92)*1000*$A$4</f>
        <v>0</v>
      </c>
      <c r="G92" s="25"/>
      <c r="H92" s="25">
        <f>SUMIFS('FCPIS B'!$T$187:$T$231,'FCPIS B'!$B$187:$B$231,'PIS B'!$A92,'FCPIS B'!$C$187:$C$231,'PIS B'!$B92)*-1000*$A$4</f>
        <v>0</v>
      </c>
      <c r="I92" s="25"/>
      <c r="J92" s="25">
        <f>SUMIFS('FCPIS B'!$T$323:$T$338,'FCPIS B'!$B$323:$B$338,'PIS B'!$A92,'FCPIS B'!$C$323:$C$338,'PIS B'!$B92)*1000*$A$4</f>
        <v>0</v>
      </c>
      <c r="K92" s="25"/>
      <c r="L92" s="25">
        <f t="shared" si="55"/>
        <v>0</v>
      </c>
      <c r="M92" s="25"/>
      <c r="N92" s="23">
        <f t="shared" si="56"/>
        <v>0</v>
      </c>
      <c r="O92" s="100"/>
      <c r="P92" s="103">
        <f>SUMIFS('FCPIS B'!$S$234:$S$336,'FCPIS B'!$B$234:$B$336,'PIS B'!$A92,'FCPIS B'!$C$234:$C$336,'PIS B'!$B92)*-1000*$A$4</f>
        <v>0</v>
      </c>
      <c r="Q92" s="100"/>
      <c r="R92" s="103">
        <f t="shared" si="57"/>
        <v>0</v>
      </c>
      <c r="T92" s="13">
        <f t="shared" si="58"/>
        <v>0</v>
      </c>
      <c r="V92" s="22">
        <f t="shared" si="53"/>
        <v>0</v>
      </c>
      <c r="W92" s="98">
        <f>SUMIFS('FCPIS B'!$S$6:$S$110,'FCPIS B'!$B$6:$B$110,'PIS B'!$A92,'FCPIS B'!$C$6:$C$110,'PIS B'!$B92)*1000*$A$4</f>
        <v>0</v>
      </c>
      <c r="X92" s="98">
        <f t="shared" si="59"/>
        <v>0</v>
      </c>
    </row>
    <row r="93" spans="1:24" s="19" customFormat="1">
      <c r="A93" s="19" t="s">
        <v>452</v>
      </c>
      <c r="B93" s="2"/>
      <c r="C93" s="100" t="s">
        <v>471</v>
      </c>
      <c r="D93" s="23">
        <f>SUMIFS('FCPIS B'!$G$6:$G$110,'FCPIS B'!$B$6:$B$110,'PIS B'!$A93,'FCPIS B'!$C$6:$C$110,'PIS B'!$B93)*1000*$A$4</f>
        <v>0</v>
      </c>
      <c r="E93" s="25"/>
      <c r="F93" s="25">
        <f>SUMIFS('FCPIS B'!$T$113:$T$184,'FCPIS B'!$B$113:$B$184,'PIS B'!$A93,'FCPIS B'!$C$113:$C$184,'PIS B'!$B93)*1000*$A$4</f>
        <v>0</v>
      </c>
      <c r="G93" s="25"/>
      <c r="H93" s="25">
        <f>SUMIFS('FCPIS B'!$T$187:$T$231,'FCPIS B'!$B$187:$B$231,'PIS B'!$A93,'FCPIS B'!$C$187:$C$231,'PIS B'!$B93)*-1000*$A$4</f>
        <v>0</v>
      </c>
      <c r="I93" s="25"/>
      <c r="J93" s="25">
        <f>SUMIFS('FCPIS B'!$T$323:$T$338,'FCPIS B'!$B$323:$B$338,'PIS B'!$A93,'FCPIS B'!$C$323:$C$338,'PIS B'!$B93)*1000*$A$4</f>
        <v>0</v>
      </c>
      <c r="K93" s="25"/>
      <c r="L93" s="25">
        <f t="shared" si="55"/>
        <v>0</v>
      </c>
      <c r="M93" s="25"/>
      <c r="N93" s="23">
        <f t="shared" si="56"/>
        <v>0</v>
      </c>
      <c r="O93" s="100"/>
      <c r="P93" s="103">
        <f>SUMIFS('FCPIS B'!$S$234:$S$336,'FCPIS B'!$B$234:$B$336,'PIS B'!$A93,'FCPIS B'!$C$234:$C$336,'PIS B'!$B93)*-1000*$A$4</f>
        <v>0</v>
      </c>
      <c r="Q93" s="100"/>
      <c r="R93" s="103">
        <f t="shared" si="57"/>
        <v>0</v>
      </c>
      <c r="T93" s="13">
        <f t="shared" si="58"/>
        <v>0</v>
      </c>
      <c r="V93" s="22">
        <f t="shared" si="53"/>
        <v>0</v>
      </c>
      <c r="W93" s="98">
        <f>SUMIFS('FCPIS B'!$S$6:$S$110,'FCPIS B'!$B$6:$B$110,'PIS B'!$A93,'FCPIS B'!$C$6:$C$110,'PIS B'!$B93)*1000*$A$4</f>
        <v>0</v>
      </c>
      <c r="X93" s="98">
        <f t="shared" si="59"/>
        <v>0</v>
      </c>
    </row>
    <row r="94" spans="1:24" s="19" customFormat="1">
      <c r="A94" s="19" t="s">
        <v>452</v>
      </c>
      <c r="B94" s="2" t="str">
        <f t="shared" si="49"/>
        <v>392</v>
      </c>
      <c r="C94" s="100" t="s">
        <v>472</v>
      </c>
      <c r="D94" s="23">
        <f>SUMIFS('FCPIS B'!$G$6:$G$110,'FCPIS B'!$B$6:$B$110,'PIS B'!$A94,'FCPIS B'!$C$6:$C$110,'PIS B'!$B94)*1000*$A$4</f>
        <v>84563.985000000001</v>
      </c>
      <c r="E94" s="25"/>
      <c r="F94" s="25">
        <f>SUMIFS('FCPIS B'!$T$113:$T$184,'FCPIS B'!$B$113:$B$184,'PIS B'!$A94,'FCPIS B'!$C$113:$C$184,'PIS B'!$B94)*1000*$A$4</f>
        <v>0</v>
      </c>
      <c r="G94" s="25"/>
      <c r="H94" s="25">
        <f>SUMIFS('FCPIS B'!$T$187:$T$231,'FCPIS B'!$B$187:$B$231,'PIS B'!$A94,'FCPIS B'!$C$187:$C$231,'PIS B'!$B94)*-1000*$A$4</f>
        <v>-2311.0740000000001</v>
      </c>
      <c r="I94" s="25"/>
      <c r="J94" s="25">
        <f>SUMIFS('FCPIS B'!$T$323:$T$338,'FCPIS B'!$B$323:$B$338,'PIS B'!$A94,'FCPIS B'!$C$323:$C$338,'PIS B'!$B94)*1000*$A$4</f>
        <v>0</v>
      </c>
      <c r="K94" s="25"/>
      <c r="L94" s="25">
        <f t="shared" si="55"/>
        <v>-2311.0740000000001</v>
      </c>
      <c r="M94" s="25"/>
      <c r="N94" s="23">
        <f t="shared" si="56"/>
        <v>82252.911000000007</v>
      </c>
      <c r="O94" s="100"/>
      <c r="P94" s="103">
        <f>SUMIFS('FCPIS B'!$S$234:$S$336,'FCPIS B'!$B$234:$B$336,'PIS B'!$A94,'FCPIS B'!$C$234:$C$336,'PIS B'!$B94)*-1000*$A$4</f>
        <v>-57771.618981929998</v>
      </c>
      <c r="Q94" s="100"/>
      <c r="R94" s="103">
        <f t="shared" si="57"/>
        <v>24481.292018070009</v>
      </c>
      <c r="T94" s="13">
        <f t="shared" si="58"/>
        <v>0</v>
      </c>
      <c r="V94" s="22">
        <f t="shared" si="53"/>
        <v>-57771.618981929998</v>
      </c>
      <c r="W94" s="98">
        <f>SUMIFS('FCPIS B'!$S$6:$S$110,'FCPIS B'!$B$6:$B$110,'PIS B'!$A94,'FCPIS B'!$C$6:$C$110,'PIS B'!$B94)*1000*$A$4</f>
        <v>82252.910999999978</v>
      </c>
      <c r="X94" s="98">
        <f t="shared" si="59"/>
        <v>0</v>
      </c>
    </row>
    <row r="95" spans="1:24" s="19" customFormat="1">
      <c r="A95" s="19" t="s">
        <v>452</v>
      </c>
      <c r="B95" s="2"/>
      <c r="C95" s="100" t="s">
        <v>473</v>
      </c>
      <c r="D95" s="23">
        <f>SUMIFS('FCPIS B'!$G$6:$G$110,'FCPIS B'!$B$6:$B$110,'PIS B'!$A95,'FCPIS B'!$C$6:$C$110,'PIS B'!$B95)*1000*$A$4</f>
        <v>0</v>
      </c>
      <c r="E95" s="25"/>
      <c r="F95" s="25">
        <f>SUMIFS('FCPIS B'!$T$113:$T$184,'FCPIS B'!$B$113:$B$184,'PIS B'!$A95,'FCPIS B'!$C$113:$C$184,'PIS B'!$B95)*1000*$A$4</f>
        <v>0</v>
      </c>
      <c r="G95" s="25"/>
      <c r="H95" s="25">
        <f>SUMIFS('FCPIS B'!$T$187:$T$231,'FCPIS B'!$B$187:$B$231,'PIS B'!$A95,'FCPIS B'!$C$187:$C$231,'PIS B'!$B95)*-1000*$A$4</f>
        <v>0</v>
      </c>
      <c r="I95" s="25"/>
      <c r="J95" s="25">
        <f>SUMIFS('FCPIS B'!$T$323:$T$338,'FCPIS B'!$B$323:$B$338,'PIS B'!$A95,'FCPIS B'!$C$323:$C$338,'PIS B'!$B95)*1000*$A$4</f>
        <v>0</v>
      </c>
      <c r="K95" s="25"/>
      <c r="L95" s="25">
        <f t="shared" si="55"/>
        <v>0</v>
      </c>
      <c r="M95" s="25"/>
      <c r="N95" s="23">
        <f t="shared" si="56"/>
        <v>0</v>
      </c>
      <c r="O95" s="100"/>
      <c r="P95" s="103">
        <f>SUMIFS('FCPIS B'!$S$234:$S$336,'FCPIS B'!$B$234:$B$336,'PIS B'!$A95,'FCPIS B'!$C$234:$C$336,'PIS B'!$B95)*-1000*$A$4</f>
        <v>0</v>
      </c>
      <c r="Q95" s="100"/>
      <c r="R95" s="103">
        <f t="shared" si="57"/>
        <v>0</v>
      </c>
      <c r="T95" s="13">
        <f t="shared" si="58"/>
        <v>0</v>
      </c>
      <c r="V95" s="22">
        <f t="shared" si="53"/>
        <v>0</v>
      </c>
      <c r="W95" s="98">
        <f>SUMIFS('FCPIS B'!$S$6:$S$110,'FCPIS B'!$B$6:$B$110,'PIS B'!$A95,'FCPIS B'!$C$6:$C$110,'PIS B'!$B95)*1000*$A$4</f>
        <v>0</v>
      </c>
      <c r="X95" s="98">
        <f t="shared" si="59"/>
        <v>0</v>
      </c>
    </row>
    <row r="96" spans="1:24" s="19" customFormat="1">
      <c r="A96" s="19" t="s">
        <v>452</v>
      </c>
      <c r="B96" s="2"/>
      <c r="C96" s="100" t="s">
        <v>474</v>
      </c>
      <c r="D96" s="23">
        <f>SUMIFS('FCPIS B'!$G$6:$G$110,'FCPIS B'!$B$6:$B$110,'PIS B'!$A96,'FCPIS B'!$C$6:$C$110,'PIS B'!$B96)*1000*$A$4</f>
        <v>0</v>
      </c>
      <c r="E96" s="25"/>
      <c r="F96" s="25">
        <f>SUMIFS('FCPIS B'!$T$113:$T$184,'FCPIS B'!$B$113:$B$184,'PIS B'!$A96,'FCPIS B'!$C$113:$C$184,'PIS B'!$B96)*1000*$A$4</f>
        <v>0</v>
      </c>
      <c r="G96" s="25"/>
      <c r="H96" s="25">
        <f>SUMIFS('FCPIS B'!$T$187:$T$231,'FCPIS B'!$B$187:$B$231,'PIS B'!$A96,'FCPIS B'!$C$187:$C$231,'PIS B'!$B96)*-1000*$A$4</f>
        <v>0</v>
      </c>
      <c r="I96" s="25"/>
      <c r="J96" s="25">
        <f>SUMIFS('FCPIS B'!$T$323:$T$338,'FCPIS B'!$B$323:$B$338,'PIS B'!$A96,'FCPIS B'!$C$323:$C$338,'PIS B'!$B96)*1000*$A$4</f>
        <v>0</v>
      </c>
      <c r="K96" s="25"/>
      <c r="L96" s="25">
        <f t="shared" si="55"/>
        <v>0</v>
      </c>
      <c r="M96" s="25"/>
      <c r="N96" s="23">
        <f t="shared" si="56"/>
        <v>0</v>
      </c>
      <c r="O96" s="100"/>
      <c r="P96" s="103">
        <f>SUMIFS('FCPIS B'!$S$234:$S$336,'FCPIS B'!$B$234:$B$336,'PIS B'!$A96,'FCPIS B'!$C$234:$C$336,'PIS B'!$B96)*-1000*$A$4</f>
        <v>0</v>
      </c>
      <c r="Q96" s="100"/>
      <c r="R96" s="103">
        <f t="shared" si="57"/>
        <v>0</v>
      </c>
      <c r="T96" s="13">
        <f t="shared" si="58"/>
        <v>0</v>
      </c>
      <c r="V96" s="22">
        <f t="shared" si="53"/>
        <v>0</v>
      </c>
      <c r="W96" s="98">
        <f>SUMIFS('FCPIS B'!$S$6:$S$110,'FCPIS B'!$B$6:$B$110,'PIS B'!$A96,'FCPIS B'!$C$6:$C$110,'PIS B'!$B96)*1000*$A$4</f>
        <v>0</v>
      </c>
      <c r="X96" s="98">
        <f t="shared" si="59"/>
        <v>0</v>
      </c>
    </row>
    <row r="97" spans="1:24" s="19" customFormat="1">
      <c r="A97" s="19" t="s">
        <v>452</v>
      </c>
      <c r="B97" s="2" t="str">
        <f t="shared" si="49"/>
        <v>393</v>
      </c>
      <c r="C97" s="100" t="s">
        <v>475</v>
      </c>
      <c r="D97" s="23">
        <f>SUMIFS('FCPIS B'!$G$6:$G$110,'FCPIS B'!$B$6:$B$110,'PIS B'!$A97,'FCPIS B'!$C$6:$C$110,'PIS B'!$B97)*1000*$A$4</f>
        <v>449429.84399999998</v>
      </c>
      <c r="E97" s="25"/>
      <c r="F97" s="25">
        <f>SUMIFS('FCPIS B'!$T$113:$T$184,'FCPIS B'!$B$113:$B$184,'PIS B'!$A97,'FCPIS B'!$C$113:$C$184,'PIS B'!$B97)*1000*$A$4</f>
        <v>-8107.3380000000006</v>
      </c>
      <c r="G97" s="25"/>
      <c r="H97" s="25">
        <f>SUMIFS('FCPIS B'!$T$187:$T$231,'FCPIS B'!$B$187:$B$231,'PIS B'!$A97,'FCPIS B'!$C$187:$C$231,'PIS B'!$B97)*-1000*$A$4</f>
        <v>0</v>
      </c>
      <c r="I97" s="25"/>
      <c r="J97" s="25">
        <f>SUMIFS('FCPIS B'!$T$323:$T$338,'FCPIS B'!$B$323:$B$338,'PIS B'!$A97,'FCPIS B'!$C$323:$C$338,'PIS B'!$B97)*1000*$A$4</f>
        <v>0</v>
      </c>
      <c r="K97" s="25"/>
      <c r="L97" s="25">
        <f t="shared" si="55"/>
        <v>-8107.3380000000006</v>
      </c>
      <c r="M97" s="25"/>
      <c r="N97" s="23">
        <f t="shared" si="56"/>
        <v>441322.50599999999</v>
      </c>
      <c r="O97" s="100"/>
      <c r="P97" s="103">
        <f>SUMIFS('FCPIS B'!$S$234:$S$336,'FCPIS B'!$B$234:$B$336,'PIS B'!$A97,'FCPIS B'!$C$234:$C$336,'PIS B'!$B97)*-1000*$A$4</f>
        <v>-278521.62992459995</v>
      </c>
      <c r="Q97" s="100"/>
      <c r="R97" s="103">
        <f t="shared" si="57"/>
        <v>162800.87607540004</v>
      </c>
      <c r="T97" s="13">
        <f t="shared" si="58"/>
        <v>0</v>
      </c>
      <c r="V97" s="22">
        <f t="shared" si="53"/>
        <v>-278521.62992459995</v>
      </c>
      <c r="W97" s="98">
        <f>SUMIFS('FCPIS B'!$S$6:$S$110,'FCPIS B'!$B$6:$B$110,'PIS B'!$A97,'FCPIS B'!$C$6:$C$110,'PIS B'!$B97)*1000*$A$4</f>
        <v>441322.50599999999</v>
      </c>
      <c r="X97" s="98">
        <f t="shared" si="59"/>
        <v>0</v>
      </c>
    </row>
    <row r="98" spans="1:24" s="19" customFormat="1">
      <c r="A98" s="19" t="s">
        <v>452</v>
      </c>
      <c r="B98" s="2" t="str">
        <f t="shared" si="49"/>
        <v>394</v>
      </c>
      <c r="C98" s="100" t="s">
        <v>476</v>
      </c>
      <c r="D98" s="23">
        <f>SUMIFS('FCPIS B'!$G$6:$G$110,'FCPIS B'!$B$6:$B$110,'PIS B'!$A98,'FCPIS B'!$C$6:$C$110,'PIS B'!$B98)*1000*$A$4</f>
        <v>1197777.048</v>
      </c>
      <c r="E98" s="25"/>
      <c r="F98" s="25">
        <f>SUMIFS('FCPIS B'!$T$113:$T$184,'FCPIS B'!$B$113:$B$184,'PIS B'!$A98,'FCPIS B'!$C$113:$C$184,'PIS B'!$B98)*1000*$A$4</f>
        <v>11852.525999999996</v>
      </c>
      <c r="G98" s="25"/>
      <c r="H98" s="25">
        <f>SUMIFS('FCPIS B'!$T$187:$T$231,'FCPIS B'!$B$187:$B$231,'PIS B'!$A98,'FCPIS B'!$C$187:$C$231,'PIS B'!$B98)*-1000*$A$4</f>
        <v>0</v>
      </c>
      <c r="I98" s="25"/>
      <c r="J98" s="25">
        <f>SUMIFS('FCPIS B'!$T$323:$T$338,'FCPIS B'!$B$323:$B$338,'PIS B'!$A98,'FCPIS B'!$C$323:$C$338,'PIS B'!$B98)*1000*$A$4</f>
        <v>0</v>
      </c>
      <c r="K98" s="25"/>
      <c r="L98" s="25">
        <f t="shared" si="55"/>
        <v>11852.525999999996</v>
      </c>
      <c r="M98" s="25"/>
      <c r="N98" s="23">
        <f t="shared" si="56"/>
        <v>1209629.574</v>
      </c>
      <c r="O98" s="100"/>
      <c r="P98" s="103">
        <f>SUMIFS('FCPIS B'!$S$234:$S$336,'FCPIS B'!$B$234:$B$336,'PIS B'!$A98,'FCPIS B'!$C$234:$C$336,'PIS B'!$B98)*-1000*$A$4</f>
        <v>-672545.63718900003</v>
      </c>
      <c r="Q98" s="100"/>
      <c r="R98" s="103">
        <f t="shared" si="57"/>
        <v>537083.93681099999</v>
      </c>
      <c r="T98" s="13">
        <f t="shared" si="58"/>
        <v>0</v>
      </c>
      <c r="V98" s="22">
        <f t="shared" si="53"/>
        <v>-672545.63718900003</v>
      </c>
      <c r="W98" s="98">
        <f>SUMIFS('FCPIS B'!$S$6:$S$110,'FCPIS B'!$B$6:$B$110,'PIS B'!$A98,'FCPIS B'!$C$6:$C$110,'PIS B'!$B98)*1000*$A$4</f>
        <v>1209629.574</v>
      </c>
      <c r="X98" s="98">
        <f t="shared" si="59"/>
        <v>0</v>
      </c>
    </row>
    <row r="99" spans="1:24" s="19" customFormat="1">
      <c r="A99" s="19" t="s">
        <v>452</v>
      </c>
      <c r="B99" s="2" t="str">
        <f t="shared" si="49"/>
        <v>395</v>
      </c>
      <c r="C99" s="100" t="s">
        <v>477</v>
      </c>
      <c r="D99" s="23">
        <f>SUMIFS('FCPIS B'!$G$6:$G$110,'FCPIS B'!$B$6:$B$110,'PIS B'!$A99,'FCPIS B'!$C$6:$C$110,'PIS B'!$B99)*1000*$A$4</f>
        <v>0</v>
      </c>
      <c r="E99" s="25"/>
      <c r="F99" s="25">
        <f>SUMIFS('FCPIS B'!$T$113:$T$184,'FCPIS B'!$B$113:$B$184,'PIS B'!$A99,'FCPIS B'!$C$113:$C$184,'PIS B'!$B99)*1000*$A$4</f>
        <v>0</v>
      </c>
      <c r="G99" s="25"/>
      <c r="H99" s="25">
        <f>SUMIFS('FCPIS B'!$T$187:$T$231,'FCPIS B'!$B$187:$B$231,'PIS B'!$A99,'FCPIS B'!$C$187:$C$231,'PIS B'!$B99)*-1000*$A$4</f>
        <v>0</v>
      </c>
      <c r="I99" s="25"/>
      <c r="J99" s="25">
        <f>SUMIFS('FCPIS B'!$T$323:$T$338,'FCPIS B'!$B$323:$B$338,'PIS B'!$A99,'FCPIS B'!$C$323:$C$338,'PIS B'!$B99)*1000*$A$4</f>
        <v>0</v>
      </c>
      <c r="K99" s="25"/>
      <c r="L99" s="25">
        <f t="shared" si="55"/>
        <v>0</v>
      </c>
      <c r="M99" s="25"/>
      <c r="N99" s="23">
        <f t="shared" si="56"/>
        <v>0</v>
      </c>
      <c r="O99" s="100"/>
      <c r="P99" s="103">
        <f>SUMIFS('FCPIS B'!$S$234:$S$336,'FCPIS B'!$B$234:$B$336,'PIS B'!$A99,'FCPIS B'!$C$234:$C$336,'PIS B'!$B99)*-1000*$A$4</f>
        <v>0</v>
      </c>
      <c r="Q99" s="100"/>
      <c r="R99" s="103">
        <f t="shared" si="57"/>
        <v>0</v>
      </c>
      <c r="T99" s="13">
        <f t="shared" si="58"/>
        <v>0</v>
      </c>
      <c r="V99" s="22">
        <f t="shared" si="53"/>
        <v>0</v>
      </c>
      <c r="W99" s="98">
        <f>SUMIFS('FCPIS B'!$S$6:$S$110,'FCPIS B'!$B$6:$B$110,'PIS B'!$A99,'FCPIS B'!$C$6:$C$110,'PIS B'!$B99)*1000*$A$4</f>
        <v>0</v>
      </c>
      <c r="X99" s="98">
        <f t="shared" si="59"/>
        <v>0</v>
      </c>
    </row>
    <row r="100" spans="1:24" s="19" customFormat="1">
      <c r="A100" s="19" t="s">
        <v>452</v>
      </c>
      <c r="B100" s="2" t="str">
        <f t="shared" si="49"/>
        <v>396</v>
      </c>
      <c r="C100" s="100" t="s">
        <v>478</v>
      </c>
      <c r="D100" s="23">
        <f>SUMIFS('FCPIS B'!$G$6:$G$110,'FCPIS B'!$B$6:$B$110,'PIS B'!$A100,'FCPIS B'!$C$6:$C$110,'PIS B'!$B100)*1000*$A$4</f>
        <v>94668.524999999994</v>
      </c>
      <c r="E100" s="25"/>
      <c r="F100" s="25">
        <f>SUMIFS('FCPIS B'!$T$113:$T$184,'FCPIS B'!$B$113:$B$184,'PIS B'!$A100,'FCPIS B'!$C$113:$C$184,'PIS B'!$B100)*1000*$A$4</f>
        <v>8107.3380000000006</v>
      </c>
      <c r="G100" s="25"/>
      <c r="H100" s="25">
        <f>SUMIFS('FCPIS B'!$T$187:$T$231,'FCPIS B'!$B$187:$B$231,'PIS B'!$A100,'FCPIS B'!$C$187:$C$231,'PIS B'!$B100)*-1000*$A$4</f>
        <v>0</v>
      </c>
      <c r="I100" s="25"/>
      <c r="J100" s="25">
        <f>SUMIFS('FCPIS B'!$T$323:$T$338,'FCPIS B'!$B$323:$B$338,'PIS B'!$A100,'FCPIS B'!$C$323:$C$338,'PIS B'!$B100)*1000*$A$4</f>
        <v>0</v>
      </c>
      <c r="K100" s="25"/>
      <c r="L100" s="25">
        <f t="shared" si="55"/>
        <v>8107.3380000000006</v>
      </c>
      <c r="M100" s="25"/>
      <c r="N100" s="23">
        <f t="shared" si="56"/>
        <v>102775.863</v>
      </c>
      <c r="O100" s="100"/>
      <c r="P100" s="103">
        <f>SUMIFS('FCPIS B'!$S$234:$S$336,'FCPIS B'!$B$234:$B$336,'PIS B'!$A100,'FCPIS B'!$C$234:$C$336,'PIS B'!$B100)*-1000*$A$4</f>
        <v>-90458.589473394575</v>
      </c>
      <c r="Q100" s="100"/>
      <c r="R100" s="103">
        <f t="shared" si="57"/>
        <v>12317.273526605422</v>
      </c>
      <c r="T100" s="13">
        <f t="shared" si="58"/>
        <v>0</v>
      </c>
      <c r="V100" s="22">
        <f t="shared" si="53"/>
        <v>-90458.589473394575</v>
      </c>
      <c r="W100" s="98">
        <f>SUMIFS('FCPIS B'!$S$6:$S$110,'FCPIS B'!$B$6:$B$110,'PIS B'!$A100,'FCPIS B'!$C$6:$C$110,'PIS B'!$B100)*1000*$A$4</f>
        <v>102775.863</v>
      </c>
      <c r="X100" s="98">
        <f t="shared" si="59"/>
        <v>0</v>
      </c>
    </row>
    <row r="101" spans="1:24" s="19" customFormat="1">
      <c r="A101" s="19" t="s">
        <v>452</v>
      </c>
      <c r="B101" s="2"/>
      <c r="C101" s="100" t="s">
        <v>479</v>
      </c>
      <c r="D101" s="23">
        <f>SUMIFS('FCPIS B'!$G$6:$G$110,'FCPIS B'!$B$6:$B$110,'PIS B'!$A101,'FCPIS B'!$C$6:$C$110,'PIS B'!$B101)*1000*$A$4</f>
        <v>0</v>
      </c>
      <c r="E101" s="25"/>
      <c r="F101" s="25">
        <f>SUMIFS('FCPIS B'!$T$113:$T$184,'FCPIS B'!$B$113:$B$184,'PIS B'!$A101,'FCPIS B'!$C$113:$C$184,'PIS B'!$B101)*1000*$A$4</f>
        <v>0</v>
      </c>
      <c r="G101" s="25"/>
      <c r="H101" s="25">
        <f>SUMIFS('FCPIS B'!$T$187:$T$231,'FCPIS B'!$B$187:$B$231,'PIS B'!$A101,'FCPIS B'!$C$187:$C$231,'PIS B'!$B101)*-1000*$A$4</f>
        <v>0</v>
      </c>
      <c r="I101" s="25"/>
      <c r="J101" s="25">
        <f>SUMIFS('FCPIS B'!$T$323:$T$338,'FCPIS B'!$B$323:$B$338,'PIS B'!$A101,'FCPIS B'!$C$323:$C$338,'PIS B'!$B101)*1000*$A$4</f>
        <v>0</v>
      </c>
      <c r="K101" s="25"/>
      <c r="L101" s="25">
        <f t="shared" si="55"/>
        <v>0</v>
      </c>
      <c r="M101" s="25"/>
      <c r="N101" s="23">
        <f t="shared" si="56"/>
        <v>0</v>
      </c>
      <c r="O101" s="100"/>
      <c r="P101" s="103">
        <f>SUMIFS('FCPIS B'!$S$234:$S$336,'FCPIS B'!$B$234:$B$336,'PIS B'!$A101,'FCPIS B'!$C$234:$C$336,'PIS B'!$B101)*-1000*$A$4</f>
        <v>0</v>
      </c>
      <c r="Q101" s="100"/>
      <c r="R101" s="103">
        <f t="shared" si="57"/>
        <v>0</v>
      </c>
      <c r="T101" s="13">
        <f t="shared" si="58"/>
        <v>0</v>
      </c>
      <c r="V101" s="22">
        <f t="shared" si="53"/>
        <v>0</v>
      </c>
      <c r="W101" s="98">
        <f>SUMIFS('FCPIS B'!$S$6:$S$110,'FCPIS B'!$B$6:$B$110,'PIS B'!$A101,'FCPIS B'!$C$6:$C$110,'PIS B'!$B101)*1000*$A$4</f>
        <v>0</v>
      </c>
      <c r="X101" s="98">
        <f t="shared" si="59"/>
        <v>0</v>
      </c>
    </row>
    <row r="102" spans="1:24" s="19" customFormat="1">
      <c r="A102" s="19" t="s">
        <v>452</v>
      </c>
      <c r="B102" s="2" t="str">
        <f t="shared" si="49"/>
        <v>397</v>
      </c>
      <c r="C102" s="100" t="s">
        <v>480</v>
      </c>
      <c r="D102" s="23">
        <f>SUMIFS('FCPIS B'!$G$6:$G$110,'FCPIS B'!$B$6:$B$110,'PIS B'!$A102,'FCPIS B'!$C$6:$C$110,'PIS B'!$B102)*1000*$A$4</f>
        <v>13846590.176999999</v>
      </c>
      <c r="E102" s="25"/>
      <c r="F102" s="25">
        <f>SUMIFS('FCPIS B'!$T$113:$T$184,'FCPIS B'!$B$113:$B$184,'PIS B'!$A102,'FCPIS B'!$C$113:$C$184,'PIS B'!$B102)*1000*$A$4</f>
        <v>1472890.5360000001</v>
      </c>
      <c r="G102" s="25"/>
      <c r="H102" s="25">
        <f>SUMIFS('FCPIS B'!$T$187:$T$231,'FCPIS B'!$B$187:$B$231,'PIS B'!$A102,'FCPIS B'!$C$187:$C$231,'PIS B'!$B102)*-1000*$A$4</f>
        <v>-2975609.5050000004</v>
      </c>
      <c r="I102" s="25"/>
      <c r="J102" s="25">
        <f>SUMIFS('FCPIS B'!$T$323:$T$338,'FCPIS B'!$B$323:$B$338,'PIS B'!$A102,'FCPIS B'!$C$323:$C$338,'PIS B'!$B102)*1000*$A$4</f>
        <v>0</v>
      </c>
      <c r="K102" s="25"/>
      <c r="L102" s="25">
        <f t="shared" si="55"/>
        <v>-1502718.9690000003</v>
      </c>
      <c r="M102" s="25"/>
      <c r="N102" s="23">
        <f t="shared" si="56"/>
        <v>12343871.207999999</v>
      </c>
      <c r="O102" s="100"/>
      <c r="P102" s="103">
        <f>SUMIFS('FCPIS B'!$S$234:$S$336,'FCPIS B'!$B$234:$B$336,'PIS B'!$A102,'FCPIS B'!$C$234:$C$336,'PIS B'!$B102)*-1000*$A$4</f>
        <v>-9458880.1510965005</v>
      </c>
      <c r="Q102" s="100"/>
      <c r="R102" s="103">
        <f t="shared" si="57"/>
        <v>2884991.0569034982</v>
      </c>
      <c r="T102" s="13">
        <f t="shared" si="58"/>
        <v>0</v>
      </c>
      <c r="V102" s="22">
        <f t="shared" si="53"/>
        <v>-9458880.1510965005</v>
      </c>
      <c r="W102" s="98">
        <f>SUMIFS('FCPIS B'!$S$6:$S$110,'FCPIS B'!$B$6:$B$110,'PIS B'!$A102,'FCPIS B'!$C$6:$C$110,'PIS B'!$B102)*1000*$A$4</f>
        <v>12343871.207999999</v>
      </c>
      <c r="X102" s="98">
        <f t="shared" si="59"/>
        <v>0</v>
      </c>
    </row>
    <row r="103" spans="1:24" s="19" customFormat="1">
      <c r="A103" s="19" t="s">
        <v>452</v>
      </c>
      <c r="B103" s="2"/>
      <c r="C103" s="100" t="s">
        <v>481</v>
      </c>
      <c r="D103" s="23">
        <f>SUMIFS('FCPIS B'!$G$6:$G$110,'FCPIS B'!$B$6:$B$110,'PIS B'!$A103,'FCPIS B'!$C$6:$C$110,'PIS B'!$B103)*1000*$A$4</f>
        <v>0</v>
      </c>
      <c r="E103" s="25"/>
      <c r="F103" s="25">
        <f>SUMIFS('FCPIS B'!$T$113:$T$184,'FCPIS B'!$B$113:$B$184,'PIS B'!$A103,'FCPIS B'!$C$113:$C$184,'PIS B'!$B103)*1000*$A$4</f>
        <v>0</v>
      </c>
      <c r="G103" s="25"/>
      <c r="H103" s="25">
        <f>SUMIFS('FCPIS B'!$T$187:$T$231,'FCPIS B'!$B$187:$B$231,'PIS B'!$A103,'FCPIS B'!$C$187:$C$231,'PIS B'!$B103)*-1000*$A$4</f>
        <v>0</v>
      </c>
      <c r="I103" s="25"/>
      <c r="J103" s="25">
        <f>SUMIFS('FCPIS B'!$T$323:$T$338,'FCPIS B'!$B$323:$B$338,'PIS B'!$A103,'FCPIS B'!$C$323:$C$338,'PIS B'!$B103)*1000*$A$4</f>
        <v>0</v>
      </c>
      <c r="K103" s="25"/>
      <c r="L103" s="25">
        <f t="shared" si="55"/>
        <v>0</v>
      </c>
      <c r="M103" s="25"/>
      <c r="N103" s="23">
        <f t="shared" si="56"/>
        <v>0</v>
      </c>
      <c r="O103" s="100"/>
      <c r="P103" s="103">
        <f>SUMIFS('FCPIS B'!$S$234:$S$336,'FCPIS B'!$B$234:$B$336,'PIS B'!$A103,'FCPIS B'!$C$234:$C$336,'PIS B'!$B103)*-1000*$A$4</f>
        <v>0</v>
      </c>
      <c r="Q103" s="100"/>
      <c r="R103" s="103">
        <f t="shared" si="57"/>
        <v>0</v>
      </c>
      <c r="T103" s="13">
        <f t="shared" si="58"/>
        <v>0</v>
      </c>
      <c r="V103" s="22">
        <f t="shared" si="53"/>
        <v>0</v>
      </c>
      <c r="W103" s="98">
        <f>SUMIFS('FCPIS B'!$S$6:$S$110,'FCPIS B'!$B$6:$B$110,'PIS B'!$A103,'FCPIS B'!$C$6:$C$110,'PIS B'!$B103)*1000*$A$4</f>
        <v>0</v>
      </c>
      <c r="X103" s="98">
        <f t="shared" si="59"/>
        <v>0</v>
      </c>
    </row>
    <row r="104" spans="1:24" s="19" customFormat="1">
      <c r="A104" s="19" t="s">
        <v>452</v>
      </c>
      <c r="B104" s="2" t="str">
        <f t="shared" si="49"/>
        <v>398</v>
      </c>
      <c r="C104" s="100" t="s">
        <v>482</v>
      </c>
      <c r="D104" s="23">
        <f>SUMIFS('FCPIS B'!$G$6:$G$110,'FCPIS B'!$B$6:$B$110,'PIS B'!$A104,'FCPIS B'!$C$6:$C$110,'PIS B'!$B104)*1000*$A$4</f>
        <v>0</v>
      </c>
      <c r="E104" s="25"/>
      <c r="F104" s="25">
        <f>SUMIFS('FCPIS B'!$T$113:$T$184,'FCPIS B'!$B$113:$B$184,'PIS B'!$A104,'FCPIS B'!$C$113:$C$184,'PIS B'!$B104)*1000*$A$4</f>
        <v>0</v>
      </c>
      <c r="G104" s="25"/>
      <c r="H104" s="25">
        <f>SUMIFS('FCPIS B'!$T$187:$T$231,'FCPIS B'!$B$187:$B$231,'PIS B'!$A104,'FCPIS B'!$C$187:$C$231,'PIS B'!$B104)*-1000*$A$4</f>
        <v>0</v>
      </c>
      <c r="I104" s="25"/>
      <c r="J104" s="25">
        <f>SUMIFS('FCPIS B'!$T$323:$T$338,'FCPIS B'!$B$323:$B$338,'PIS B'!$A104,'FCPIS B'!$C$323:$C$338,'PIS B'!$B104)*1000*$A$4</f>
        <v>0</v>
      </c>
      <c r="K104" s="25"/>
      <c r="L104" s="25">
        <f t="shared" si="55"/>
        <v>0</v>
      </c>
      <c r="M104" s="25"/>
      <c r="N104" s="23">
        <f t="shared" si="56"/>
        <v>0</v>
      </c>
      <c r="O104" s="100"/>
      <c r="P104" s="103">
        <f>SUMIFS('FCPIS B'!$S$234:$S$336,'FCPIS B'!$B$234:$B$336,'PIS B'!$A104,'FCPIS B'!$C$234:$C$336,'PIS B'!$B104)*-1000*$A$4</f>
        <v>0</v>
      </c>
      <c r="Q104" s="100"/>
      <c r="R104" s="103">
        <f t="shared" si="57"/>
        <v>0</v>
      </c>
      <c r="T104" s="13">
        <f t="shared" si="58"/>
        <v>0</v>
      </c>
      <c r="V104" s="22">
        <f t="shared" si="53"/>
        <v>0</v>
      </c>
      <c r="W104" s="98">
        <f>SUMIFS('FCPIS B'!$S$6:$S$110,'FCPIS B'!$B$6:$B$110,'PIS B'!$A104,'FCPIS B'!$C$6:$C$110,'PIS B'!$B104)*1000*$A$4</f>
        <v>0</v>
      </c>
      <c r="X104" s="98">
        <f t="shared" si="59"/>
        <v>0</v>
      </c>
    </row>
    <row r="105" spans="1:24" s="19" customFormat="1">
      <c r="A105" s="19" t="s">
        <v>452</v>
      </c>
      <c r="B105" s="2" t="str">
        <f t="shared" si="49"/>
        <v>399</v>
      </c>
      <c r="C105" s="100" t="s">
        <v>483</v>
      </c>
      <c r="D105" s="23">
        <f>SUMIFS('FCPIS B'!$G$6:$G$110,'FCPIS B'!$B$6:$B$110,'PIS B'!$A105,'FCPIS B'!$C$6:$C$110,'PIS B'!$B105)*1000*$A$4</f>
        <v>0</v>
      </c>
      <c r="E105" s="25"/>
      <c r="F105" s="25">
        <f>SUMIFS('FCPIS B'!$T$113:$T$184,'FCPIS B'!$B$113:$B$184,'PIS B'!$A105,'FCPIS B'!$C$113:$C$184,'PIS B'!$B105)*1000*$A$4</f>
        <v>0</v>
      </c>
      <c r="G105" s="25"/>
      <c r="H105" s="25">
        <f>SUMIFS('FCPIS B'!$T$187:$T$231,'FCPIS B'!$B$187:$B$231,'PIS B'!$A105,'FCPIS B'!$C$187:$C$231,'PIS B'!$B105)*-1000*$A$4</f>
        <v>0</v>
      </c>
      <c r="I105" s="25"/>
      <c r="J105" s="25">
        <f>SUMIFS('FCPIS B'!$T$323:$T$338,'FCPIS B'!$B$323:$B$338,'PIS B'!$A105,'FCPIS B'!$C$323:$C$338,'PIS B'!$B105)*1000*$A$4</f>
        <v>0</v>
      </c>
      <c r="K105" s="25"/>
      <c r="L105" s="25">
        <f t="shared" si="55"/>
        <v>0</v>
      </c>
      <c r="M105" s="25"/>
      <c r="N105" s="23">
        <f t="shared" si="56"/>
        <v>0</v>
      </c>
      <c r="O105" s="100"/>
      <c r="P105" s="103">
        <f>SUMIFS('FCPIS B'!$S$234:$S$336,'FCPIS B'!$B$234:$B$336,'PIS B'!$A105,'FCPIS B'!$C$234:$C$336,'PIS B'!$B105)*-1000*$A$4</f>
        <v>0</v>
      </c>
      <c r="Q105" s="100"/>
      <c r="R105" s="103">
        <f t="shared" si="57"/>
        <v>0</v>
      </c>
      <c r="T105" s="13">
        <f t="shared" si="58"/>
        <v>0</v>
      </c>
      <c r="V105" s="22">
        <f t="shared" si="53"/>
        <v>0</v>
      </c>
      <c r="W105" s="98">
        <f>SUMIFS('FCPIS B'!$S$6:$S$110,'FCPIS B'!$B$6:$B$110,'PIS B'!$A105,'FCPIS B'!$C$6:$C$110,'PIS B'!$B105)*1000*$A$4</f>
        <v>0</v>
      </c>
      <c r="X105" s="98">
        <f t="shared" si="59"/>
        <v>0</v>
      </c>
    </row>
    <row r="106" spans="1:24" s="19" customFormat="1">
      <c r="A106" s="19" t="s">
        <v>452</v>
      </c>
      <c r="B106" s="2" t="str">
        <f t="shared" si="49"/>
        <v>301</v>
      </c>
      <c r="C106" s="100" t="s">
        <v>484</v>
      </c>
      <c r="D106" s="23">
        <f>SUMIFS('FCPIS B'!$G$6:$G$110,'FCPIS B'!$B$6:$B$110,'PIS B'!$A106,'FCPIS B'!$C$6:$C$110,'PIS B'!$B106)*1000*$A$4</f>
        <v>25134.686999999973</v>
      </c>
      <c r="E106" s="25"/>
      <c r="F106" s="25">
        <f>SUMIFS('FCPIS B'!$T$113:$T$184,'FCPIS B'!$B$113:$B$184,'PIS B'!$A106,'FCPIS B'!$C$113:$C$184,'PIS B'!$B106)*1000*$A$4</f>
        <v>0</v>
      </c>
      <c r="G106" s="25"/>
      <c r="H106" s="25">
        <f>SUMIFS('FCPIS B'!$T$187:$T$231,'FCPIS B'!$B$187:$B$231,'PIS B'!$A106,'FCPIS B'!$C$187:$C$231,'PIS B'!$B106)*-1000*$A$4</f>
        <v>0</v>
      </c>
      <c r="I106" s="25"/>
      <c r="J106" s="25">
        <f>SUMIFS('FCPIS B'!$T$323:$T$338,'FCPIS B'!$B$323:$B$338,'PIS B'!$A106,'FCPIS B'!$C$323:$C$338,'PIS B'!$B106)*1000*$A$4</f>
        <v>0</v>
      </c>
      <c r="K106" s="25"/>
      <c r="L106" s="25">
        <f t="shared" si="55"/>
        <v>0</v>
      </c>
      <c r="M106" s="25"/>
      <c r="N106" s="23">
        <f t="shared" si="56"/>
        <v>25134.686999999973</v>
      </c>
      <c r="O106" s="100"/>
      <c r="P106" s="103">
        <f>SUMIFS('FCPIS B'!$S$234:$S$336,'FCPIS B'!$B$234:$B$336,'PIS B'!$A106,'FCPIS B'!$C$234:$C$336,'PIS B'!$B106)*-1000*$A$4</f>
        <v>0</v>
      </c>
      <c r="Q106" s="100"/>
      <c r="R106" s="103">
        <f t="shared" si="57"/>
        <v>25134.686999999973</v>
      </c>
      <c r="T106" s="13">
        <f t="shared" si="58"/>
        <v>0</v>
      </c>
      <c r="V106" s="22">
        <f t="shared" si="53"/>
        <v>0</v>
      </c>
      <c r="W106" s="98">
        <f>SUMIFS('FCPIS B'!$S$6:$S$110,'FCPIS B'!$B$6:$B$110,'PIS B'!$A106,'FCPIS B'!$C$6:$C$110,'PIS B'!$B106)*1000*$A$4</f>
        <v>25134.686999999973</v>
      </c>
      <c r="X106" s="98">
        <f t="shared" si="59"/>
        <v>0</v>
      </c>
    </row>
    <row r="107" spans="1:24" s="19" customFormat="1">
      <c r="A107" s="19" t="s">
        <v>452</v>
      </c>
      <c r="B107" s="2" t="str">
        <f t="shared" si="49"/>
        <v>302</v>
      </c>
      <c r="C107" s="100" t="s">
        <v>485</v>
      </c>
      <c r="D107" s="23">
        <f>SUMIFS('FCPIS B'!$G$6:$G$110,'FCPIS B'!$B$6:$B$110,'PIS B'!$A107,'FCPIS B'!$C$6:$C$110,'PIS B'!$B107)*1000*$A$4</f>
        <v>0</v>
      </c>
      <c r="E107" s="25"/>
      <c r="F107" s="25">
        <f>SUMIFS('FCPIS B'!$T$113:$T$184,'FCPIS B'!$B$113:$B$184,'PIS B'!$A107,'FCPIS B'!$C$113:$C$184,'PIS B'!$B107)*1000*$A$4</f>
        <v>0</v>
      </c>
      <c r="G107" s="25"/>
      <c r="H107" s="25">
        <f>SUMIFS('FCPIS B'!$T$187:$T$231,'FCPIS B'!$B$187:$B$231,'PIS B'!$A107,'FCPIS B'!$C$187:$C$231,'PIS B'!$B107)*-1000*$A$4</f>
        <v>0</v>
      </c>
      <c r="I107" s="25"/>
      <c r="J107" s="25">
        <f>SUMIFS('FCPIS B'!$T$323:$T$338,'FCPIS B'!$B$323:$B$338,'PIS B'!$A107,'FCPIS B'!$C$323:$C$338,'PIS B'!$B107)*1000*$A$4</f>
        <v>0</v>
      </c>
      <c r="K107" s="25"/>
      <c r="L107" s="25">
        <f t="shared" si="55"/>
        <v>0</v>
      </c>
      <c r="M107" s="25"/>
      <c r="N107" s="23">
        <f t="shared" si="56"/>
        <v>0</v>
      </c>
      <c r="O107" s="100"/>
      <c r="P107" s="103">
        <f>SUMIFS('FCPIS B'!$S$234:$S$336,'FCPIS B'!$B$234:$B$336,'PIS B'!$A107,'FCPIS B'!$C$234:$C$336,'PIS B'!$B107)*-1000*$A$4</f>
        <v>0</v>
      </c>
      <c r="Q107" s="100"/>
      <c r="R107" s="103">
        <f t="shared" si="57"/>
        <v>0</v>
      </c>
      <c r="T107" s="13">
        <f t="shared" si="58"/>
        <v>0</v>
      </c>
      <c r="V107" s="22">
        <f t="shared" si="53"/>
        <v>0</v>
      </c>
      <c r="W107" s="98">
        <f>SUMIFS('FCPIS B'!$S$6:$S$110,'FCPIS B'!$B$6:$B$110,'PIS B'!$A107,'FCPIS B'!$C$6:$C$110,'PIS B'!$B107)*1000*$A$4</f>
        <v>0</v>
      </c>
      <c r="X107" s="98">
        <f t="shared" si="59"/>
        <v>0</v>
      </c>
    </row>
    <row r="108" spans="1:24" s="19" customFormat="1">
      <c r="A108" s="19" t="s">
        <v>452</v>
      </c>
      <c r="B108" s="2" t="str">
        <f t="shared" si="49"/>
        <v>303</v>
      </c>
      <c r="C108" s="100" t="s">
        <v>486</v>
      </c>
      <c r="D108" s="23">
        <f>SUMIFS('FCPIS B'!$G$6:$G$110,'FCPIS B'!$B$6:$B$110,'PIS B'!$A108,'FCPIS B'!$C$6:$C$110,'PIS B'!$B108)*1000*$A$4</f>
        <v>28952365.460999999</v>
      </c>
      <c r="E108" s="25"/>
      <c r="F108" s="25">
        <f>SUMIFS('FCPIS B'!$T$113:$T$184,'FCPIS B'!$B$113:$B$184,'PIS B'!$A108,'FCPIS B'!$C$113:$C$184,'PIS B'!$B108)*1000*$A$4</f>
        <v>3764691.8759999964</v>
      </c>
      <c r="G108" s="25"/>
      <c r="H108" s="25">
        <f>SUMIFS('FCPIS B'!$T$187:$T$231,'FCPIS B'!$B$187:$B$231,'PIS B'!$A108,'FCPIS B'!$C$187:$C$231,'PIS B'!$B108)*-1000*$A$4</f>
        <v>-2149544.67</v>
      </c>
      <c r="I108" s="25"/>
      <c r="J108" s="25">
        <f>SUMIFS('FCPIS B'!$T$323:$T$338,'FCPIS B'!$B$323:$B$338,'PIS B'!$A108,'FCPIS B'!$C$323:$C$338,'PIS B'!$B108)*1000*$A$4</f>
        <v>0</v>
      </c>
      <c r="K108" s="25"/>
      <c r="L108" s="25">
        <f t="shared" si="55"/>
        <v>1615147.2059999965</v>
      </c>
      <c r="M108" s="25"/>
      <c r="N108" s="23">
        <f t="shared" si="56"/>
        <v>30567512.666999996</v>
      </c>
      <c r="O108" s="100"/>
      <c r="P108" s="103">
        <f>SUMIFS('FCPIS B'!$S$234:$S$336,'FCPIS B'!$B$234:$B$336,'PIS B'!$A108,'FCPIS B'!$C$234:$C$336,'PIS B'!$B108)*-1000*$A$4</f>
        <v>-16007376.232109968</v>
      </c>
      <c r="Q108" s="100"/>
      <c r="R108" s="103">
        <f t="shared" si="57"/>
        <v>14560136.434890028</v>
      </c>
      <c r="T108" s="13">
        <f t="shared" si="58"/>
        <v>0</v>
      </c>
      <c r="V108" s="22">
        <f t="shared" si="53"/>
        <v>-16007376.232109968</v>
      </c>
      <c r="W108" s="98">
        <f>SUMIFS('FCPIS B'!$S$6:$S$110,'FCPIS B'!$B$6:$B$110,'PIS B'!$A108,'FCPIS B'!$C$6:$C$110,'PIS B'!$B108)*1000*$A$4</f>
        <v>30567512.666999999</v>
      </c>
      <c r="X108" s="98">
        <f t="shared" si="59"/>
        <v>0</v>
      </c>
    </row>
    <row r="109" spans="1:24" s="19" customFormat="1">
      <c r="A109" s="19" t="s">
        <v>452</v>
      </c>
      <c r="B109" s="2"/>
      <c r="C109" s="100" t="s">
        <v>487</v>
      </c>
      <c r="D109" s="23">
        <f>SUMIFS('FCPIS B'!$G$6:$G$110,'FCPIS B'!$B$6:$B$110,'PIS B'!$A109,'FCPIS B'!$C$6:$C$110,'PIS B'!$B109)*1000*$A$4</f>
        <v>0</v>
      </c>
      <c r="E109" s="25"/>
      <c r="F109" s="25">
        <f>SUMIFS('FCPIS B'!$T$113:$T$184,'FCPIS B'!$B$113:$B$184,'PIS B'!$A109,'FCPIS B'!$C$113:$C$184,'PIS B'!$B109)*1000*$A$4</f>
        <v>0</v>
      </c>
      <c r="G109" s="25"/>
      <c r="H109" s="25">
        <f>SUMIFS('FCPIS B'!$T$187:$T$231,'FCPIS B'!$B$187:$B$231,'PIS B'!$A109,'FCPIS B'!$C$187:$C$231,'PIS B'!$B109)*-1000*$A$4</f>
        <v>0</v>
      </c>
      <c r="I109" s="25"/>
      <c r="J109" s="25">
        <f>SUMIFS('FCPIS B'!$T$323:$T$338,'FCPIS B'!$B$323:$B$338,'PIS B'!$A109,'FCPIS B'!$C$323:$C$338,'PIS B'!$B109)*1000*$A$4</f>
        <v>0</v>
      </c>
      <c r="K109" s="25"/>
      <c r="L109" s="25">
        <f t="shared" si="55"/>
        <v>0</v>
      </c>
      <c r="M109" s="25"/>
      <c r="N109" s="23">
        <f t="shared" si="56"/>
        <v>0</v>
      </c>
      <c r="O109" s="100"/>
      <c r="P109" s="103">
        <f>SUMIFS('FCPIS B'!$S$234:$S$336,'FCPIS B'!$B$234:$B$336,'PIS B'!$A109,'FCPIS B'!$C$234:$C$336,'PIS B'!$B109)*-1000*$A$4</f>
        <v>0</v>
      </c>
      <c r="Q109" s="100"/>
      <c r="R109" s="103">
        <f t="shared" si="57"/>
        <v>0</v>
      </c>
      <c r="T109" s="13">
        <f t="shared" si="58"/>
        <v>0</v>
      </c>
      <c r="V109" s="22">
        <f t="shared" si="53"/>
        <v>0</v>
      </c>
      <c r="W109" s="98">
        <f>SUMIFS('FCPIS B'!$S$6:$S$110,'FCPIS B'!$B$6:$B$110,'PIS B'!$A109,'FCPIS B'!$C$6:$C$110,'PIS B'!$B109)*1000*$A$4</f>
        <v>0</v>
      </c>
      <c r="X109" s="98">
        <f t="shared" si="59"/>
        <v>0</v>
      </c>
    </row>
    <row r="110" spans="1:24" s="19" customFormat="1">
      <c r="A110" s="19" t="s">
        <v>452</v>
      </c>
      <c r="B110" s="2"/>
      <c r="C110" s="100" t="s">
        <v>488</v>
      </c>
      <c r="D110" s="29">
        <f>SUMIFS('FCPIS B'!$G$6:$G$110,'FCPIS B'!$B$6:$B$110,'PIS B'!$A110,'FCPIS B'!$C$6:$C$110,'PIS B'!$B110)*1000*$A$4</f>
        <v>0</v>
      </c>
      <c r="E110" s="25"/>
      <c r="F110" s="29">
        <f>SUMIFS('FCPIS B'!$T$113:$T$184,'FCPIS B'!$B$113:$B$184,'PIS B'!$A110,'FCPIS B'!$C$113:$C$184,'PIS B'!$B110)*1000*$A$4</f>
        <v>0</v>
      </c>
      <c r="G110" s="25"/>
      <c r="H110" s="29">
        <f>SUMIFS('FCPIS B'!$T$187:$T$231,'FCPIS B'!$B$187:$B$231,'PIS B'!$A110,'FCPIS B'!$C$187:$C$231,'PIS B'!$B110)*-1000*$A$4</f>
        <v>0</v>
      </c>
      <c r="I110" s="25"/>
      <c r="J110" s="29">
        <f>SUMIFS('FCPIS B'!$T$323:$T$338,'FCPIS B'!$B$323:$B$338,'PIS B'!$A110,'FCPIS B'!$C$323:$C$338,'PIS B'!$B110)*1000*$A$4</f>
        <v>0</v>
      </c>
      <c r="K110" s="25"/>
      <c r="L110" s="29">
        <f t="shared" si="55"/>
        <v>0</v>
      </c>
      <c r="M110" s="25"/>
      <c r="N110" s="29">
        <f t="shared" si="56"/>
        <v>0</v>
      </c>
      <c r="O110" s="100"/>
      <c r="P110" s="104">
        <f>SUMIFS('FCPIS B'!$S$234:$S$336,'FCPIS B'!$B$234:$B$336,'PIS B'!$A110,'FCPIS B'!$C$234:$C$336,'PIS B'!$B110)*-1000*$A$4</f>
        <v>0</v>
      </c>
      <c r="Q110" s="100"/>
      <c r="R110" s="104">
        <f t="shared" si="57"/>
        <v>0</v>
      </c>
      <c r="T110" s="13">
        <f t="shared" si="58"/>
        <v>0</v>
      </c>
      <c r="V110" s="22">
        <f t="shared" si="53"/>
        <v>0</v>
      </c>
      <c r="W110" s="98">
        <f>SUMIFS('FCPIS B'!$S$6:$S$110,'FCPIS B'!$B$6:$B$110,'PIS B'!$A110,'FCPIS B'!$C$6:$C$110,'PIS B'!$B110)*1000*$A$4</f>
        <v>0</v>
      </c>
      <c r="X110" s="98">
        <f t="shared" si="59"/>
        <v>0</v>
      </c>
    </row>
    <row r="111" spans="1:24" s="19" customFormat="1" ht="15">
      <c r="C111" s="100"/>
      <c r="D111" s="25">
        <f>SUM(D81:D110)</f>
        <v>80240563.883999959</v>
      </c>
      <c r="E111" s="25"/>
      <c r="F111" s="25">
        <f>SUM(F81:F110)</f>
        <v>8924585.2499999963</v>
      </c>
      <c r="G111" s="25"/>
      <c r="H111" s="25">
        <f>SUM(H81:H110)</f>
        <v>-7005141.2940000007</v>
      </c>
      <c r="I111" s="25"/>
      <c r="J111" s="25">
        <f>SUM(J81:J110)</f>
        <v>0</v>
      </c>
      <c r="K111" s="25"/>
      <c r="L111" s="25">
        <f>SUM(L81:L110)</f>
        <v>1919443.9559999958</v>
      </c>
      <c r="M111" s="25"/>
      <c r="N111" s="25">
        <f>SUM(N81:N110)</f>
        <v>82160007.839999944</v>
      </c>
      <c r="O111" s="111"/>
      <c r="P111" s="25">
        <f>SUM(P81:P110)</f>
        <v>-42000861.742105283</v>
      </c>
      <c r="Q111"/>
      <c r="R111" s="25">
        <f>SUM(R81:R110)</f>
        <v>40159146.097894683</v>
      </c>
      <c r="T111" s="26">
        <f>SUM('FC CWIP &amp; RWIP B'!Q16)*1000*$A$4</f>
        <v>0</v>
      </c>
      <c r="U111" s="6"/>
      <c r="V111" s="26">
        <f t="shared" ref="V111" si="60">P111+T111</f>
        <v>-42000861.742105283</v>
      </c>
      <c r="W111" s="98"/>
      <c r="X111" s="98"/>
    </row>
    <row r="112" spans="1:24" s="19" customFormat="1" ht="15">
      <c r="C112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111"/>
      <c r="P112" s="25"/>
      <c r="Q112"/>
      <c r="R112" s="25"/>
      <c r="W112" s="98"/>
      <c r="X112" s="98"/>
    </row>
    <row r="113" spans="3:24" s="19" customFormat="1" ht="15">
      <c r="C113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111"/>
      <c r="P113" s="25"/>
      <c r="Q113"/>
      <c r="R113" s="25"/>
      <c r="W113" s="98"/>
      <c r="X113" s="98"/>
    </row>
    <row r="114" spans="3:24" s="19" customFormat="1" ht="15.75" thickBot="1">
      <c r="C114" s="112" t="s">
        <v>489</v>
      </c>
      <c r="D114" s="30">
        <f>D111</f>
        <v>80240563.883999959</v>
      </c>
      <c r="E114" s="111"/>
      <c r="F114" s="30">
        <f>F111</f>
        <v>8924585.2499999963</v>
      </c>
      <c r="G114" s="111"/>
      <c r="H114" s="30">
        <f>H111</f>
        <v>-7005141.2940000007</v>
      </c>
      <c r="I114" s="111"/>
      <c r="J114" s="30">
        <f>J111</f>
        <v>0</v>
      </c>
      <c r="K114" s="111"/>
      <c r="L114" s="30">
        <f>L111</f>
        <v>1919443.9559999958</v>
      </c>
      <c r="M114" s="111"/>
      <c r="N114" s="30">
        <f>N111</f>
        <v>82160007.839999944</v>
      </c>
      <c r="O114" s="111"/>
      <c r="P114" s="30">
        <f>P111</f>
        <v>-42000861.742105283</v>
      </c>
      <c r="Q114"/>
      <c r="R114" s="30">
        <f>R111</f>
        <v>40159146.097894683</v>
      </c>
      <c r="T114" s="30">
        <f>T111</f>
        <v>0</v>
      </c>
      <c r="V114" s="30">
        <f>V111</f>
        <v>-42000861.742105283</v>
      </c>
      <c r="W114" s="98"/>
      <c r="X114" s="98"/>
    </row>
    <row r="115" spans="3:24" s="19" customFormat="1" ht="13.5" thickTop="1">
      <c r="D115" s="98"/>
      <c r="E115" s="99"/>
      <c r="F115" s="98"/>
      <c r="G115" s="99"/>
      <c r="H115" s="98"/>
      <c r="I115" s="99"/>
      <c r="J115" s="98"/>
      <c r="K115" s="99"/>
      <c r="L115" s="98"/>
      <c r="M115" s="99"/>
      <c r="N115" s="98"/>
      <c r="W115" s="98"/>
      <c r="X115" s="98"/>
    </row>
    <row r="116" spans="3:24" s="19" customFormat="1" ht="15.75" thickBot="1">
      <c r="C116" s="112" t="s">
        <v>595</v>
      </c>
      <c r="D116" s="30">
        <f>D71+D114</f>
        <v>1117709279.6639998</v>
      </c>
      <c r="E116" s="111"/>
      <c r="F116" s="30">
        <f>F71+F114</f>
        <v>112864593.60999995</v>
      </c>
      <c r="G116" s="111"/>
      <c r="H116" s="30">
        <f>H71+H114</f>
        <v>-13372313.563999999</v>
      </c>
      <c r="I116" s="111"/>
      <c r="J116" s="30">
        <f>J71+J114</f>
        <v>0</v>
      </c>
      <c r="K116" s="111"/>
      <c r="L116" s="30">
        <f>L71+L114</f>
        <v>99492280.045999929</v>
      </c>
      <c r="M116" s="111"/>
      <c r="N116" s="30">
        <f>N71+N114</f>
        <v>1217201559.7099998</v>
      </c>
      <c r="O116" s="111"/>
      <c r="P116" s="30">
        <f>P71+P114</f>
        <v>-353809256.62281609</v>
      </c>
      <c r="Q116"/>
      <c r="R116" s="30">
        <f>R71+R114</f>
        <v>863392303.08718371</v>
      </c>
      <c r="T116" s="30">
        <f>T71+T114</f>
        <v>54645.679999999993</v>
      </c>
      <c r="V116" s="30">
        <f>V71+V114</f>
        <v>-353754610.94281608</v>
      </c>
      <c r="W116" s="98"/>
      <c r="X116" s="98"/>
    </row>
    <row r="117" spans="3:24" s="19" customFormat="1" ht="13.5" thickTop="1">
      <c r="D117" s="98"/>
      <c r="E117" s="99"/>
      <c r="F117" s="98"/>
      <c r="G117" s="99"/>
      <c r="H117" s="98"/>
      <c r="I117" s="99"/>
      <c r="J117" s="98"/>
      <c r="K117" s="99"/>
      <c r="L117" s="98"/>
      <c r="M117" s="99"/>
      <c r="N117" s="98"/>
      <c r="T117" s="389"/>
      <c r="W117" s="98"/>
      <c r="X117" s="98"/>
    </row>
    <row r="118" spans="3:24" s="19" customFormat="1">
      <c r="C118" s="18"/>
      <c r="D118" s="98"/>
      <c r="E118" s="99"/>
      <c r="F118" s="98"/>
      <c r="G118" s="99"/>
      <c r="H118" s="98"/>
      <c r="I118" s="99"/>
      <c r="J118" s="98"/>
      <c r="K118" s="99"/>
      <c r="L118" s="98"/>
      <c r="M118" s="99"/>
      <c r="N118" s="98"/>
      <c r="W118" s="98"/>
      <c r="X118" s="98"/>
    </row>
    <row r="119" spans="3:24" s="19" customFormat="1">
      <c r="D119" s="98"/>
      <c r="E119" s="99"/>
      <c r="F119" s="98"/>
      <c r="G119" s="99"/>
      <c r="H119" s="98"/>
      <c r="I119" s="99"/>
      <c r="J119" s="98"/>
      <c r="K119" s="99"/>
      <c r="L119" s="98"/>
      <c r="M119" s="99"/>
      <c r="N119" s="98"/>
      <c r="W119" s="98"/>
      <c r="X119" s="98"/>
    </row>
    <row r="120" spans="3:24" s="19" customFormat="1">
      <c r="D120" s="98"/>
      <c r="E120" s="99"/>
      <c r="F120" s="98"/>
      <c r="G120" s="99"/>
      <c r="H120" s="98"/>
      <c r="I120" s="99"/>
      <c r="J120" s="98"/>
      <c r="K120" s="99"/>
      <c r="L120" s="98"/>
      <c r="M120" s="99"/>
      <c r="N120" s="98"/>
      <c r="W120" s="98"/>
      <c r="X120" s="98"/>
    </row>
    <row r="121" spans="3:24" s="19" customFormat="1">
      <c r="D121" s="98"/>
      <c r="E121" s="99"/>
      <c r="F121" s="98"/>
      <c r="G121" s="99"/>
      <c r="H121" s="98"/>
      <c r="I121" s="99"/>
      <c r="J121" s="98"/>
      <c r="K121" s="99"/>
      <c r="L121" s="98"/>
      <c r="M121" s="99"/>
      <c r="N121" s="98"/>
      <c r="W121" s="98"/>
      <c r="X121" s="98"/>
    </row>
  </sheetData>
  <mergeCells count="3">
    <mergeCell ref="C1:R1"/>
    <mergeCell ref="C2:R2"/>
    <mergeCell ref="C3:R3"/>
  </mergeCells>
  <pageMargins left="0.75" right="0.75" top="1" bottom="1" header="0.5" footer="0.5"/>
  <pageSetup scale="46" fitToHeight="0" orientation="landscape" r:id="rId1"/>
  <headerFooter alignWithMargins="0"/>
  <rowBreaks count="1" manualBreakCount="1">
    <brk id="10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U334"/>
  <sheetViews>
    <sheetView zoomScale="85" zoomScaleNormal="85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S228" sqref="S228"/>
    </sheetView>
  </sheetViews>
  <sheetFormatPr defaultColWidth="7.77734375" defaultRowHeight="15"/>
  <cols>
    <col min="1" max="1" width="5.21875" style="118" customWidth="1"/>
    <col min="2" max="2" width="5.77734375" style="118" customWidth="1"/>
    <col min="3" max="3" width="9" style="118" customWidth="1"/>
    <col min="4" max="4" width="58.33203125" style="113" bestFit="1" customWidth="1"/>
    <col min="5" max="5" width="13.88671875" style="113" customWidth="1"/>
    <col min="6" max="20" width="9.33203125" style="118" customWidth="1"/>
    <col min="21" max="16384" width="7.77734375" style="118"/>
  </cols>
  <sheetData>
    <row r="1" spans="1:20" s="117" customFormat="1">
      <c r="D1" s="258"/>
      <c r="E1" s="258"/>
    </row>
    <row r="2" spans="1:20" s="117" customFormat="1" ht="30">
      <c r="A2" s="117" t="s">
        <v>1290</v>
      </c>
      <c r="B2" s="117" t="s">
        <v>1287</v>
      </c>
      <c r="C2" s="117" t="s">
        <v>1288</v>
      </c>
      <c r="D2" s="113" t="s">
        <v>1289</v>
      </c>
      <c r="E2" s="113" t="s">
        <v>1311</v>
      </c>
      <c r="F2" s="117" t="s">
        <v>1312</v>
      </c>
      <c r="G2" s="117" t="s">
        <v>1313</v>
      </c>
      <c r="H2" s="117" t="s">
        <v>1314</v>
      </c>
      <c r="I2" s="117" t="s">
        <v>1315</v>
      </c>
      <c r="J2" s="117" t="s">
        <v>1316</v>
      </c>
      <c r="K2" s="117" t="s">
        <v>1317</v>
      </c>
      <c r="L2" s="117" t="s">
        <v>1318</v>
      </c>
      <c r="M2" s="117" t="s">
        <v>1319</v>
      </c>
      <c r="N2" s="117" t="s">
        <v>1320</v>
      </c>
      <c r="O2" s="117" t="s">
        <v>1321</v>
      </c>
      <c r="P2" s="117" t="s">
        <v>1322</v>
      </c>
      <c r="Q2" s="117" t="s">
        <v>1323</v>
      </c>
      <c r="R2" s="117" t="s">
        <v>1324</v>
      </c>
      <c r="S2" s="117" t="s">
        <v>1325</v>
      </c>
      <c r="T2" s="117" t="s">
        <v>1326</v>
      </c>
    </row>
    <row r="3" spans="1:20" s="117" customFormat="1">
      <c r="D3" s="258"/>
      <c r="E3" s="258"/>
    </row>
    <row r="5" spans="1:20">
      <c r="D5" s="113" t="s">
        <v>408</v>
      </c>
    </row>
    <row r="6" spans="1:20">
      <c r="A6" s="118" t="str">
        <f>MID($D6,4,3)</f>
        <v>LGE</v>
      </c>
      <c r="B6" s="118" t="s">
        <v>545</v>
      </c>
      <c r="C6" s="118" t="s">
        <v>1104</v>
      </c>
      <c r="D6" s="113" t="s">
        <v>504</v>
      </c>
      <c r="E6" s="113" t="str">
        <f>IF(ISTEXT(MID($D6,SEARCH("FUTURE USE",$D6),3)),"FUTURE USE",IF(ISTEXT(MID($D6,SEARCH("ECR",$D6),3)),"ECR",IF(ISTEXT(MID($D6,SEARCH("ARO",$D6),3)),"ARO",IF(ISTEXT(MID($D6,SEARCH("DSM",$D6),3)),"DSM",IF(ISTEXT(MID($D6,SEARCH("GLT",$D6),3)),"GLT","")))))</f>
        <v/>
      </c>
      <c r="F6" s="118">
        <v>2139.9899999999998</v>
      </c>
      <c r="G6" s="118">
        <v>2139.9899999999998</v>
      </c>
      <c r="H6" s="118">
        <v>2139.9899999999998</v>
      </c>
      <c r="I6" s="118">
        <v>2139.9899999999998</v>
      </c>
      <c r="J6" s="118">
        <v>2139.9899999999998</v>
      </c>
      <c r="K6" s="118">
        <v>2139.9899999999998</v>
      </c>
      <c r="L6" s="118">
        <v>2139.9899999999998</v>
      </c>
      <c r="M6" s="118">
        <v>2139.9899999999998</v>
      </c>
      <c r="N6" s="118">
        <v>2139.9899999999998</v>
      </c>
      <c r="O6" s="118">
        <v>2139.9899999999998</v>
      </c>
      <c r="P6" s="118">
        <v>2139.9899999999998</v>
      </c>
      <c r="Q6" s="118">
        <v>2139.9899999999998</v>
      </c>
      <c r="R6" s="118">
        <v>2139.9899999999998</v>
      </c>
      <c r="S6" s="118">
        <v>2139.9899999999998</v>
      </c>
    </row>
    <row r="7" spans="1:20">
      <c r="A7" s="118" t="str">
        <f t="shared" ref="A7:A49" si="0">MID($D7,4,3)</f>
        <v>LGE</v>
      </c>
      <c r="B7" s="118" t="s">
        <v>545</v>
      </c>
      <c r="C7" s="118" t="str">
        <f t="shared" ref="C7:C49" si="1">MID($D7,9,3)</f>
        <v>302</v>
      </c>
      <c r="D7" s="113" t="s">
        <v>505</v>
      </c>
      <c r="E7" s="113" t="str">
        <f t="shared" ref="E7:E70" si="2">IF(ISTEXT(MID($D7,SEARCH("FUTURE USE",$D7),3)),"FUTURE USE",IF(ISTEXT(MID($D7,SEARCH("ECR",$D7),3)),"ECR",IF(ISTEXT(MID($D7,SEARCH("ARO",$D7),3)),"ARO",IF(ISTEXT(MID($D7,SEARCH("DSM",$D7),3)),"DSM",IF(ISTEXT(MID($D7,SEARCH("GLT",$D7),3)),"GLT","")))))</f>
        <v/>
      </c>
      <c r="F7" s="118">
        <v>0.38749</v>
      </c>
      <c r="G7" s="118">
        <v>0.38749</v>
      </c>
      <c r="H7" s="118">
        <v>0.38749</v>
      </c>
      <c r="I7" s="118">
        <v>0.38749</v>
      </c>
      <c r="J7" s="118">
        <v>0.38749</v>
      </c>
      <c r="K7" s="118">
        <v>0.38749</v>
      </c>
      <c r="L7" s="118">
        <v>0.38749</v>
      </c>
      <c r="M7" s="118">
        <v>0.38749</v>
      </c>
      <c r="N7" s="118">
        <v>0.38749</v>
      </c>
      <c r="O7" s="118">
        <v>0.38749</v>
      </c>
      <c r="P7" s="118">
        <v>0.38749</v>
      </c>
      <c r="Q7" s="118">
        <v>0.38749</v>
      </c>
      <c r="R7" s="118">
        <v>0.38749</v>
      </c>
      <c r="S7" s="118">
        <v>0.38749</v>
      </c>
    </row>
    <row r="8" spans="1:20">
      <c r="A8" s="118" t="str">
        <f t="shared" si="0"/>
        <v>LGE</v>
      </c>
      <c r="B8" s="118" t="s">
        <v>545</v>
      </c>
      <c r="C8" s="118" t="str">
        <f t="shared" si="1"/>
        <v>350</v>
      </c>
      <c r="D8" s="113" t="s">
        <v>506</v>
      </c>
      <c r="E8" s="113" t="str">
        <f t="shared" si="2"/>
        <v/>
      </c>
      <c r="F8" s="118">
        <v>104.86949</v>
      </c>
      <c r="G8" s="118">
        <v>104.86949</v>
      </c>
      <c r="H8" s="118">
        <v>104.86949</v>
      </c>
      <c r="I8" s="118">
        <v>104.86949</v>
      </c>
      <c r="J8" s="118">
        <v>104.86949</v>
      </c>
      <c r="K8" s="118">
        <v>104.86949</v>
      </c>
      <c r="L8" s="118">
        <v>104.86949</v>
      </c>
      <c r="M8" s="118">
        <v>101.21249</v>
      </c>
      <c r="N8" s="118">
        <v>101.21249</v>
      </c>
      <c r="O8" s="118">
        <v>101.21249</v>
      </c>
      <c r="P8" s="118">
        <v>101.21249</v>
      </c>
      <c r="Q8" s="118">
        <v>101.21249</v>
      </c>
      <c r="R8" s="118">
        <v>101.21249</v>
      </c>
      <c r="S8" s="118">
        <v>101.21249</v>
      </c>
    </row>
    <row r="9" spans="1:20">
      <c r="A9" s="118" t="str">
        <f t="shared" si="0"/>
        <v>LGE</v>
      </c>
      <c r="B9" s="118" t="s">
        <v>545</v>
      </c>
      <c r="C9" s="118" t="str">
        <f t="shared" si="1"/>
        <v>350</v>
      </c>
      <c r="D9" s="113" t="s">
        <v>507</v>
      </c>
      <c r="E9" s="113" t="str">
        <f t="shared" si="2"/>
        <v/>
      </c>
      <c r="F9" s="118">
        <v>3.3635000000000002</v>
      </c>
      <c r="G9" s="118">
        <v>3.3635000000000002</v>
      </c>
      <c r="H9" s="118">
        <v>3.3635000000000002</v>
      </c>
      <c r="I9" s="118">
        <v>3.3635000000000002</v>
      </c>
      <c r="J9" s="118">
        <v>3.3635000000000002</v>
      </c>
      <c r="K9" s="118">
        <v>3.3635000000000002</v>
      </c>
      <c r="L9" s="118">
        <v>3.3635000000000002</v>
      </c>
      <c r="M9" s="118">
        <v>3.3635000000000002</v>
      </c>
      <c r="N9" s="118">
        <v>3.3635000000000002</v>
      </c>
      <c r="O9" s="118">
        <v>3.3635000000000002</v>
      </c>
      <c r="P9" s="118">
        <v>3.3635000000000002</v>
      </c>
      <c r="Q9" s="118">
        <v>3.3635000000000002</v>
      </c>
      <c r="R9" s="118">
        <v>3.3635000000000002</v>
      </c>
      <c r="S9" s="118">
        <v>3.3635000000000002</v>
      </c>
    </row>
    <row r="10" spans="1:20">
      <c r="A10" s="118" t="str">
        <f t="shared" si="0"/>
        <v>LGE</v>
      </c>
      <c r="B10" s="118" t="s">
        <v>545</v>
      </c>
      <c r="C10" s="118" t="str">
        <f t="shared" si="1"/>
        <v>350</v>
      </c>
      <c r="D10" s="113" t="s">
        <v>508</v>
      </c>
      <c r="E10" s="113" t="str">
        <f t="shared" si="2"/>
        <v/>
      </c>
      <c r="F10" s="118">
        <v>29.50057</v>
      </c>
      <c r="G10" s="118">
        <v>29.50057</v>
      </c>
      <c r="H10" s="118">
        <v>29.50057</v>
      </c>
      <c r="I10" s="118">
        <v>29.50057</v>
      </c>
      <c r="J10" s="118">
        <v>29.50057</v>
      </c>
      <c r="K10" s="118">
        <v>29.50057</v>
      </c>
      <c r="L10" s="118">
        <v>29.50057</v>
      </c>
      <c r="M10" s="118">
        <v>29.50057</v>
      </c>
      <c r="N10" s="118">
        <v>29.50057</v>
      </c>
      <c r="O10" s="118">
        <v>29.50057</v>
      </c>
      <c r="P10" s="118">
        <v>29.50057</v>
      </c>
      <c r="Q10" s="118">
        <v>29.50057</v>
      </c>
      <c r="R10" s="118">
        <v>29.50057</v>
      </c>
      <c r="S10" s="118">
        <v>29.50057</v>
      </c>
    </row>
    <row r="11" spans="1:20">
      <c r="A11" s="118" t="str">
        <f t="shared" si="0"/>
        <v>LGE</v>
      </c>
      <c r="B11" s="118" t="s">
        <v>545</v>
      </c>
      <c r="C11" s="118" t="str">
        <f t="shared" si="1"/>
        <v>351</v>
      </c>
      <c r="D11" s="113" t="s">
        <v>509</v>
      </c>
      <c r="E11" s="113" t="str">
        <f t="shared" si="2"/>
        <v/>
      </c>
      <c r="F11" s="118">
        <v>9801.2852199999998</v>
      </c>
      <c r="G11" s="118">
        <v>10050.08389</v>
      </c>
      <c r="H11" s="118">
        <v>9906.92994</v>
      </c>
      <c r="I11" s="118">
        <v>9906.92994</v>
      </c>
      <c r="J11" s="118">
        <v>9956.9577300000001</v>
      </c>
      <c r="K11" s="118">
        <v>9916.6094200000007</v>
      </c>
      <c r="L11" s="118">
        <v>9916.6094200000007</v>
      </c>
      <c r="M11" s="118">
        <v>9808.5196599999999</v>
      </c>
      <c r="N11" s="118">
        <v>10149.48466</v>
      </c>
      <c r="O11" s="118">
        <v>10149.48466</v>
      </c>
      <c r="P11" s="118">
        <v>10149.48466</v>
      </c>
      <c r="Q11" s="118">
        <v>10149.48466</v>
      </c>
      <c r="R11" s="118">
        <v>10149.48466</v>
      </c>
      <c r="S11" s="118">
        <v>10149.48466</v>
      </c>
    </row>
    <row r="12" spans="1:20">
      <c r="A12" s="118" t="str">
        <f t="shared" si="0"/>
        <v>LGE</v>
      </c>
      <c r="B12" s="118" t="s">
        <v>545</v>
      </c>
      <c r="C12" s="118" t="str">
        <f t="shared" si="1"/>
        <v>351</v>
      </c>
      <c r="D12" s="113" t="s">
        <v>510</v>
      </c>
      <c r="E12" s="113" t="str">
        <f t="shared" si="2"/>
        <v/>
      </c>
      <c r="F12" s="118">
        <v>1502.8454099999999</v>
      </c>
      <c r="G12" s="118">
        <v>1502.8454099999999</v>
      </c>
      <c r="H12" s="118">
        <v>1502.8454099999999</v>
      </c>
      <c r="I12" s="118">
        <v>1502.8454099999999</v>
      </c>
      <c r="J12" s="118">
        <v>1502.8454099999999</v>
      </c>
      <c r="K12" s="118">
        <v>1502.8454099999999</v>
      </c>
      <c r="L12" s="118">
        <v>1502.8454099999999</v>
      </c>
      <c r="M12" s="118">
        <v>1502.8454099999999</v>
      </c>
      <c r="N12" s="118">
        <v>1502.8454099999999</v>
      </c>
      <c r="O12" s="118">
        <v>1502.8454099999999</v>
      </c>
      <c r="P12" s="118">
        <v>1502.8454099999999</v>
      </c>
      <c r="Q12" s="118">
        <v>1502.8454099999999</v>
      </c>
      <c r="R12" s="118">
        <v>1502.8454099999999</v>
      </c>
      <c r="S12" s="118">
        <v>1502.8454099999999</v>
      </c>
    </row>
    <row r="13" spans="1:20">
      <c r="A13" s="118" t="str">
        <f t="shared" si="0"/>
        <v>LGE</v>
      </c>
      <c r="B13" s="118" t="s">
        <v>545</v>
      </c>
      <c r="C13" s="118" t="str">
        <f t="shared" si="1"/>
        <v>351</v>
      </c>
      <c r="D13" s="113" t="s">
        <v>511</v>
      </c>
      <c r="E13" s="113" t="str">
        <f t="shared" si="2"/>
        <v/>
      </c>
      <c r="F13" s="118">
        <v>3329.37788</v>
      </c>
      <c r="G13" s="118">
        <v>3384.22793</v>
      </c>
      <c r="H13" s="118">
        <v>3528.2813099999998</v>
      </c>
      <c r="I13" s="118">
        <v>3546.9509600000001</v>
      </c>
      <c r="J13" s="118">
        <v>3548.8736100000001</v>
      </c>
      <c r="K13" s="118">
        <v>3548.8736100000001</v>
      </c>
      <c r="L13" s="118">
        <v>3542.73695</v>
      </c>
      <c r="M13" s="118">
        <v>3995.7963199999999</v>
      </c>
      <c r="N13" s="118">
        <v>3995.7963199999999</v>
      </c>
      <c r="O13" s="118">
        <v>4114.7963399999999</v>
      </c>
      <c r="P13" s="118">
        <v>4114.7963399999999</v>
      </c>
      <c r="Q13" s="118">
        <v>4114.7963399999999</v>
      </c>
      <c r="R13" s="118">
        <v>4114.7963399999999</v>
      </c>
      <c r="S13" s="118">
        <v>4114.7963399999999</v>
      </c>
    </row>
    <row r="14" spans="1:20">
      <c r="A14" s="118" t="str">
        <f t="shared" si="0"/>
        <v>LGE</v>
      </c>
      <c r="B14" s="118" t="s">
        <v>545</v>
      </c>
      <c r="C14" s="351">
        <v>352.1</v>
      </c>
      <c r="D14" s="113" t="s">
        <v>512</v>
      </c>
      <c r="E14" s="113" t="str">
        <f t="shared" si="2"/>
        <v/>
      </c>
      <c r="F14" s="118">
        <v>548.24113999999997</v>
      </c>
      <c r="G14" s="118">
        <v>548.24113999999997</v>
      </c>
      <c r="H14" s="118">
        <v>548.24113999999997</v>
      </c>
      <c r="I14" s="118">
        <v>548.24113999999997</v>
      </c>
      <c r="J14" s="118">
        <v>548.24113999999997</v>
      </c>
      <c r="K14" s="118">
        <v>548.24113999999997</v>
      </c>
      <c r="L14" s="118">
        <v>548.24113999999997</v>
      </c>
      <c r="M14" s="118">
        <v>548.24113999999997</v>
      </c>
      <c r="N14" s="118">
        <v>548.24113999999997</v>
      </c>
      <c r="O14" s="118">
        <v>548.24113999999997</v>
      </c>
      <c r="P14" s="118">
        <v>548.24113999999997</v>
      </c>
      <c r="Q14" s="118">
        <v>548.24113999999997</v>
      </c>
      <c r="R14" s="118">
        <v>548.24113999999997</v>
      </c>
      <c r="S14" s="118">
        <v>548.24113999999997</v>
      </c>
    </row>
    <row r="15" spans="1:20">
      <c r="A15" s="118" t="str">
        <f t="shared" si="0"/>
        <v>LGE</v>
      </c>
      <c r="B15" s="118" t="s">
        <v>545</v>
      </c>
      <c r="C15" s="118" t="s">
        <v>1104</v>
      </c>
      <c r="D15" s="113" t="s">
        <v>513</v>
      </c>
      <c r="E15" s="113" t="str">
        <f t="shared" si="2"/>
        <v/>
      </c>
      <c r="F15" s="118">
        <v>9648.8549999999996</v>
      </c>
      <c r="G15" s="118">
        <v>9648.8549999999996</v>
      </c>
      <c r="H15" s="118">
        <v>9648.8549999999996</v>
      </c>
      <c r="I15" s="118">
        <v>9648.8549999999996</v>
      </c>
      <c r="J15" s="118">
        <v>9648.8549999999996</v>
      </c>
      <c r="K15" s="118">
        <v>9648.8549999999996</v>
      </c>
      <c r="L15" s="118">
        <v>9648.8549999999996</v>
      </c>
      <c r="M15" s="118">
        <v>9648.8549999999996</v>
      </c>
      <c r="N15" s="118">
        <v>9648.8549999999996</v>
      </c>
      <c r="O15" s="118">
        <v>9648.8549999999996</v>
      </c>
      <c r="P15" s="118">
        <v>9648.8549999999996</v>
      </c>
      <c r="Q15" s="118">
        <v>9648.8549999999996</v>
      </c>
      <c r="R15" s="118">
        <v>9648.8549999999996</v>
      </c>
      <c r="S15" s="118">
        <v>9648.8549999999996</v>
      </c>
    </row>
    <row r="16" spans="1:20">
      <c r="A16" s="118" t="str">
        <f t="shared" si="0"/>
        <v>LGE</v>
      </c>
      <c r="B16" s="118" t="s">
        <v>545</v>
      </c>
      <c r="C16" s="351">
        <v>352.2</v>
      </c>
      <c r="D16" s="113" t="s">
        <v>514</v>
      </c>
      <c r="E16" s="113" t="str">
        <f t="shared" si="2"/>
        <v/>
      </c>
      <c r="F16" s="118">
        <v>400.51139999999998</v>
      </c>
      <c r="G16" s="118">
        <v>400.51139999999998</v>
      </c>
      <c r="H16" s="118">
        <v>400.51139999999998</v>
      </c>
      <c r="I16" s="118">
        <v>400.51139999999998</v>
      </c>
      <c r="J16" s="118">
        <v>400.51139999999998</v>
      </c>
      <c r="K16" s="118">
        <v>400.51139999999998</v>
      </c>
      <c r="L16" s="118">
        <v>400.51139999999998</v>
      </c>
      <c r="M16" s="118">
        <v>400.51139999999998</v>
      </c>
      <c r="N16" s="118">
        <v>400.51139999999998</v>
      </c>
      <c r="O16" s="118">
        <v>400.51139999999998</v>
      </c>
      <c r="P16" s="118">
        <v>400.51139999999998</v>
      </c>
      <c r="Q16" s="118">
        <v>400.51139999999998</v>
      </c>
      <c r="R16" s="118">
        <v>400.51139999999998</v>
      </c>
      <c r="S16" s="118">
        <v>400.51139999999998</v>
      </c>
    </row>
    <row r="17" spans="1:19">
      <c r="A17" s="118" t="str">
        <f t="shared" si="0"/>
        <v>LGE</v>
      </c>
      <c r="B17" s="118" t="s">
        <v>545</v>
      </c>
      <c r="C17" s="118" t="str">
        <f t="shared" si="1"/>
        <v>352</v>
      </c>
      <c r="D17" s="113" t="s">
        <v>515</v>
      </c>
      <c r="E17" s="113" t="str">
        <f t="shared" si="2"/>
        <v/>
      </c>
      <c r="F17" s="118">
        <v>2381.8205899999998</v>
      </c>
      <c r="G17" s="118">
        <v>2381.8205899999998</v>
      </c>
      <c r="H17" s="118">
        <v>2381.8205899999998</v>
      </c>
      <c r="I17" s="118">
        <v>2381.8205899999998</v>
      </c>
      <c r="J17" s="118">
        <v>2381.8205899999998</v>
      </c>
      <c r="K17" s="118">
        <v>2381.8205899999998</v>
      </c>
      <c r="L17" s="118">
        <v>2381.8205899999998</v>
      </c>
      <c r="M17" s="118">
        <v>2381.8205899999998</v>
      </c>
      <c r="N17" s="118">
        <v>2381.8205899999998</v>
      </c>
      <c r="O17" s="118">
        <v>2381.8205899999998</v>
      </c>
      <c r="P17" s="118">
        <v>2381.8205899999998</v>
      </c>
      <c r="Q17" s="118">
        <v>2381.8205899999998</v>
      </c>
      <c r="R17" s="118">
        <v>2381.8205899999998</v>
      </c>
      <c r="S17" s="118">
        <v>2381.8205899999998</v>
      </c>
    </row>
    <row r="18" spans="1:19">
      <c r="A18" s="118" t="str">
        <f t="shared" si="0"/>
        <v>LGE</v>
      </c>
      <c r="B18" s="118" t="s">
        <v>545</v>
      </c>
      <c r="C18" s="118" t="str">
        <f t="shared" si="1"/>
        <v>352</v>
      </c>
      <c r="D18" s="113" t="s">
        <v>516</v>
      </c>
      <c r="E18" s="113" t="str">
        <f t="shared" si="2"/>
        <v/>
      </c>
      <c r="F18" s="118">
        <v>2750.0769599999999</v>
      </c>
      <c r="G18" s="118">
        <v>2750.0769599999999</v>
      </c>
      <c r="H18" s="118">
        <v>2750.0769599999999</v>
      </c>
      <c r="I18" s="118">
        <v>2750.0769599999999</v>
      </c>
      <c r="J18" s="118">
        <v>2750.0769599999999</v>
      </c>
      <c r="K18" s="118">
        <v>2750.0769599999999</v>
      </c>
      <c r="L18" s="118">
        <v>2750.0769599999999</v>
      </c>
      <c r="M18" s="118">
        <v>2750.0769599999999</v>
      </c>
      <c r="N18" s="118">
        <v>2750.0769599999999</v>
      </c>
      <c r="O18" s="118">
        <v>2750.0769599999999</v>
      </c>
      <c r="P18" s="118">
        <v>2750.0769599999999</v>
      </c>
      <c r="Q18" s="118">
        <v>2877.6729299999902</v>
      </c>
      <c r="R18" s="118">
        <v>2877.6729299999902</v>
      </c>
      <c r="S18" s="118">
        <v>2877.6729299999902</v>
      </c>
    </row>
    <row r="19" spans="1:19">
      <c r="A19" s="118" t="str">
        <f t="shared" si="0"/>
        <v>LGE</v>
      </c>
      <c r="B19" s="118" t="s">
        <v>545</v>
      </c>
      <c r="C19" s="118" t="str">
        <f t="shared" si="1"/>
        <v>352</v>
      </c>
      <c r="D19" s="113" t="s">
        <v>517</v>
      </c>
      <c r="E19" s="113" t="str">
        <f t="shared" si="2"/>
        <v/>
      </c>
      <c r="F19" s="118">
        <v>3613.5139300000001</v>
      </c>
      <c r="G19" s="118">
        <v>3613.5139300000001</v>
      </c>
      <c r="H19" s="118">
        <v>3613.5139300000001</v>
      </c>
      <c r="I19" s="118">
        <v>3613.5139300000001</v>
      </c>
      <c r="J19" s="118">
        <v>3613.5139300000001</v>
      </c>
      <c r="K19" s="118">
        <v>3613.5139300000001</v>
      </c>
      <c r="L19" s="118">
        <v>3613.5139300000001</v>
      </c>
      <c r="M19" s="118">
        <v>3613.5139300000001</v>
      </c>
      <c r="N19" s="118">
        <v>3613.5139300000001</v>
      </c>
      <c r="O19" s="118">
        <v>3613.5139300000001</v>
      </c>
      <c r="P19" s="118">
        <v>3613.5139300000001</v>
      </c>
      <c r="Q19" s="118">
        <v>3613.5139300000001</v>
      </c>
      <c r="R19" s="118">
        <v>3613.5139300000001</v>
      </c>
      <c r="S19" s="118">
        <v>3613.5139300000001</v>
      </c>
    </row>
    <row r="20" spans="1:19">
      <c r="A20" s="118" t="str">
        <f t="shared" si="0"/>
        <v>LGE</v>
      </c>
      <c r="B20" s="118" t="s">
        <v>545</v>
      </c>
      <c r="C20" s="118" t="str">
        <f t="shared" si="1"/>
        <v>352</v>
      </c>
      <c r="D20" s="113" t="s">
        <v>518</v>
      </c>
      <c r="E20" s="113" t="str">
        <f t="shared" si="2"/>
        <v/>
      </c>
      <c r="F20" s="118">
        <v>10411.548419999999</v>
      </c>
      <c r="G20" s="118">
        <v>10385.116689999901</v>
      </c>
      <c r="H20" s="118">
        <v>10549.259689999901</v>
      </c>
      <c r="I20" s="118">
        <v>10549.259689999901</v>
      </c>
      <c r="J20" s="118">
        <v>10549.259689999901</v>
      </c>
      <c r="K20" s="118">
        <v>10725.08214</v>
      </c>
      <c r="L20" s="118">
        <v>10638.19908</v>
      </c>
      <c r="M20" s="118">
        <v>10668.859399999999</v>
      </c>
      <c r="N20" s="118">
        <v>10777.935949999999</v>
      </c>
      <c r="O20" s="118">
        <v>11256.677949999999</v>
      </c>
      <c r="P20" s="118">
        <v>11273.56495</v>
      </c>
      <c r="Q20" s="118">
        <v>11272.655919999999</v>
      </c>
      <c r="R20" s="118">
        <v>11272.655919999999</v>
      </c>
      <c r="S20" s="118">
        <v>11272.655919999999</v>
      </c>
    </row>
    <row r="21" spans="1:19">
      <c r="A21" s="118" t="str">
        <f t="shared" si="0"/>
        <v>LGE</v>
      </c>
      <c r="B21" s="118" t="s">
        <v>545</v>
      </c>
      <c r="C21" s="118" t="str">
        <f t="shared" si="1"/>
        <v>353</v>
      </c>
      <c r="D21" s="113" t="s">
        <v>519</v>
      </c>
      <c r="E21" s="113" t="str">
        <f t="shared" si="2"/>
        <v/>
      </c>
      <c r="F21" s="118">
        <v>4644.2006799999999</v>
      </c>
      <c r="G21" s="118">
        <v>4642.8768399999999</v>
      </c>
      <c r="H21" s="118">
        <v>4772.8410199999998</v>
      </c>
      <c r="I21" s="118">
        <v>4995.0010700000003</v>
      </c>
      <c r="J21" s="118">
        <v>4995.0010700000003</v>
      </c>
      <c r="K21" s="118">
        <v>4995.0010700000003</v>
      </c>
      <c r="L21" s="118">
        <v>5119.9950599999902</v>
      </c>
      <c r="M21" s="118">
        <v>5005.6596</v>
      </c>
      <c r="N21" s="118">
        <v>5001.6286899999996</v>
      </c>
      <c r="O21" s="118">
        <v>5001.6286899999996</v>
      </c>
      <c r="P21" s="118">
        <v>5001.6286899999996</v>
      </c>
      <c r="Q21" s="118">
        <v>5001.6286899999996</v>
      </c>
      <c r="R21" s="118">
        <v>5001.6286899999996</v>
      </c>
      <c r="S21" s="118">
        <v>5001.6286899999996</v>
      </c>
    </row>
    <row r="22" spans="1:19">
      <c r="A22" s="118" t="str">
        <f t="shared" si="0"/>
        <v>LGE</v>
      </c>
      <c r="B22" s="118" t="s">
        <v>545</v>
      </c>
      <c r="C22" s="118" t="str">
        <f t="shared" si="1"/>
        <v>353</v>
      </c>
      <c r="D22" s="113" t="s">
        <v>520</v>
      </c>
      <c r="E22" s="113" t="str">
        <f t="shared" si="2"/>
        <v/>
      </c>
      <c r="F22" s="118">
        <v>17294.921170000001</v>
      </c>
      <c r="G22" s="118">
        <v>17308.29465</v>
      </c>
      <c r="H22" s="118">
        <v>17763.25015</v>
      </c>
      <c r="I22" s="118">
        <v>17793.46571</v>
      </c>
      <c r="J22" s="118">
        <v>17838.94428</v>
      </c>
      <c r="K22" s="118">
        <v>17975.693050000002</v>
      </c>
      <c r="L22" s="118">
        <v>18046.670760000001</v>
      </c>
      <c r="M22" s="118">
        <v>18079.25791</v>
      </c>
      <c r="N22" s="118">
        <v>18079.25791</v>
      </c>
      <c r="O22" s="118">
        <v>18079.25791</v>
      </c>
      <c r="P22" s="118">
        <v>18079.25791</v>
      </c>
      <c r="Q22" s="118">
        <v>18079.25791</v>
      </c>
      <c r="R22" s="118">
        <v>18079.25791</v>
      </c>
      <c r="S22" s="118">
        <v>18079.25791</v>
      </c>
    </row>
    <row r="23" spans="1:19">
      <c r="A23" s="118" t="str">
        <f t="shared" si="0"/>
        <v>LGE</v>
      </c>
      <c r="B23" s="118" t="s">
        <v>545</v>
      </c>
      <c r="C23" s="118" t="str">
        <f t="shared" si="1"/>
        <v>354</v>
      </c>
      <c r="D23" s="113" t="s">
        <v>521</v>
      </c>
      <c r="E23" s="113" t="str">
        <f t="shared" si="2"/>
        <v/>
      </c>
      <c r="F23" s="118">
        <v>47190.748769999998</v>
      </c>
      <c r="G23" s="118">
        <v>47688.419020000001</v>
      </c>
      <c r="H23" s="118">
        <v>48214.5616899999</v>
      </c>
      <c r="I23" s="118">
        <v>48335.116979999999</v>
      </c>
      <c r="J23" s="118">
        <v>48894.579659999901</v>
      </c>
      <c r="K23" s="118">
        <v>49070.489090000003</v>
      </c>
      <c r="L23" s="118">
        <v>49330.36954</v>
      </c>
      <c r="M23" s="118">
        <v>49761.18174</v>
      </c>
      <c r="N23" s="118">
        <v>51605.432800000002</v>
      </c>
      <c r="O23" s="118">
        <v>52728.604639999998</v>
      </c>
      <c r="P23" s="118">
        <v>56409.868340000001</v>
      </c>
      <c r="Q23" s="118">
        <v>56420.325750000004</v>
      </c>
      <c r="R23" s="118">
        <v>56432.390789999998</v>
      </c>
      <c r="S23" s="118">
        <v>56444.45579</v>
      </c>
    </row>
    <row r="24" spans="1:19">
      <c r="A24" s="118" t="str">
        <f t="shared" si="0"/>
        <v>LGE</v>
      </c>
      <c r="B24" s="118" t="s">
        <v>545</v>
      </c>
      <c r="C24" s="118" t="str">
        <f t="shared" si="1"/>
        <v>355</v>
      </c>
      <c r="D24" s="113" t="s">
        <v>522</v>
      </c>
      <c r="E24" s="113" t="str">
        <f t="shared" si="2"/>
        <v/>
      </c>
      <c r="F24" s="118">
        <v>1747.23705</v>
      </c>
      <c r="G24" s="118">
        <v>1749.3087700000001</v>
      </c>
      <c r="H24" s="118">
        <v>1750.3332700000001</v>
      </c>
      <c r="I24" s="118">
        <v>1731.5874699999999</v>
      </c>
      <c r="J24" s="118">
        <v>1731.5874699999999</v>
      </c>
      <c r="K24" s="118">
        <v>1980.0447799999999</v>
      </c>
      <c r="L24" s="118">
        <v>1980.99143</v>
      </c>
      <c r="M24" s="118">
        <v>1987.59366</v>
      </c>
      <c r="N24" s="118">
        <v>1980.29324</v>
      </c>
      <c r="O24" s="118">
        <v>1980.29324</v>
      </c>
      <c r="P24" s="118">
        <v>2137.9862199999998</v>
      </c>
      <c r="Q24" s="118">
        <v>2274.97642</v>
      </c>
      <c r="R24" s="118">
        <v>2274.97642</v>
      </c>
      <c r="S24" s="118">
        <v>2274.97642</v>
      </c>
    </row>
    <row r="25" spans="1:19">
      <c r="A25" s="118" t="str">
        <f t="shared" si="0"/>
        <v>LGE</v>
      </c>
      <c r="B25" s="118" t="s">
        <v>545</v>
      </c>
      <c r="C25" s="118" t="str">
        <f t="shared" si="1"/>
        <v>356</v>
      </c>
      <c r="D25" s="113" t="s">
        <v>523</v>
      </c>
      <c r="E25" s="113" t="str">
        <f t="shared" si="2"/>
        <v/>
      </c>
      <c r="F25" s="118">
        <v>19829.229510000001</v>
      </c>
      <c r="G25" s="118">
        <v>19845.187959999999</v>
      </c>
      <c r="H25" s="118">
        <v>20054.339459999999</v>
      </c>
      <c r="I25" s="118">
        <v>20071.700680000002</v>
      </c>
      <c r="J25" s="118">
        <v>20223.51671</v>
      </c>
      <c r="K25" s="118">
        <v>21713.233980000001</v>
      </c>
      <c r="L25" s="118">
        <v>21709.569019999999</v>
      </c>
      <c r="M25" s="118">
        <v>21834.501370000002</v>
      </c>
      <c r="N25" s="118">
        <v>22285.006410000002</v>
      </c>
      <c r="O25" s="118">
        <v>22975.563440000002</v>
      </c>
      <c r="P25" s="118">
        <v>23000.891449999999</v>
      </c>
      <c r="Q25" s="118">
        <v>23000.891449999999</v>
      </c>
      <c r="R25" s="118">
        <v>23005.07141</v>
      </c>
      <c r="S25" s="118">
        <v>23009.251410000001</v>
      </c>
    </row>
    <row r="26" spans="1:19">
      <c r="A26" s="118" t="str">
        <f t="shared" si="0"/>
        <v>LGE</v>
      </c>
      <c r="B26" s="118" t="s">
        <v>545</v>
      </c>
      <c r="C26" s="118" t="str">
        <f t="shared" si="1"/>
        <v>357</v>
      </c>
      <c r="D26" s="113" t="s">
        <v>524</v>
      </c>
      <c r="E26" s="113" t="str">
        <f t="shared" si="2"/>
        <v/>
      </c>
      <c r="F26" s="118">
        <v>1670.1729</v>
      </c>
      <c r="G26" s="118">
        <v>1670.1729</v>
      </c>
      <c r="H26" s="118">
        <v>1670.1729</v>
      </c>
      <c r="I26" s="118">
        <v>1670.1729</v>
      </c>
      <c r="J26" s="118">
        <v>1670.1729</v>
      </c>
      <c r="K26" s="118">
        <v>1670.1729</v>
      </c>
      <c r="L26" s="118">
        <v>1696.8032499999999</v>
      </c>
      <c r="M26" s="118">
        <v>1829.51404</v>
      </c>
      <c r="N26" s="118">
        <v>1829.51404</v>
      </c>
      <c r="O26" s="118">
        <v>1869.51403</v>
      </c>
      <c r="P26" s="118">
        <v>1869.51403</v>
      </c>
      <c r="Q26" s="118">
        <v>1961.5789500000001</v>
      </c>
      <c r="R26" s="118">
        <v>1961.5789500000001</v>
      </c>
      <c r="S26" s="118">
        <v>1961.5789500000001</v>
      </c>
    </row>
    <row r="27" spans="1:19">
      <c r="A27" s="118" t="str">
        <f t="shared" si="0"/>
        <v>LGE</v>
      </c>
      <c r="B27" s="118" t="s">
        <v>545</v>
      </c>
      <c r="C27" s="118" t="str">
        <f t="shared" si="1"/>
        <v>357</v>
      </c>
      <c r="D27" s="113" t="s">
        <v>525</v>
      </c>
      <c r="E27" s="113" t="str">
        <f t="shared" si="2"/>
        <v/>
      </c>
      <c r="F27" s="118">
        <v>1483.93751</v>
      </c>
      <c r="G27" s="118">
        <v>1483.93751</v>
      </c>
      <c r="H27" s="118">
        <v>1575.0605800000001</v>
      </c>
      <c r="I27" s="118">
        <v>1665.2920799999999</v>
      </c>
      <c r="J27" s="118">
        <v>1775.67607</v>
      </c>
      <c r="K27" s="118">
        <v>1884.6002000000001</v>
      </c>
      <c r="L27" s="118">
        <v>1825.4871699999901</v>
      </c>
      <c r="M27" s="118">
        <v>1825.4871699999901</v>
      </c>
      <c r="N27" s="118">
        <v>2461.6180100000001</v>
      </c>
      <c r="O27" s="118">
        <v>2635.3520600000002</v>
      </c>
      <c r="P27" s="118">
        <v>2667.9379300000001</v>
      </c>
      <c r="Q27" s="118">
        <v>2667.9149200000002</v>
      </c>
      <c r="R27" s="118">
        <v>2668.01505</v>
      </c>
      <c r="S27" s="118">
        <v>2680.2084399999999</v>
      </c>
    </row>
    <row r="28" spans="1:19">
      <c r="A28" s="118" t="str">
        <f t="shared" si="0"/>
        <v>LGE</v>
      </c>
      <c r="B28" s="118" t="s">
        <v>545</v>
      </c>
      <c r="C28" s="118" t="str">
        <f t="shared" si="1"/>
        <v>358</v>
      </c>
      <c r="D28" s="113" t="s">
        <v>526</v>
      </c>
      <c r="E28" s="113" t="str">
        <f t="shared" si="2"/>
        <v>ARO</v>
      </c>
      <c r="F28" s="118">
        <v>4490.0157900000004</v>
      </c>
      <c r="G28" s="118">
        <v>4437.1481199999998</v>
      </c>
      <c r="H28" s="118">
        <v>4437.1481199999998</v>
      </c>
      <c r="I28" s="118">
        <v>4437.1481199999998</v>
      </c>
      <c r="J28" s="118">
        <v>4437.1481199999998</v>
      </c>
      <c r="K28" s="118">
        <v>4432.6978399999998</v>
      </c>
      <c r="L28" s="118">
        <v>4432.6978399999998</v>
      </c>
      <c r="M28" s="118">
        <v>4432.6978399999998</v>
      </c>
      <c r="N28" s="118">
        <v>4432.6978399999998</v>
      </c>
      <c r="O28" s="118">
        <v>4432.6978399999998</v>
      </c>
      <c r="P28" s="118">
        <v>4432.6978399999998</v>
      </c>
      <c r="Q28" s="118">
        <v>4432.6978399999998</v>
      </c>
      <c r="R28" s="118">
        <v>4432.6978399999998</v>
      </c>
      <c r="S28" s="118">
        <v>4432.6978399999998</v>
      </c>
    </row>
    <row r="29" spans="1:19">
      <c r="A29" s="118" t="str">
        <f t="shared" si="0"/>
        <v>LGE</v>
      </c>
      <c r="B29" s="118" t="s">
        <v>545</v>
      </c>
      <c r="C29" s="118" t="str">
        <f t="shared" si="1"/>
        <v>365</v>
      </c>
      <c r="D29" s="113" t="s">
        <v>527</v>
      </c>
      <c r="E29" s="113" t="str">
        <f t="shared" si="2"/>
        <v/>
      </c>
      <c r="F29" s="118">
        <v>220.65904999999901</v>
      </c>
      <c r="G29" s="118">
        <v>220.65904999999901</v>
      </c>
      <c r="H29" s="118">
        <v>220.65904999999901</v>
      </c>
      <c r="I29" s="118">
        <v>220.65904999999901</v>
      </c>
      <c r="J29" s="118">
        <v>220.65904999999901</v>
      </c>
      <c r="K29" s="118">
        <v>220.65904999999901</v>
      </c>
      <c r="L29" s="118">
        <v>220.65904999999901</v>
      </c>
      <c r="M29" s="118">
        <v>220.65904999999901</v>
      </c>
      <c r="N29" s="118">
        <v>220.65904999999901</v>
      </c>
      <c r="O29" s="118">
        <v>220.65904999999901</v>
      </c>
      <c r="P29" s="118">
        <v>220.65904999999901</v>
      </c>
      <c r="Q29" s="118">
        <v>220.65904999999901</v>
      </c>
      <c r="R29" s="118">
        <v>220.65904999999901</v>
      </c>
      <c r="S29" s="118">
        <v>220.65904999999901</v>
      </c>
    </row>
    <row r="30" spans="1:19">
      <c r="A30" s="118" t="str">
        <f t="shared" si="0"/>
        <v>LGE</v>
      </c>
      <c r="B30" s="118" t="s">
        <v>545</v>
      </c>
      <c r="C30" s="118" t="str">
        <f t="shared" si="1"/>
        <v>367</v>
      </c>
      <c r="D30" s="113" t="s">
        <v>528</v>
      </c>
      <c r="E30" s="113" t="str">
        <f t="shared" si="2"/>
        <v/>
      </c>
      <c r="F30" s="118">
        <v>50987.287559999997</v>
      </c>
      <c r="G30" s="118">
        <v>51029.182569999997</v>
      </c>
      <c r="H30" s="118">
        <v>51087.100740000002</v>
      </c>
      <c r="I30" s="118">
        <v>51278.481619999999</v>
      </c>
      <c r="J30" s="118">
        <v>51259.355600000003</v>
      </c>
      <c r="K30" s="118">
        <v>51839.461499999998</v>
      </c>
      <c r="L30" s="118">
        <v>51927.872340000002</v>
      </c>
      <c r="M30" s="118">
        <v>51992.867140000002</v>
      </c>
      <c r="N30" s="118">
        <v>52584.717019999996</v>
      </c>
      <c r="O30" s="118">
        <v>52922.316059999997</v>
      </c>
      <c r="P30" s="118">
        <v>52922.316059999997</v>
      </c>
      <c r="Q30" s="118">
        <v>52897.958019999998</v>
      </c>
      <c r="R30" s="118">
        <v>52897.958019999998</v>
      </c>
      <c r="S30" s="118">
        <v>52897.958019999998</v>
      </c>
    </row>
    <row r="31" spans="1:19">
      <c r="A31" s="118" t="str">
        <f t="shared" si="0"/>
        <v>LGE</v>
      </c>
      <c r="B31" s="118" t="s">
        <v>545</v>
      </c>
      <c r="C31" s="118" t="str">
        <f t="shared" si="1"/>
        <v>372</v>
      </c>
      <c r="D31" s="113" t="s">
        <v>729</v>
      </c>
      <c r="E31" s="113" t="str">
        <f t="shared" si="2"/>
        <v>ARO</v>
      </c>
      <c r="F31" s="118">
        <v>2332.0049100000001</v>
      </c>
      <c r="G31" s="118">
        <v>2332.0049100000001</v>
      </c>
      <c r="H31" s="118">
        <v>2332.0049100000001</v>
      </c>
      <c r="I31" s="118">
        <v>2332.0049100000001</v>
      </c>
      <c r="J31" s="118">
        <v>2332.0049100000001</v>
      </c>
      <c r="K31" s="118">
        <v>2332.0049100000001</v>
      </c>
      <c r="L31" s="118">
        <v>2332.0049100000001</v>
      </c>
      <c r="M31" s="118">
        <v>2332.0049100000001</v>
      </c>
      <c r="N31" s="118">
        <v>2332.0049100000001</v>
      </c>
      <c r="O31" s="118">
        <v>2332.0049100000001</v>
      </c>
      <c r="P31" s="118">
        <v>2332.0049100000001</v>
      </c>
      <c r="Q31" s="118">
        <v>2332.0049100000001</v>
      </c>
      <c r="R31" s="118">
        <v>2332.0049100000001</v>
      </c>
      <c r="S31" s="118">
        <v>2332.0049100000001</v>
      </c>
    </row>
    <row r="32" spans="1:19">
      <c r="A32" s="118" t="str">
        <f t="shared" si="0"/>
        <v>LGE</v>
      </c>
      <c r="B32" s="118" t="s">
        <v>545</v>
      </c>
      <c r="C32" s="118" t="str">
        <f t="shared" si="1"/>
        <v>374</v>
      </c>
      <c r="D32" s="113" t="s">
        <v>529</v>
      </c>
      <c r="E32" s="113" t="str">
        <f t="shared" si="2"/>
        <v/>
      </c>
      <c r="F32" s="118">
        <v>134.49691000000001</v>
      </c>
      <c r="G32" s="118">
        <v>134.49691000000001</v>
      </c>
      <c r="H32" s="118">
        <v>134.49691000000001</v>
      </c>
      <c r="I32" s="118">
        <v>134.49691000000001</v>
      </c>
      <c r="J32" s="118">
        <v>134.49691000000001</v>
      </c>
      <c r="K32" s="118">
        <v>134.49691000000001</v>
      </c>
      <c r="L32" s="118">
        <v>134.49691000000001</v>
      </c>
      <c r="M32" s="118">
        <v>134.49691000000001</v>
      </c>
      <c r="N32" s="118">
        <v>134.49691000000001</v>
      </c>
      <c r="O32" s="118">
        <v>134.49691000000001</v>
      </c>
      <c r="P32" s="118">
        <v>134.49691000000001</v>
      </c>
      <c r="Q32" s="118">
        <v>134.49691000000001</v>
      </c>
      <c r="R32" s="118">
        <v>134.49691000000001</v>
      </c>
      <c r="S32" s="118">
        <v>134.49691000000001</v>
      </c>
    </row>
    <row r="33" spans="1:19">
      <c r="A33" s="118" t="str">
        <f t="shared" si="0"/>
        <v>LGE</v>
      </c>
      <c r="B33" s="118" t="s">
        <v>545</v>
      </c>
      <c r="C33" s="118" t="str">
        <f t="shared" si="1"/>
        <v>375</v>
      </c>
      <c r="D33" s="113" t="s">
        <v>530</v>
      </c>
      <c r="E33" s="113" t="str">
        <f t="shared" si="2"/>
        <v/>
      </c>
      <c r="F33" s="118">
        <v>1144.9924899999901</v>
      </c>
      <c r="G33" s="118">
        <v>1144.9924899999901</v>
      </c>
      <c r="H33" s="118">
        <v>1156.4099100000001</v>
      </c>
      <c r="I33" s="118">
        <v>1156.4099100000001</v>
      </c>
      <c r="J33" s="118">
        <v>1156.4099100000001</v>
      </c>
      <c r="K33" s="118">
        <v>1155.8124299999999</v>
      </c>
      <c r="L33" s="118">
        <v>1155.8124299999999</v>
      </c>
      <c r="M33" s="118">
        <v>1155.8124299999999</v>
      </c>
      <c r="N33" s="118">
        <v>1155.8124299999999</v>
      </c>
      <c r="O33" s="118">
        <v>1155.8124299999999</v>
      </c>
      <c r="P33" s="118">
        <v>1155.8124299999999</v>
      </c>
      <c r="Q33" s="118">
        <v>1155.8124299999999</v>
      </c>
      <c r="R33" s="118">
        <v>1155.8124299999999</v>
      </c>
      <c r="S33" s="118">
        <v>1155.8124299999999</v>
      </c>
    </row>
    <row r="34" spans="1:19">
      <c r="A34" s="118" t="str">
        <f t="shared" si="0"/>
        <v>LGE</v>
      </c>
      <c r="B34" s="118" t="s">
        <v>545</v>
      </c>
      <c r="C34" s="118" t="str">
        <f t="shared" si="1"/>
        <v>376</v>
      </c>
      <c r="D34" s="113" t="s">
        <v>531</v>
      </c>
      <c r="E34" s="113" t="str">
        <f t="shared" si="2"/>
        <v/>
      </c>
      <c r="F34" s="118">
        <v>338963.22470000002</v>
      </c>
      <c r="G34" s="118">
        <v>339238.02750000003</v>
      </c>
      <c r="H34" s="118">
        <v>339338.56455000001</v>
      </c>
      <c r="I34" s="118">
        <v>339905.84986000002</v>
      </c>
      <c r="J34" s="118">
        <v>342917.02</v>
      </c>
      <c r="K34" s="118">
        <v>343368.90110000002</v>
      </c>
      <c r="L34" s="118">
        <v>343801.32870000001</v>
      </c>
      <c r="M34" s="118">
        <v>343645.8749</v>
      </c>
      <c r="N34" s="118">
        <v>346159.19075000001</v>
      </c>
      <c r="O34" s="118">
        <v>346085.85950999998</v>
      </c>
      <c r="P34" s="118">
        <v>345845.76471999998</v>
      </c>
      <c r="Q34" s="118">
        <v>345367.48648999998</v>
      </c>
      <c r="R34" s="118">
        <v>346283.35508000001</v>
      </c>
      <c r="S34" s="118">
        <v>347086.76189999998</v>
      </c>
    </row>
    <row r="35" spans="1:19">
      <c r="A35" s="118" t="str">
        <f t="shared" si="0"/>
        <v>LGE</v>
      </c>
      <c r="B35" s="118" t="s">
        <v>545</v>
      </c>
      <c r="C35" s="118" t="str">
        <f t="shared" si="1"/>
        <v>376</v>
      </c>
      <c r="D35" s="113" t="s">
        <v>532</v>
      </c>
      <c r="E35" s="113" t="str">
        <f t="shared" si="2"/>
        <v>GLT</v>
      </c>
      <c r="F35" s="118">
        <v>43469.60641</v>
      </c>
      <c r="G35" s="118">
        <v>45610.406860000003</v>
      </c>
      <c r="H35" s="118">
        <v>47662.599820000003</v>
      </c>
      <c r="I35" s="118">
        <v>49951.674979999902</v>
      </c>
      <c r="J35" s="118">
        <v>51938.695269999997</v>
      </c>
      <c r="K35" s="118">
        <v>53536.8664099999</v>
      </c>
      <c r="L35" s="118">
        <v>55627.534079999998</v>
      </c>
      <c r="M35" s="118">
        <v>57751.1954799999</v>
      </c>
      <c r="N35" s="118">
        <v>60600.175739999897</v>
      </c>
      <c r="O35" s="118">
        <v>63102.067759999904</v>
      </c>
      <c r="P35" s="118">
        <v>65574.812769999902</v>
      </c>
      <c r="Q35" s="118">
        <v>67977.361949999904</v>
      </c>
      <c r="R35" s="118">
        <v>69021.768619999901</v>
      </c>
      <c r="S35" s="118">
        <v>70172.442229999899</v>
      </c>
    </row>
    <row r="36" spans="1:19">
      <c r="A36" s="118" t="str">
        <f t="shared" si="0"/>
        <v>LGE</v>
      </c>
      <c r="B36" s="118" t="s">
        <v>545</v>
      </c>
      <c r="C36" s="118" t="str">
        <f t="shared" si="1"/>
        <v>378</v>
      </c>
      <c r="D36" s="113" t="s">
        <v>533</v>
      </c>
      <c r="E36" s="113" t="str">
        <f t="shared" si="2"/>
        <v/>
      </c>
      <c r="F36" s="118">
        <v>17674.301530000001</v>
      </c>
      <c r="G36" s="118">
        <v>17577.946260000001</v>
      </c>
      <c r="H36" s="118">
        <v>17619.980800000001</v>
      </c>
      <c r="I36" s="118">
        <v>17754.8966</v>
      </c>
      <c r="J36" s="118">
        <v>18631.813440000002</v>
      </c>
      <c r="K36" s="118">
        <v>18870.66275</v>
      </c>
      <c r="L36" s="118">
        <v>19489.80429</v>
      </c>
      <c r="M36" s="118">
        <v>19927.76741</v>
      </c>
      <c r="N36" s="118">
        <v>20493.144619999999</v>
      </c>
      <c r="O36" s="118">
        <v>21256.79696</v>
      </c>
      <c r="P36" s="118">
        <v>21437.201130000001</v>
      </c>
      <c r="Q36" s="118">
        <v>22768.49685</v>
      </c>
      <c r="R36" s="118">
        <v>22768.49685</v>
      </c>
      <c r="S36" s="118">
        <v>22779.896850000001</v>
      </c>
    </row>
    <row r="37" spans="1:19">
      <c r="A37" s="118" t="str">
        <f t="shared" si="0"/>
        <v>LGE</v>
      </c>
      <c r="B37" s="118" t="s">
        <v>545</v>
      </c>
      <c r="C37" s="118" t="str">
        <f t="shared" si="1"/>
        <v>379</v>
      </c>
      <c r="D37" s="113" t="s">
        <v>534</v>
      </c>
      <c r="E37" s="113" t="str">
        <f t="shared" si="2"/>
        <v/>
      </c>
      <c r="F37" s="118">
        <v>7185.3906699999998</v>
      </c>
      <c r="G37" s="118">
        <v>7283.6876499999998</v>
      </c>
      <c r="H37" s="118">
        <v>7273.5013399999998</v>
      </c>
      <c r="I37" s="118">
        <v>7378.3032800000001</v>
      </c>
      <c r="J37" s="118">
        <v>7378.3032800000001</v>
      </c>
      <c r="K37" s="118">
        <v>7475.5793400000002</v>
      </c>
      <c r="L37" s="118">
        <v>7555.1318899999997</v>
      </c>
      <c r="M37" s="118">
        <v>7503.7353400000002</v>
      </c>
      <c r="N37" s="118">
        <v>7757.3508499999998</v>
      </c>
      <c r="O37" s="118">
        <v>11470.2855</v>
      </c>
      <c r="P37" s="118">
        <v>11507.429050000001</v>
      </c>
      <c r="Q37" s="118">
        <v>11833.15574</v>
      </c>
      <c r="R37" s="118">
        <v>11855.955739999999</v>
      </c>
      <c r="S37" s="118">
        <v>11878.7557399999</v>
      </c>
    </row>
    <row r="38" spans="1:19">
      <c r="A38" s="118" t="str">
        <f t="shared" si="0"/>
        <v>LGE</v>
      </c>
      <c r="B38" s="118" t="s">
        <v>545</v>
      </c>
      <c r="C38" s="118" t="str">
        <f t="shared" si="1"/>
        <v>380</v>
      </c>
      <c r="D38" s="113" t="s">
        <v>535</v>
      </c>
      <c r="E38" s="113" t="str">
        <f t="shared" si="2"/>
        <v/>
      </c>
      <c r="F38" s="118">
        <v>202733.8633</v>
      </c>
      <c r="G38" s="118">
        <v>202875.77239999999</v>
      </c>
      <c r="H38" s="118">
        <v>202990.59732</v>
      </c>
      <c r="I38" s="118">
        <v>203214.75313999999</v>
      </c>
      <c r="J38" s="118">
        <v>203689.65950000001</v>
      </c>
      <c r="K38" s="118">
        <v>203805.65229999999</v>
      </c>
      <c r="L38" s="118">
        <v>204048.2347</v>
      </c>
      <c r="M38" s="118">
        <v>203728.18469999899</v>
      </c>
      <c r="N38" s="118">
        <v>203881.25441999899</v>
      </c>
      <c r="O38" s="118">
        <v>204014.53683999999</v>
      </c>
      <c r="P38" s="118">
        <v>200772.27007999999</v>
      </c>
      <c r="Q38" s="118">
        <v>200905.57436</v>
      </c>
      <c r="R38" s="118">
        <v>201056.04793999999</v>
      </c>
      <c r="S38" s="118">
        <v>201190.16859999899</v>
      </c>
    </row>
    <row r="39" spans="1:19">
      <c r="A39" s="118" t="str">
        <f t="shared" si="0"/>
        <v>LGE</v>
      </c>
      <c r="B39" s="118" t="s">
        <v>545</v>
      </c>
      <c r="C39" s="118" t="str">
        <f t="shared" si="1"/>
        <v>380</v>
      </c>
      <c r="D39" s="113" t="s">
        <v>536</v>
      </c>
      <c r="E39" s="113" t="str">
        <f t="shared" si="2"/>
        <v>GLT</v>
      </c>
      <c r="F39" s="118">
        <v>126328.89569999999</v>
      </c>
      <c r="G39" s="118">
        <v>128316.30250000001</v>
      </c>
      <c r="H39" s="118">
        <v>130742.93042</v>
      </c>
      <c r="I39" s="118">
        <v>133198.70170000001</v>
      </c>
      <c r="J39" s="118">
        <v>136242.1263</v>
      </c>
      <c r="K39" s="118">
        <v>139553.67319999999</v>
      </c>
      <c r="L39" s="118">
        <v>142327.00440000001</v>
      </c>
      <c r="M39" s="118">
        <v>145529.45509999999</v>
      </c>
      <c r="N39" s="118">
        <v>148800.04402999999</v>
      </c>
      <c r="O39" s="118">
        <v>151873.67961999899</v>
      </c>
      <c r="P39" s="118">
        <v>154407.76701999901</v>
      </c>
      <c r="Q39" s="118">
        <v>156802.42964999899</v>
      </c>
      <c r="R39" s="118">
        <v>158814.52659999899</v>
      </c>
      <c r="S39" s="118">
        <v>160768.11223999999</v>
      </c>
    </row>
    <row r="40" spans="1:19">
      <c r="A40" s="118" t="str">
        <f t="shared" si="0"/>
        <v>LGE</v>
      </c>
      <c r="B40" s="118" t="s">
        <v>545</v>
      </c>
      <c r="C40" s="118" t="str">
        <f t="shared" si="1"/>
        <v>381</v>
      </c>
      <c r="D40" s="113" t="s">
        <v>537</v>
      </c>
      <c r="E40" s="113" t="str">
        <f t="shared" si="2"/>
        <v/>
      </c>
      <c r="F40" s="118">
        <v>47375.860809999998</v>
      </c>
      <c r="G40" s="118">
        <v>47492.834040000002</v>
      </c>
      <c r="H40" s="118">
        <v>47492.834040000002</v>
      </c>
      <c r="I40" s="118">
        <v>47492.834040000002</v>
      </c>
      <c r="J40" s="118">
        <v>47518.598680000003</v>
      </c>
      <c r="K40" s="118">
        <v>47545.255590000001</v>
      </c>
      <c r="L40" s="118">
        <v>47607.664839999998</v>
      </c>
      <c r="M40" s="118">
        <v>47610.895859999997</v>
      </c>
      <c r="N40" s="118">
        <v>50253.024169999997</v>
      </c>
      <c r="O40" s="118">
        <v>50446.789169999996</v>
      </c>
      <c r="P40" s="118">
        <v>50599.542169999899</v>
      </c>
      <c r="Q40" s="118">
        <v>50696.856169999897</v>
      </c>
      <c r="R40" s="118">
        <v>50798.180029999901</v>
      </c>
      <c r="S40" s="118">
        <v>51252.660239999903</v>
      </c>
    </row>
    <row r="41" spans="1:19">
      <c r="A41" s="118" t="str">
        <f t="shared" si="0"/>
        <v>LGE</v>
      </c>
      <c r="B41" s="118" t="s">
        <v>545</v>
      </c>
      <c r="C41" s="118" t="str">
        <f t="shared" si="1"/>
        <v>383</v>
      </c>
      <c r="D41" s="113" t="s">
        <v>538</v>
      </c>
      <c r="E41" s="113" t="str">
        <f t="shared" si="2"/>
        <v/>
      </c>
      <c r="F41" s="118">
        <v>25550.379959999998</v>
      </c>
      <c r="G41" s="118">
        <v>25550.379959999998</v>
      </c>
      <c r="H41" s="118">
        <v>25550.379959999998</v>
      </c>
      <c r="I41" s="118">
        <v>25550.379959999998</v>
      </c>
      <c r="J41" s="118">
        <v>25550.379959999998</v>
      </c>
      <c r="K41" s="118">
        <v>25550.379959999998</v>
      </c>
      <c r="L41" s="118">
        <v>25550.379959999998</v>
      </c>
      <c r="M41" s="118">
        <v>25550.379959999998</v>
      </c>
      <c r="N41" s="118">
        <v>25550.379959999998</v>
      </c>
      <c r="O41" s="118">
        <v>25550.379959999998</v>
      </c>
      <c r="P41" s="118">
        <v>25550.379959999998</v>
      </c>
      <c r="Q41" s="118">
        <v>25550.379959999998</v>
      </c>
      <c r="R41" s="118">
        <v>25550.379959999998</v>
      </c>
      <c r="S41" s="118">
        <v>25550.379959999998</v>
      </c>
    </row>
    <row r="42" spans="1:19">
      <c r="A42" s="118" t="str">
        <f t="shared" si="0"/>
        <v>LGE</v>
      </c>
      <c r="B42" s="118" t="s">
        <v>545</v>
      </c>
      <c r="C42" s="118" t="str">
        <f t="shared" si="1"/>
        <v>385</v>
      </c>
      <c r="D42" s="113" t="s">
        <v>539</v>
      </c>
      <c r="E42" s="113" t="str">
        <f t="shared" si="2"/>
        <v/>
      </c>
      <c r="F42" s="118">
        <v>960.68695000000002</v>
      </c>
      <c r="G42" s="118">
        <v>960.68695000000002</v>
      </c>
      <c r="H42" s="118">
        <v>960.68695000000002</v>
      </c>
      <c r="I42" s="118">
        <v>960.68695000000002</v>
      </c>
      <c r="J42" s="118">
        <v>960.68695000000002</v>
      </c>
      <c r="K42" s="118">
        <v>960.68695000000002</v>
      </c>
      <c r="L42" s="118">
        <v>960.68695000000002</v>
      </c>
      <c r="M42" s="118">
        <v>960.68695000000002</v>
      </c>
      <c r="N42" s="118">
        <v>1259.0176799999999</v>
      </c>
      <c r="O42" s="118">
        <v>1353.4419</v>
      </c>
      <c r="P42" s="118">
        <v>1497.92614</v>
      </c>
      <c r="Q42" s="118">
        <v>1540.25549</v>
      </c>
      <c r="R42" s="118">
        <v>1540.25549</v>
      </c>
      <c r="S42" s="118">
        <v>1540.25549</v>
      </c>
    </row>
    <row r="43" spans="1:19">
      <c r="A43" s="118" t="str">
        <f t="shared" si="0"/>
        <v>LGE</v>
      </c>
      <c r="B43" s="118" t="s">
        <v>545</v>
      </c>
      <c r="C43" s="118" t="str">
        <f t="shared" si="1"/>
        <v>387</v>
      </c>
      <c r="D43" s="113" t="s">
        <v>540</v>
      </c>
      <c r="E43" s="113" t="str">
        <f t="shared" si="2"/>
        <v/>
      </c>
      <c r="F43" s="118">
        <v>51.112339999999897</v>
      </c>
      <c r="G43" s="118">
        <v>51.112339999999897</v>
      </c>
      <c r="H43" s="118">
        <v>51.112339999999897</v>
      </c>
      <c r="I43" s="118">
        <v>51.112339999999897</v>
      </c>
      <c r="J43" s="118">
        <v>51.112339999999897</v>
      </c>
      <c r="K43" s="118">
        <v>51.112339999999897</v>
      </c>
      <c r="L43" s="118">
        <v>51.112339999999897</v>
      </c>
      <c r="M43" s="118">
        <v>51.112339999999897</v>
      </c>
      <c r="N43" s="118">
        <v>76.638479999999902</v>
      </c>
      <c r="O43" s="118">
        <v>311.47347000000002</v>
      </c>
      <c r="P43" s="118">
        <v>344.43266999999997</v>
      </c>
      <c r="Q43" s="118">
        <v>344.43266999999997</v>
      </c>
      <c r="R43" s="118">
        <v>344.43266999999997</v>
      </c>
      <c r="S43" s="118">
        <v>344.43266999999997</v>
      </c>
    </row>
    <row r="44" spans="1:19">
      <c r="A44" s="118" t="str">
        <f t="shared" si="0"/>
        <v>LGE</v>
      </c>
      <c r="B44" s="118" t="s">
        <v>545</v>
      </c>
      <c r="C44" s="118" t="str">
        <f t="shared" si="1"/>
        <v>388</v>
      </c>
      <c r="D44" s="113" t="s">
        <v>541</v>
      </c>
      <c r="E44" s="113" t="str">
        <f t="shared" si="2"/>
        <v>ARO</v>
      </c>
      <c r="F44" s="118">
        <v>10482.09352</v>
      </c>
      <c r="G44" s="118">
        <v>10476.131659999999</v>
      </c>
      <c r="H44" s="118">
        <v>10476.131659999999</v>
      </c>
      <c r="I44" s="118">
        <v>10476.131659999999</v>
      </c>
      <c r="J44" s="118">
        <v>10476.131659999999</v>
      </c>
      <c r="K44" s="118">
        <v>10475.15266</v>
      </c>
      <c r="L44" s="118">
        <v>10475.15266</v>
      </c>
      <c r="M44" s="118">
        <v>10475.15266</v>
      </c>
      <c r="N44" s="118">
        <v>10475.15266</v>
      </c>
      <c r="O44" s="118">
        <v>10475.15266</v>
      </c>
      <c r="P44" s="118">
        <v>10475.15266</v>
      </c>
      <c r="Q44" s="118">
        <v>10475.15266</v>
      </c>
      <c r="R44" s="118">
        <v>10475.15266</v>
      </c>
      <c r="S44" s="118">
        <v>10475.15266</v>
      </c>
    </row>
    <row r="45" spans="1:19">
      <c r="A45" s="118" t="str">
        <f t="shared" si="0"/>
        <v>LGE</v>
      </c>
      <c r="B45" s="118" t="s">
        <v>545</v>
      </c>
      <c r="C45" s="118" t="str">
        <f t="shared" si="1"/>
        <v>392</v>
      </c>
      <c r="D45" s="113" t="s">
        <v>1327</v>
      </c>
      <c r="E45" s="113" t="str">
        <f t="shared" si="2"/>
        <v/>
      </c>
      <c r="F45" s="118">
        <v>577.96209999999996</v>
      </c>
      <c r="G45" s="118">
        <v>588.19137999999998</v>
      </c>
      <c r="H45" s="118">
        <v>588.19137999999998</v>
      </c>
      <c r="I45" s="118">
        <v>588.19137999999998</v>
      </c>
      <c r="J45" s="118">
        <v>588.19137999999998</v>
      </c>
      <c r="K45" s="118">
        <v>588.19137999999998</v>
      </c>
      <c r="L45" s="118">
        <v>588.19137999999998</v>
      </c>
      <c r="M45" s="118">
        <v>588.19137999999998</v>
      </c>
      <c r="N45" s="118">
        <v>733.29685999999901</v>
      </c>
      <c r="O45" s="118">
        <v>733.29685999999901</v>
      </c>
      <c r="P45" s="118">
        <v>828.989859999999</v>
      </c>
      <c r="Q45" s="118">
        <v>828.989859999999</v>
      </c>
      <c r="R45" s="118">
        <v>828.989859999999</v>
      </c>
      <c r="S45" s="118">
        <v>828.989859999999</v>
      </c>
    </row>
    <row r="46" spans="1:19">
      <c r="A46" s="118" t="str">
        <f t="shared" si="0"/>
        <v>LGE</v>
      </c>
      <c r="B46" s="118" t="s">
        <v>545</v>
      </c>
      <c r="C46" s="118" t="str">
        <f t="shared" si="1"/>
        <v>392</v>
      </c>
      <c r="D46" s="113" t="s">
        <v>542</v>
      </c>
      <c r="E46" s="113" t="str">
        <f t="shared" si="2"/>
        <v/>
      </c>
      <c r="F46" s="118">
        <v>938.81016999999997</v>
      </c>
      <c r="G46" s="118">
        <v>938.81016999999997</v>
      </c>
      <c r="H46" s="118">
        <v>938.81016999999997</v>
      </c>
      <c r="I46" s="118">
        <v>938.81016999999997</v>
      </c>
      <c r="J46" s="118">
        <v>938.81016999999997</v>
      </c>
      <c r="K46" s="118">
        <v>938.81016999999997</v>
      </c>
      <c r="L46" s="118">
        <v>938.81016999999997</v>
      </c>
      <c r="M46" s="118">
        <v>938.81016999999997</v>
      </c>
      <c r="N46" s="118">
        <v>1087.38948</v>
      </c>
      <c r="O46" s="118">
        <v>1087.38948</v>
      </c>
      <c r="P46" s="118">
        <v>1087.38948</v>
      </c>
      <c r="Q46" s="118">
        <v>1087.38948</v>
      </c>
      <c r="R46" s="118">
        <v>1087.38948</v>
      </c>
      <c r="S46" s="118">
        <v>1087.38948</v>
      </c>
    </row>
    <row r="47" spans="1:19">
      <c r="A47" s="118" t="str">
        <f t="shared" si="0"/>
        <v>LGE</v>
      </c>
      <c r="B47" s="118" t="s">
        <v>545</v>
      </c>
      <c r="C47" s="118" t="str">
        <f t="shared" si="1"/>
        <v>394</v>
      </c>
      <c r="D47" s="113" t="s">
        <v>543</v>
      </c>
      <c r="E47" s="113" t="str">
        <f t="shared" si="2"/>
        <v/>
      </c>
      <c r="F47" s="118">
        <v>6411.1254200000003</v>
      </c>
      <c r="G47" s="118">
        <v>6716.45694</v>
      </c>
      <c r="H47" s="118">
        <v>6783.9423900000002</v>
      </c>
      <c r="I47" s="118">
        <v>6818.0942599999998</v>
      </c>
      <c r="J47" s="118">
        <v>6909.3531400000002</v>
      </c>
      <c r="K47" s="118">
        <v>6803.8549000000003</v>
      </c>
      <c r="L47" s="118">
        <v>6879.7959099999998</v>
      </c>
      <c r="M47" s="118">
        <v>6588.5220300000001</v>
      </c>
      <c r="N47" s="118">
        <v>6694.6581500000002</v>
      </c>
      <c r="O47" s="118">
        <v>6769.4591399999999</v>
      </c>
      <c r="P47" s="118">
        <v>6898.8347899999999</v>
      </c>
      <c r="Q47" s="118">
        <v>6905.0863899999904</v>
      </c>
      <c r="R47" s="118">
        <v>6905.0863899999904</v>
      </c>
      <c r="S47" s="118">
        <v>6905.0863899999904</v>
      </c>
    </row>
    <row r="48" spans="1:19">
      <c r="A48" s="118" t="str">
        <f t="shared" si="0"/>
        <v>LGE</v>
      </c>
      <c r="B48" s="118" t="s">
        <v>545</v>
      </c>
      <c r="C48" s="118" t="str">
        <f t="shared" si="1"/>
        <v>396</v>
      </c>
      <c r="D48" s="113" t="s">
        <v>544</v>
      </c>
      <c r="E48" s="113" t="str">
        <f t="shared" si="2"/>
        <v/>
      </c>
      <c r="F48" s="118">
        <v>214.32850999999999</v>
      </c>
      <c r="G48" s="118">
        <v>214.32850999999999</v>
      </c>
      <c r="H48" s="118">
        <v>214.32850999999999</v>
      </c>
      <c r="I48" s="118">
        <v>214.32850999999999</v>
      </c>
      <c r="J48" s="118">
        <v>214.32850999999999</v>
      </c>
      <c r="K48" s="118">
        <v>214.32850999999999</v>
      </c>
      <c r="L48" s="118">
        <v>214.32850999999999</v>
      </c>
      <c r="M48" s="118">
        <v>214.32850999999999</v>
      </c>
      <c r="N48" s="118">
        <v>250.32852</v>
      </c>
      <c r="O48" s="118">
        <v>250.32852</v>
      </c>
      <c r="P48" s="118">
        <v>250.32852</v>
      </c>
      <c r="Q48" s="118">
        <v>250.32852</v>
      </c>
      <c r="R48" s="118">
        <v>250.32852</v>
      </c>
      <c r="S48" s="118">
        <v>250.32852</v>
      </c>
    </row>
    <row r="49" spans="1:19">
      <c r="A49" s="118" t="str">
        <f t="shared" si="0"/>
        <v>LGE</v>
      </c>
      <c r="B49" s="118" t="s">
        <v>545</v>
      </c>
      <c r="C49" s="118" t="str">
        <f t="shared" si="1"/>
        <v>396</v>
      </c>
      <c r="D49" s="113" t="s">
        <v>1328</v>
      </c>
      <c r="E49" s="113" t="str">
        <f t="shared" si="2"/>
        <v/>
      </c>
      <c r="F49" s="118">
        <v>2931.5254799999998</v>
      </c>
      <c r="G49" s="118">
        <v>2947.5549700000001</v>
      </c>
      <c r="H49" s="118">
        <v>2947.5549700000001</v>
      </c>
      <c r="I49" s="118">
        <v>3068.7650600000002</v>
      </c>
      <c r="J49" s="118">
        <v>3068.7650600000002</v>
      </c>
      <c r="K49" s="118">
        <v>3190.1904</v>
      </c>
      <c r="L49" s="118">
        <v>3224.4264899999998</v>
      </c>
      <c r="M49" s="118">
        <v>3227.51179</v>
      </c>
      <c r="N49" s="118">
        <v>3520.9009000000001</v>
      </c>
      <c r="O49" s="118">
        <v>3520.9009000000001</v>
      </c>
      <c r="P49" s="118">
        <v>3520.9009000000001</v>
      </c>
      <c r="Q49" s="118">
        <v>3520.9009000000001</v>
      </c>
      <c r="R49" s="118">
        <v>3520.9009000000001</v>
      </c>
      <c r="S49" s="118">
        <v>3520.9009000000001</v>
      </c>
    </row>
    <row r="50" spans="1:19">
      <c r="E50" s="113" t="str">
        <f t="shared" si="2"/>
        <v/>
      </c>
    </row>
    <row r="51" spans="1:19">
      <c r="E51" s="113" t="str">
        <f t="shared" si="2"/>
        <v/>
      </c>
    </row>
    <row r="52" spans="1:19">
      <c r="E52" s="113" t="str">
        <f t="shared" si="2"/>
        <v/>
      </c>
    </row>
    <row r="53" spans="1:19">
      <c r="E53" s="113" t="str">
        <f t="shared" si="2"/>
        <v/>
      </c>
    </row>
    <row r="54" spans="1:19">
      <c r="E54" s="113" t="str">
        <f t="shared" si="2"/>
        <v/>
      </c>
    </row>
    <row r="55" spans="1:19">
      <c r="E55" s="113" t="str">
        <f t="shared" si="2"/>
        <v/>
      </c>
    </row>
    <row r="56" spans="1:19">
      <c r="E56" s="113" t="str">
        <f t="shared" si="2"/>
        <v/>
      </c>
    </row>
    <row r="57" spans="1:19">
      <c r="E57" s="113" t="str">
        <f t="shared" si="2"/>
        <v/>
      </c>
    </row>
    <row r="58" spans="1:19">
      <c r="E58" s="113" t="str">
        <f t="shared" si="2"/>
        <v/>
      </c>
    </row>
    <row r="59" spans="1:19">
      <c r="E59" s="113" t="str">
        <f t="shared" si="2"/>
        <v/>
      </c>
    </row>
    <row r="60" spans="1:19">
      <c r="E60" s="113" t="str">
        <f t="shared" si="2"/>
        <v/>
      </c>
    </row>
    <row r="61" spans="1:19">
      <c r="E61" s="113" t="str">
        <f t="shared" si="2"/>
        <v/>
      </c>
    </row>
    <row r="62" spans="1:19">
      <c r="E62" s="113" t="str">
        <f t="shared" si="2"/>
        <v/>
      </c>
    </row>
    <row r="63" spans="1:19">
      <c r="E63" s="113" t="str">
        <f t="shared" si="2"/>
        <v/>
      </c>
    </row>
    <row r="64" spans="1:19">
      <c r="E64" s="113" t="str">
        <f t="shared" si="2"/>
        <v/>
      </c>
    </row>
    <row r="65" spans="1:21">
      <c r="E65" s="113" t="str">
        <f t="shared" si="2"/>
        <v/>
      </c>
    </row>
    <row r="66" spans="1:21">
      <c r="E66" s="113" t="str">
        <f t="shared" si="2"/>
        <v/>
      </c>
    </row>
    <row r="67" spans="1:21">
      <c r="E67" s="113" t="str">
        <f t="shared" si="2"/>
        <v/>
      </c>
    </row>
    <row r="68" spans="1:21">
      <c r="E68" s="113" t="str">
        <f t="shared" si="2"/>
        <v/>
      </c>
    </row>
    <row r="69" spans="1:21">
      <c r="E69" s="113" t="str">
        <f t="shared" si="2"/>
        <v/>
      </c>
    </row>
    <row r="70" spans="1:21">
      <c r="E70" s="113" t="str">
        <f t="shared" si="2"/>
        <v/>
      </c>
    </row>
    <row r="71" spans="1:21">
      <c r="E71" s="113" t="str">
        <f t="shared" ref="E71:E134" si="3">IF(ISTEXT(MID($D71,SEARCH("FUTURE USE",$D71),3)),"FUTURE USE",IF(ISTEXT(MID($D71,SEARCH("ECR",$D71),3)),"ECR",IF(ISTEXT(MID($D71,SEARCH("ARO",$D71),3)),"ARO",IF(ISTEXT(MID($D71,SEARCH("DSM",$D71),3)),"DSM",IF(ISTEXT(MID($D71,SEARCH("GLT",$D71),3)),"GLT","")))))</f>
        <v/>
      </c>
    </row>
    <row r="72" spans="1:21">
      <c r="E72" s="113" t="str">
        <f t="shared" si="3"/>
        <v/>
      </c>
    </row>
    <row r="73" spans="1:21">
      <c r="D73" s="113" t="s">
        <v>450</v>
      </c>
      <c r="E73" s="113" t="str">
        <f t="shared" si="3"/>
        <v/>
      </c>
    </row>
    <row r="74" spans="1:21">
      <c r="A74" s="118" t="str">
        <f t="shared" ref="A74:A90" si="4">MID($D74,4,3)</f>
        <v>LGE</v>
      </c>
      <c r="B74" s="118" t="s">
        <v>452</v>
      </c>
      <c r="C74" s="118" t="str">
        <f t="shared" ref="C74:C90" si="5">MID($D74,9,3)</f>
        <v>121</v>
      </c>
      <c r="D74" s="113" t="s">
        <v>435</v>
      </c>
      <c r="E74" s="113" t="str">
        <f t="shared" si="3"/>
        <v/>
      </c>
      <c r="F74" s="118">
        <v>630.89697999999999</v>
      </c>
      <c r="G74" s="118">
        <v>630.89697999999999</v>
      </c>
      <c r="H74" s="118">
        <v>630.89697999999999</v>
      </c>
      <c r="I74" s="118">
        <v>630.89697999999999</v>
      </c>
      <c r="J74" s="118">
        <v>630.89697999999999</v>
      </c>
      <c r="K74" s="118">
        <v>630.89697999999999</v>
      </c>
      <c r="L74" s="118">
        <v>630.89697999999999</v>
      </c>
      <c r="M74" s="118">
        <v>630.89697999999999</v>
      </c>
      <c r="N74" s="118">
        <v>630.89697999999999</v>
      </c>
      <c r="O74" s="118">
        <v>630.89697999999999</v>
      </c>
      <c r="P74" s="118">
        <v>630.89697999999999</v>
      </c>
      <c r="Q74" s="118">
        <v>630.89697999999999</v>
      </c>
      <c r="R74" s="118">
        <v>630.89697999999999</v>
      </c>
      <c r="S74" s="118">
        <v>630.89697999999999</v>
      </c>
    </row>
    <row r="75" spans="1:21">
      <c r="A75" s="118" t="str">
        <f t="shared" si="4"/>
        <v>LGE</v>
      </c>
      <c r="B75" s="118" t="s">
        <v>452</v>
      </c>
      <c r="C75" s="118" t="str">
        <f t="shared" si="5"/>
        <v>301</v>
      </c>
      <c r="D75" s="113" t="s">
        <v>436</v>
      </c>
      <c r="E75" s="113" t="str">
        <f t="shared" si="3"/>
        <v/>
      </c>
      <c r="F75" s="118">
        <v>83.782289999999904</v>
      </c>
      <c r="G75" s="118">
        <v>83.782289999999904</v>
      </c>
      <c r="H75" s="118">
        <v>83.782289999999904</v>
      </c>
      <c r="I75" s="118">
        <v>83.782289999999904</v>
      </c>
      <c r="J75" s="118">
        <v>83.782289999999904</v>
      </c>
      <c r="K75" s="118">
        <v>83.782289999999904</v>
      </c>
      <c r="L75" s="118">
        <v>83.782289999999904</v>
      </c>
      <c r="M75" s="118">
        <v>83.782289999999904</v>
      </c>
      <c r="N75" s="118">
        <v>83.782289999999904</v>
      </c>
      <c r="O75" s="118">
        <v>83.782289999999904</v>
      </c>
      <c r="P75" s="118">
        <v>83.782289999999904</v>
      </c>
      <c r="Q75" s="118">
        <v>83.782289999999904</v>
      </c>
      <c r="R75" s="118">
        <v>83.782289999999904</v>
      </c>
      <c r="S75" s="118">
        <v>83.782289999999904</v>
      </c>
    </row>
    <row r="76" spans="1:21">
      <c r="A76" s="118" t="str">
        <f t="shared" si="4"/>
        <v>LGE</v>
      </c>
      <c r="B76" s="118" t="s">
        <v>452</v>
      </c>
      <c r="C76" s="118" t="str">
        <f t="shared" si="5"/>
        <v>303</v>
      </c>
      <c r="D76" s="113" t="s">
        <v>437</v>
      </c>
      <c r="E76" s="113" t="str">
        <f t="shared" si="3"/>
        <v/>
      </c>
      <c r="F76" s="118">
        <v>51041.860280000001</v>
      </c>
      <c r="G76" s="118">
        <v>51157.849620000001</v>
      </c>
      <c r="H76" s="118">
        <v>51050.16145</v>
      </c>
      <c r="I76" s="118">
        <v>48904.653229999902</v>
      </c>
      <c r="J76" s="118">
        <v>48343.836710000003</v>
      </c>
      <c r="K76" s="118">
        <v>46039.847459999997</v>
      </c>
      <c r="L76" s="118">
        <v>45969.363279999998</v>
      </c>
      <c r="M76" s="118">
        <v>49471.125699999997</v>
      </c>
      <c r="N76" s="118">
        <v>49544.668030000001</v>
      </c>
      <c r="O76" s="118">
        <v>49030.831749999998</v>
      </c>
      <c r="P76" s="118">
        <v>49006.223749999997</v>
      </c>
      <c r="Q76" s="118">
        <v>56524.941700000003</v>
      </c>
      <c r="R76" s="118">
        <v>56330.273699999998</v>
      </c>
      <c r="S76" s="118">
        <v>56438.273699999998</v>
      </c>
    </row>
    <row r="77" spans="1:21">
      <c r="A77" s="118" t="str">
        <f t="shared" si="4"/>
        <v>LGE</v>
      </c>
      <c r="B77" s="118" t="s">
        <v>452</v>
      </c>
      <c r="C77" s="118" t="str">
        <f t="shared" si="5"/>
        <v>303</v>
      </c>
      <c r="D77" s="113" t="s">
        <v>438</v>
      </c>
      <c r="E77" s="113" t="str">
        <f t="shared" si="3"/>
        <v/>
      </c>
      <c r="F77" s="118">
        <v>45350.035250000001</v>
      </c>
      <c r="G77" s="118">
        <v>45350.035250000001</v>
      </c>
      <c r="H77" s="118">
        <v>45350.035250000001</v>
      </c>
      <c r="I77" s="118">
        <v>45350.035250000001</v>
      </c>
      <c r="J77" s="118">
        <v>45350.035250000001</v>
      </c>
      <c r="K77" s="118">
        <v>45350.035250000001</v>
      </c>
      <c r="L77" s="118">
        <v>45350.035250000001</v>
      </c>
      <c r="M77" s="118">
        <v>45350.035250000001</v>
      </c>
      <c r="N77" s="118">
        <v>45350.035250000001</v>
      </c>
      <c r="O77" s="118">
        <v>45350.035250000001</v>
      </c>
      <c r="P77" s="118">
        <v>45350.035250000001</v>
      </c>
      <c r="Q77" s="118">
        <v>45453.435189999997</v>
      </c>
      <c r="R77" s="118">
        <v>45453.435189999997</v>
      </c>
      <c r="S77" s="118">
        <v>45453.435189999997</v>
      </c>
    </row>
    <row r="78" spans="1:21">
      <c r="A78" s="118" t="str">
        <f t="shared" si="4"/>
        <v>LGE</v>
      </c>
      <c r="B78" s="118" t="s">
        <v>452</v>
      </c>
      <c r="C78" s="118" t="str">
        <f t="shared" si="5"/>
        <v>389</v>
      </c>
      <c r="D78" s="113" t="s">
        <v>439</v>
      </c>
      <c r="E78" s="113" t="str">
        <f t="shared" si="3"/>
        <v/>
      </c>
      <c r="F78" s="118">
        <v>1766.4893099999999</v>
      </c>
      <c r="G78" s="118">
        <v>1766.4893099999999</v>
      </c>
      <c r="H78" s="118">
        <v>1766.4893099999999</v>
      </c>
      <c r="I78" s="118">
        <v>1766.4893099999999</v>
      </c>
      <c r="J78" s="118">
        <v>1766.4893099999999</v>
      </c>
      <c r="K78" s="118">
        <v>1766.4893099999999</v>
      </c>
      <c r="L78" s="118">
        <v>1766.4893099999999</v>
      </c>
      <c r="M78" s="118">
        <v>1766.4893099999999</v>
      </c>
      <c r="N78" s="118">
        <v>1766.4893099999999</v>
      </c>
      <c r="O78" s="118">
        <v>1766.4893099999999</v>
      </c>
      <c r="P78" s="118">
        <v>1766.4893099999999</v>
      </c>
      <c r="Q78" s="118">
        <v>1766.4893099999999</v>
      </c>
      <c r="R78" s="118">
        <v>1766.4893099999999</v>
      </c>
      <c r="S78" s="118">
        <v>1766.4893099999999</v>
      </c>
    </row>
    <row r="79" spans="1:21">
      <c r="A79" s="118" t="str">
        <f t="shared" si="4"/>
        <v>LGE</v>
      </c>
      <c r="B79" s="118" t="s">
        <v>452</v>
      </c>
      <c r="C79" s="118" t="str">
        <f t="shared" si="5"/>
        <v>390</v>
      </c>
      <c r="D79" s="113" t="s">
        <v>440</v>
      </c>
      <c r="E79" s="113" t="str">
        <f t="shared" si="3"/>
        <v/>
      </c>
      <c r="F79" s="118">
        <v>77803.914319999996</v>
      </c>
      <c r="G79" s="118">
        <v>77869.6845399999</v>
      </c>
      <c r="H79" s="118">
        <v>78010.007419999994</v>
      </c>
      <c r="I79" s="118">
        <v>77982.008789999905</v>
      </c>
      <c r="J79" s="118">
        <v>78121.651159999994</v>
      </c>
      <c r="K79" s="118">
        <v>78202.923819999996</v>
      </c>
      <c r="L79" s="118">
        <v>78312.483640000006</v>
      </c>
      <c r="M79" s="118">
        <v>78622.835189999998</v>
      </c>
      <c r="N79" s="118">
        <v>78973.670589999994</v>
      </c>
      <c r="O79" s="118">
        <v>79024.757750000004</v>
      </c>
      <c r="P79" s="118">
        <v>79402.892749999999</v>
      </c>
      <c r="Q79" s="118">
        <v>80191.698739999905</v>
      </c>
      <c r="R79" s="118">
        <v>80191.698739999905</v>
      </c>
      <c r="S79" s="118">
        <v>80191.698739999905</v>
      </c>
      <c r="U79" s="113"/>
    </row>
    <row r="80" spans="1:21">
      <c r="A80" s="118" t="str">
        <f t="shared" si="4"/>
        <v>LGE</v>
      </c>
      <c r="B80" s="118" t="s">
        <v>452</v>
      </c>
      <c r="C80" s="118" t="str">
        <f t="shared" si="5"/>
        <v>391</v>
      </c>
      <c r="D80" s="113" t="s">
        <v>441</v>
      </c>
      <c r="E80" s="113" t="str">
        <f t="shared" si="3"/>
        <v/>
      </c>
      <c r="F80" s="118">
        <v>38981.087979999997</v>
      </c>
      <c r="G80" s="118">
        <v>38997.27334</v>
      </c>
      <c r="H80" s="118">
        <v>38286.733910000003</v>
      </c>
      <c r="I80" s="118">
        <v>37879.225709999999</v>
      </c>
      <c r="J80" s="118">
        <v>36026.038719999997</v>
      </c>
      <c r="K80" s="118">
        <v>35254.498659999997</v>
      </c>
      <c r="L80" s="118">
        <v>35357.679969999997</v>
      </c>
      <c r="M80" s="118">
        <v>35611.885679999999</v>
      </c>
      <c r="N80" s="118">
        <v>36468.864809999999</v>
      </c>
      <c r="O80" s="118">
        <v>36561.364690000002</v>
      </c>
      <c r="P80" s="118">
        <v>36850.45177</v>
      </c>
      <c r="Q80" s="118">
        <v>43174.09203</v>
      </c>
      <c r="R80" s="118">
        <v>42632.280030000002</v>
      </c>
      <c r="S80" s="118">
        <v>42666.840029999999</v>
      </c>
    </row>
    <row r="81" spans="1:19">
      <c r="A81" s="118" t="str">
        <f t="shared" si="4"/>
        <v>LGE</v>
      </c>
      <c r="B81" s="118" t="s">
        <v>452</v>
      </c>
      <c r="C81" s="118" t="str">
        <f t="shared" si="5"/>
        <v>392</v>
      </c>
      <c r="D81" s="113" t="s">
        <v>1329</v>
      </c>
      <c r="E81" s="113" t="str">
        <f t="shared" si="3"/>
        <v/>
      </c>
      <c r="F81" s="118">
        <v>49.54627</v>
      </c>
      <c r="G81" s="118">
        <v>49.54627</v>
      </c>
      <c r="H81" s="118">
        <v>49.54627</v>
      </c>
      <c r="I81" s="118">
        <v>49.54627</v>
      </c>
      <c r="J81" s="118">
        <v>49.54627</v>
      </c>
      <c r="K81" s="118">
        <v>41.842689999999997</v>
      </c>
      <c r="L81" s="118">
        <v>41.842689999999997</v>
      </c>
      <c r="M81" s="118">
        <v>41.842689999999997</v>
      </c>
      <c r="N81" s="118">
        <v>41.842689999999997</v>
      </c>
      <c r="O81" s="118">
        <v>41.842689999999997</v>
      </c>
      <c r="P81" s="118">
        <v>41.842689999999997</v>
      </c>
      <c r="Q81" s="118">
        <v>41.842689999999997</v>
      </c>
      <c r="R81" s="118">
        <v>41.842689999999997</v>
      </c>
      <c r="S81" s="118">
        <v>41.842689999999997</v>
      </c>
    </row>
    <row r="82" spans="1:19">
      <c r="A82" s="118" t="str">
        <f t="shared" si="4"/>
        <v>LGE</v>
      </c>
      <c r="B82" s="118" t="s">
        <v>452</v>
      </c>
      <c r="C82" s="118" t="str">
        <f t="shared" si="5"/>
        <v>392</v>
      </c>
      <c r="D82" s="113" t="s">
        <v>442</v>
      </c>
      <c r="E82" s="113" t="str">
        <f t="shared" si="3"/>
        <v/>
      </c>
      <c r="F82" s="118">
        <v>232.33367999999999</v>
      </c>
      <c r="G82" s="118">
        <v>232.33367999999999</v>
      </c>
      <c r="H82" s="118">
        <v>232.33367999999999</v>
      </c>
      <c r="I82" s="118">
        <v>232.33367999999999</v>
      </c>
      <c r="J82" s="118">
        <v>232.33367999999999</v>
      </c>
      <c r="K82" s="118">
        <v>232.33367999999999</v>
      </c>
      <c r="L82" s="118">
        <v>232.33367999999999</v>
      </c>
      <c r="M82" s="118">
        <v>232.33367999999999</v>
      </c>
      <c r="N82" s="118">
        <v>232.33367999999999</v>
      </c>
      <c r="O82" s="118">
        <v>232.33367999999999</v>
      </c>
      <c r="P82" s="118">
        <v>232.33367999999999</v>
      </c>
      <c r="Q82" s="118">
        <v>232.33367999999999</v>
      </c>
      <c r="R82" s="118">
        <v>232.33367999999999</v>
      </c>
      <c r="S82" s="118">
        <v>232.33367999999999</v>
      </c>
    </row>
    <row r="83" spans="1:19">
      <c r="A83" s="118" t="str">
        <f t="shared" si="4"/>
        <v>LGE</v>
      </c>
      <c r="B83" s="118" t="s">
        <v>452</v>
      </c>
      <c r="C83" s="118" t="str">
        <f t="shared" si="5"/>
        <v>393</v>
      </c>
      <c r="D83" s="113" t="s">
        <v>443</v>
      </c>
      <c r="E83" s="113" t="str">
        <f t="shared" si="3"/>
        <v/>
      </c>
      <c r="F83" s="118">
        <v>1493.8423399999999</v>
      </c>
      <c r="G83" s="118">
        <v>1498.0994800000001</v>
      </c>
      <c r="H83" s="118">
        <v>1498.0994800000001</v>
      </c>
      <c r="I83" s="118">
        <v>1498.0994800000001</v>
      </c>
      <c r="J83" s="118">
        <v>1498.0994800000001</v>
      </c>
      <c r="K83" s="118">
        <v>1498.0994800000001</v>
      </c>
      <c r="L83" s="118">
        <v>1471.07502</v>
      </c>
      <c r="M83" s="118">
        <v>1471.07502</v>
      </c>
      <c r="N83" s="118">
        <v>1471.07502</v>
      </c>
      <c r="O83" s="118">
        <v>1471.07502</v>
      </c>
      <c r="P83" s="118">
        <v>1471.07502</v>
      </c>
      <c r="Q83" s="118">
        <v>1471.07502</v>
      </c>
      <c r="R83" s="118">
        <v>1471.07502</v>
      </c>
      <c r="S83" s="118">
        <v>1471.07502</v>
      </c>
    </row>
    <row r="84" spans="1:19">
      <c r="A84" s="118" t="str">
        <f t="shared" si="4"/>
        <v>LGE</v>
      </c>
      <c r="B84" s="118" t="s">
        <v>452</v>
      </c>
      <c r="C84" s="118" t="str">
        <f t="shared" si="5"/>
        <v>394</v>
      </c>
      <c r="D84" s="113" t="s">
        <v>444</v>
      </c>
      <c r="E84" s="113" t="str">
        <f t="shared" si="3"/>
        <v/>
      </c>
      <c r="F84" s="118">
        <v>3983.6063399999998</v>
      </c>
      <c r="G84" s="118">
        <v>3992.5901600000002</v>
      </c>
      <c r="H84" s="118">
        <v>4014.30629</v>
      </c>
      <c r="I84" s="118">
        <v>4032.7566499999998</v>
      </c>
      <c r="J84" s="118">
        <v>4051.1283100000001</v>
      </c>
      <c r="K84" s="118">
        <v>4051.1283100000001</v>
      </c>
      <c r="L84" s="118">
        <v>4008.5533399999999</v>
      </c>
      <c r="M84" s="118">
        <v>4008.5533399999999</v>
      </c>
      <c r="N84" s="118">
        <v>4008.2925799999998</v>
      </c>
      <c r="O84" s="118">
        <v>4032.0985799999999</v>
      </c>
      <c r="P84" s="118">
        <v>4032.0985799999999</v>
      </c>
      <c r="Q84" s="118">
        <v>4032.0985799999999</v>
      </c>
      <c r="R84" s="118">
        <v>4032.0985799999999</v>
      </c>
      <c r="S84" s="118">
        <v>4032.0985799999999</v>
      </c>
    </row>
    <row r="85" spans="1:19">
      <c r="A85" s="118" t="str">
        <f t="shared" si="4"/>
        <v>LGE</v>
      </c>
      <c r="B85" s="118" t="s">
        <v>452</v>
      </c>
      <c r="C85" s="118" t="str">
        <f t="shared" si="5"/>
        <v>396</v>
      </c>
      <c r="D85" s="113" t="s">
        <v>445</v>
      </c>
      <c r="E85" s="113" t="str">
        <f t="shared" si="3"/>
        <v/>
      </c>
      <c r="F85" s="118">
        <v>14.147080000000001</v>
      </c>
      <c r="G85" s="118">
        <v>14.147080000000001</v>
      </c>
      <c r="H85" s="118">
        <v>14.147080000000001</v>
      </c>
      <c r="I85" s="118">
        <v>14.147080000000001</v>
      </c>
      <c r="J85" s="118">
        <v>14.147080000000001</v>
      </c>
      <c r="K85" s="118">
        <v>14.147080000000001</v>
      </c>
      <c r="L85" s="118">
        <v>14.147080000000001</v>
      </c>
      <c r="M85" s="118">
        <v>14.147080000000001</v>
      </c>
      <c r="N85" s="118">
        <v>14.147080000000001</v>
      </c>
      <c r="O85" s="118">
        <v>14.147080000000001</v>
      </c>
      <c r="P85" s="118">
        <v>14.147080000000001</v>
      </c>
      <c r="Q85" s="118">
        <v>14.147080000000001</v>
      </c>
      <c r="R85" s="118">
        <v>14.147080000000001</v>
      </c>
      <c r="S85" s="118">
        <v>14.147080000000001</v>
      </c>
    </row>
    <row r="86" spans="1:19">
      <c r="A86" s="118" t="str">
        <f t="shared" si="4"/>
        <v>LGE</v>
      </c>
      <c r="B86" s="118" t="s">
        <v>452</v>
      </c>
      <c r="C86" s="118" t="str">
        <f t="shared" si="5"/>
        <v>396</v>
      </c>
      <c r="D86" s="113" t="s">
        <v>1330</v>
      </c>
      <c r="E86" s="113" t="str">
        <f t="shared" si="3"/>
        <v/>
      </c>
      <c r="F86" s="118">
        <v>301.41467</v>
      </c>
      <c r="G86" s="118">
        <v>301.41467</v>
      </c>
      <c r="H86" s="118">
        <v>301.41467</v>
      </c>
      <c r="I86" s="118">
        <v>301.41467</v>
      </c>
      <c r="J86" s="118">
        <v>301.41467</v>
      </c>
      <c r="K86" s="118">
        <v>301.41467</v>
      </c>
      <c r="L86" s="118">
        <v>328.43912999999998</v>
      </c>
      <c r="M86" s="118">
        <v>328.43912999999998</v>
      </c>
      <c r="N86" s="118">
        <v>328.43912999999998</v>
      </c>
      <c r="O86" s="118">
        <v>328.43912999999998</v>
      </c>
      <c r="P86" s="118">
        <v>328.43912999999998</v>
      </c>
      <c r="Q86" s="118">
        <v>328.43912999999998</v>
      </c>
      <c r="R86" s="118">
        <v>328.43912999999998</v>
      </c>
      <c r="S86" s="118">
        <v>328.43912999999998</v>
      </c>
    </row>
    <row r="87" spans="1:19">
      <c r="A87" s="118" t="str">
        <f t="shared" si="4"/>
        <v>LGE</v>
      </c>
      <c r="B87" s="118" t="s">
        <v>452</v>
      </c>
      <c r="C87" s="118" t="str">
        <f t="shared" si="5"/>
        <v>397</v>
      </c>
      <c r="D87" s="113" t="s">
        <v>446</v>
      </c>
      <c r="E87" s="113" t="str">
        <f t="shared" si="3"/>
        <v/>
      </c>
      <c r="F87" s="118">
        <v>17700.064399999999</v>
      </c>
      <c r="G87" s="118">
        <v>17701.369269999999</v>
      </c>
      <c r="H87" s="118">
        <v>17687.00503</v>
      </c>
      <c r="I87" s="118">
        <v>17684.965690000001</v>
      </c>
      <c r="J87" s="118">
        <v>17709.52721</v>
      </c>
      <c r="K87" s="118">
        <v>17709.52721</v>
      </c>
      <c r="L87" s="118">
        <v>17709.52721</v>
      </c>
      <c r="M87" s="118">
        <v>17677.868439999998</v>
      </c>
      <c r="N87" s="118">
        <v>17271.635750000001</v>
      </c>
      <c r="O87" s="118">
        <v>17271.635750000001</v>
      </c>
      <c r="P87" s="118">
        <v>17271.635750000001</v>
      </c>
      <c r="Q87" s="118">
        <v>17466.616099999999</v>
      </c>
      <c r="R87" s="118">
        <v>17466.616099999999</v>
      </c>
      <c r="S87" s="118">
        <v>17466.616099999999</v>
      </c>
    </row>
    <row r="88" spans="1:19">
      <c r="A88" s="118" t="str">
        <f t="shared" si="4"/>
        <v>LGE</v>
      </c>
      <c r="B88" s="118" t="s">
        <v>452</v>
      </c>
      <c r="C88" s="118" t="str">
        <f t="shared" si="5"/>
        <v>397</v>
      </c>
      <c r="D88" s="113" t="s">
        <v>447</v>
      </c>
      <c r="E88" s="113" t="str">
        <f t="shared" si="3"/>
        <v/>
      </c>
      <c r="F88" s="118">
        <v>74.394850000000005</v>
      </c>
      <c r="G88" s="118">
        <v>74.394850000000005</v>
      </c>
      <c r="H88" s="118">
        <v>74.394850000000005</v>
      </c>
      <c r="I88" s="118">
        <v>74.394850000000005</v>
      </c>
      <c r="J88" s="118">
        <v>74.394850000000005</v>
      </c>
      <c r="K88" s="118">
        <v>74.394850000000005</v>
      </c>
      <c r="L88" s="118">
        <v>74.394850000000005</v>
      </c>
      <c r="M88" s="118">
        <v>74.394850000000005</v>
      </c>
      <c r="N88" s="118">
        <v>74.394850000000005</v>
      </c>
      <c r="O88" s="118">
        <v>74.394850000000005</v>
      </c>
      <c r="P88" s="118">
        <v>74.394850000000005</v>
      </c>
      <c r="Q88" s="118">
        <v>74.394850000000005</v>
      </c>
      <c r="R88" s="118">
        <v>74.394850000000005</v>
      </c>
      <c r="S88" s="118">
        <v>74.394850000000005</v>
      </c>
    </row>
    <row r="89" spans="1:19">
      <c r="A89" s="118" t="str">
        <f t="shared" si="4"/>
        <v>LGE</v>
      </c>
      <c r="B89" s="118" t="s">
        <v>452</v>
      </c>
      <c r="C89" s="118" t="str">
        <f t="shared" si="5"/>
        <v>397</v>
      </c>
      <c r="D89" s="113" t="s">
        <v>448</v>
      </c>
      <c r="E89" s="113" t="str">
        <f t="shared" si="3"/>
        <v/>
      </c>
      <c r="F89" s="118">
        <v>28373.073069999999</v>
      </c>
      <c r="G89" s="118">
        <v>28379.536469999999</v>
      </c>
      <c r="H89" s="118">
        <v>28379.536469999999</v>
      </c>
      <c r="I89" s="118">
        <v>28379.536469999999</v>
      </c>
      <c r="J89" s="118">
        <v>28300.516239999899</v>
      </c>
      <c r="K89" s="118">
        <v>18461.615470000001</v>
      </c>
      <c r="L89" s="118">
        <v>18461.615470000001</v>
      </c>
      <c r="M89" s="118">
        <v>18468.00951</v>
      </c>
      <c r="N89" s="118">
        <v>18396.799129999999</v>
      </c>
      <c r="O89" s="118">
        <v>18396.799129999999</v>
      </c>
      <c r="P89" s="118">
        <v>18396.799129999999</v>
      </c>
      <c r="Q89" s="118">
        <v>23605.226409999999</v>
      </c>
      <c r="R89" s="118">
        <v>23605.226409999999</v>
      </c>
      <c r="S89" s="118">
        <v>23605.226409999999</v>
      </c>
    </row>
    <row r="90" spans="1:19">
      <c r="A90" s="118" t="str">
        <f t="shared" si="4"/>
        <v>LGE</v>
      </c>
      <c r="B90" s="118" t="s">
        <v>452</v>
      </c>
      <c r="C90" s="118" t="str">
        <f t="shared" si="5"/>
        <v>398</v>
      </c>
      <c r="D90" s="113" t="s">
        <v>449</v>
      </c>
      <c r="E90" s="113" t="str">
        <f t="shared" si="3"/>
        <v/>
      </c>
      <c r="F90" s="118">
        <v>0</v>
      </c>
      <c r="G90" s="118">
        <v>0</v>
      </c>
      <c r="H90" s="118">
        <v>0</v>
      </c>
      <c r="I90" s="118">
        <v>0</v>
      </c>
      <c r="J90" s="118">
        <v>0</v>
      </c>
      <c r="K90" s="118">
        <v>0</v>
      </c>
      <c r="L90" s="118">
        <v>0</v>
      </c>
      <c r="M90" s="118">
        <v>0</v>
      </c>
      <c r="N90" s="118">
        <v>0</v>
      </c>
      <c r="O90" s="118">
        <v>0</v>
      </c>
      <c r="P90" s="118">
        <v>0</v>
      </c>
      <c r="Q90" s="118">
        <v>0</v>
      </c>
      <c r="R90" s="118">
        <v>0</v>
      </c>
      <c r="S90" s="118">
        <v>0</v>
      </c>
    </row>
    <row r="92" spans="1:19">
      <c r="E92" s="113" t="str">
        <f t="shared" si="3"/>
        <v/>
      </c>
    </row>
    <row r="93" spans="1:19">
      <c r="E93" s="113" t="str">
        <f t="shared" si="3"/>
        <v/>
      </c>
    </row>
    <row r="94" spans="1:19">
      <c r="E94" s="113" t="str">
        <f t="shared" si="3"/>
        <v/>
      </c>
    </row>
    <row r="95" spans="1:19">
      <c r="E95" s="113" t="str">
        <f t="shared" si="3"/>
        <v/>
      </c>
    </row>
    <row r="96" spans="1:19">
      <c r="E96" s="113" t="str">
        <f t="shared" si="3"/>
        <v/>
      </c>
    </row>
    <row r="97" spans="1:5">
      <c r="E97" s="113" t="str">
        <f t="shared" si="3"/>
        <v/>
      </c>
    </row>
    <row r="98" spans="1:5">
      <c r="E98" s="113" t="str">
        <f t="shared" si="3"/>
        <v/>
      </c>
    </row>
    <row r="99" spans="1:5">
      <c r="E99" s="113" t="str">
        <f t="shared" si="3"/>
        <v/>
      </c>
    </row>
    <row r="100" spans="1:5">
      <c r="E100" s="113" t="str">
        <f t="shared" si="3"/>
        <v/>
      </c>
    </row>
    <row r="101" spans="1:5">
      <c r="E101" s="113" t="str">
        <f t="shared" si="3"/>
        <v/>
      </c>
    </row>
    <row r="102" spans="1:5">
      <c r="E102" s="113" t="str">
        <f t="shared" si="3"/>
        <v/>
      </c>
    </row>
    <row r="103" spans="1:5">
      <c r="E103" s="113" t="str">
        <f t="shared" si="3"/>
        <v/>
      </c>
    </row>
    <row r="104" spans="1:5">
      <c r="E104" s="113" t="str">
        <f t="shared" si="3"/>
        <v/>
      </c>
    </row>
    <row r="105" spans="1:5">
      <c r="E105" s="113" t="str">
        <f t="shared" si="3"/>
        <v/>
      </c>
    </row>
    <row r="106" spans="1:5">
      <c r="E106" s="113" t="str">
        <f t="shared" si="3"/>
        <v/>
      </c>
    </row>
    <row r="107" spans="1:5">
      <c r="E107" s="113" t="str">
        <f t="shared" si="3"/>
        <v/>
      </c>
    </row>
    <row r="108" spans="1:5">
      <c r="E108" s="113" t="str">
        <f t="shared" si="3"/>
        <v/>
      </c>
    </row>
    <row r="109" spans="1:5">
      <c r="E109" s="113" t="str">
        <f t="shared" si="3"/>
        <v/>
      </c>
    </row>
    <row r="110" spans="1:5">
      <c r="E110" s="113" t="str">
        <f t="shared" si="3"/>
        <v/>
      </c>
    </row>
    <row r="111" spans="1:5">
      <c r="A111" s="118" t="str">
        <f t="shared" ref="A111" si="6">MID($D111,4,2)</f>
        <v/>
      </c>
      <c r="B111" s="118" t="str">
        <f t="shared" ref="B111" si="7">IF(MID($D111,12,2)="- ","KY",MID($D111,12,2))</f>
        <v/>
      </c>
      <c r="C111" s="118" t="str">
        <f t="shared" ref="C111" si="8">MID($D111,8,3)</f>
        <v/>
      </c>
      <c r="E111" s="113" t="str">
        <f t="shared" si="3"/>
        <v/>
      </c>
    </row>
    <row r="112" spans="1:5">
      <c r="D112" s="113" t="s">
        <v>8</v>
      </c>
      <c r="E112" s="113" t="str">
        <f t="shared" si="3"/>
        <v/>
      </c>
    </row>
    <row r="113" spans="1:20">
      <c r="A113" s="118" t="str">
        <f t="shared" ref="A113:A140" si="9">MID($D113,4,3)</f>
        <v>LGE</v>
      </c>
      <c r="B113" s="118" t="s">
        <v>545</v>
      </c>
      <c r="C113" s="118" t="str">
        <f t="shared" ref="C113:C140" si="10">MID($D113,9,3)</f>
        <v>351</v>
      </c>
      <c r="D113" s="113" t="s">
        <v>509</v>
      </c>
      <c r="E113" s="113" t="str">
        <f t="shared" si="3"/>
        <v/>
      </c>
      <c r="F113" s="118">
        <v>0</v>
      </c>
      <c r="G113" s="118">
        <v>248.79866999999999</v>
      </c>
      <c r="H113" s="118">
        <v>-143.15395000000001</v>
      </c>
      <c r="I113" s="118">
        <v>0</v>
      </c>
      <c r="J113" s="118">
        <v>50.027790000000003</v>
      </c>
      <c r="K113" s="118">
        <v>-39.97419</v>
      </c>
      <c r="L113" s="118">
        <v>0</v>
      </c>
      <c r="M113" s="118">
        <v>-108.08976</v>
      </c>
      <c r="N113" s="118">
        <v>340.96499999999997</v>
      </c>
      <c r="O113" s="118">
        <v>0</v>
      </c>
      <c r="P113" s="118">
        <v>0</v>
      </c>
      <c r="Q113" s="118">
        <v>0</v>
      </c>
      <c r="R113" s="118">
        <v>0</v>
      </c>
      <c r="S113" s="118">
        <v>0</v>
      </c>
      <c r="T113" s="118">
        <f>SUM(H113:S113)</f>
        <v>99.774889999999971</v>
      </c>
    </row>
    <row r="114" spans="1:20">
      <c r="A114" s="118" t="str">
        <f t="shared" si="9"/>
        <v>LGE</v>
      </c>
      <c r="B114" s="118" t="s">
        <v>545</v>
      </c>
      <c r="C114" s="118" t="str">
        <f t="shared" si="10"/>
        <v>351</v>
      </c>
      <c r="D114" s="113" t="s">
        <v>511</v>
      </c>
      <c r="E114" s="113" t="str">
        <f t="shared" si="3"/>
        <v/>
      </c>
      <c r="F114" s="118">
        <v>21.758779999999899</v>
      </c>
      <c r="G114" s="118">
        <v>54.850050000000003</v>
      </c>
      <c r="H114" s="118">
        <v>144.05338</v>
      </c>
      <c r="I114" s="118">
        <v>18.669650000000001</v>
      </c>
      <c r="J114" s="118">
        <v>1.92265</v>
      </c>
      <c r="K114" s="118">
        <v>0</v>
      </c>
      <c r="L114" s="118">
        <v>0</v>
      </c>
      <c r="M114" s="118">
        <v>454.75626</v>
      </c>
      <c r="N114" s="118">
        <v>0</v>
      </c>
      <c r="O114" s="118">
        <v>119.00002000000001</v>
      </c>
      <c r="P114" s="118">
        <v>0</v>
      </c>
      <c r="Q114" s="118">
        <v>0</v>
      </c>
      <c r="R114" s="118">
        <v>0</v>
      </c>
      <c r="S114" s="118">
        <v>0</v>
      </c>
      <c r="T114" s="118">
        <f t="shared" ref="T114:T176" si="11">SUM(H114:S114)</f>
        <v>738.40195999999992</v>
      </c>
    </row>
    <row r="115" spans="1:20">
      <c r="A115" s="118" t="str">
        <f t="shared" si="9"/>
        <v>LGE</v>
      </c>
      <c r="B115" s="118" t="s">
        <v>545</v>
      </c>
      <c r="C115" s="118" t="str">
        <f t="shared" si="10"/>
        <v>352</v>
      </c>
      <c r="D115" s="113" t="s">
        <v>516</v>
      </c>
      <c r="E115" s="113" t="str">
        <f t="shared" si="3"/>
        <v/>
      </c>
      <c r="F115" s="118">
        <v>0</v>
      </c>
      <c r="G115" s="118">
        <v>0</v>
      </c>
      <c r="H115" s="118">
        <v>0</v>
      </c>
      <c r="I115" s="118">
        <v>0</v>
      </c>
      <c r="J115" s="118">
        <v>0</v>
      </c>
      <c r="K115" s="118">
        <v>0</v>
      </c>
      <c r="L115" s="118">
        <v>0</v>
      </c>
      <c r="M115" s="118">
        <v>0</v>
      </c>
      <c r="N115" s="118">
        <v>0</v>
      </c>
      <c r="O115" s="118">
        <v>0</v>
      </c>
      <c r="P115" s="118">
        <v>0</v>
      </c>
      <c r="Q115" s="118">
        <v>127.59596999999999</v>
      </c>
      <c r="R115" s="118">
        <v>0</v>
      </c>
      <c r="S115" s="118">
        <v>0</v>
      </c>
      <c r="T115" s="118">
        <f t="shared" si="11"/>
        <v>127.59596999999999</v>
      </c>
    </row>
    <row r="116" spans="1:20">
      <c r="A116" s="118" t="str">
        <f t="shared" si="9"/>
        <v>LGE</v>
      </c>
      <c r="B116" s="118" t="s">
        <v>545</v>
      </c>
      <c r="C116" s="118" t="str">
        <f t="shared" si="10"/>
        <v>352</v>
      </c>
      <c r="D116" s="113" t="s">
        <v>517</v>
      </c>
      <c r="E116" s="113" t="str">
        <f t="shared" si="3"/>
        <v/>
      </c>
      <c r="F116" s="118">
        <v>0</v>
      </c>
      <c r="G116" s="118">
        <v>0</v>
      </c>
      <c r="H116" s="118">
        <v>0</v>
      </c>
      <c r="I116" s="118">
        <v>0</v>
      </c>
      <c r="J116" s="118">
        <v>0</v>
      </c>
      <c r="K116" s="118">
        <v>0</v>
      </c>
      <c r="L116" s="118">
        <v>0</v>
      </c>
      <c r="M116" s="118">
        <v>0</v>
      </c>
      <c r="N116" s="118">
        <v>0</v>
      </c>
      <c r="O116" s="118">
        <v>0</v>
      </c>
      <c r="P116" s="118">
        <v>0</v>
      </c>
      <c r="Q116" s="118">
        <v>0</v>
      </c>
      <c r="R116" s="118">
        <v>0</v>
      </c>
      <c r="S116" s="118">
        <v>0</v>
      </c>
      <c r="T116" s="118">
        <f t="shared" si="11"/>
        <v>0</v>
      </c>
    </row>
    <row r="117" spans="1:20">
      <c r="A117" s="118" t="str">
        <f t="shared" si="9"/>
        <v>LGE</v>
      </c>
      <c r="B117" s="118" t="s">
        <v>545</v>
      </c>
      <c r="C117" s="118" t="str">
        <f t="shared" si="10"/>
        <v>352</v>
      </c>
      <c r="D117" s="113" t="s">
        <v>518</v>
      </c>
      <c r="E117" s="113" t="str">
        <f t="shared" si="3"/>
        <v/>
      </c>
      <c r="F117" s="118">
        <v>0</v>
      </c>
      <c r="G117" s="118">
        <v>0</v>
      </c>
      <c r="H117" s="118">
        <v>164.143</v>
      </c>
      <c r="I117" s="118">
        <v>0</v>
      </c>
      <c r="J117" s="118">
        <v>0</v>
      </c>
      <c r="K117" s="118">
        <v>175.82245</v>
      </c>
      <c r="L117" s="118">
        <v>-86.88306</v>
      </c>
      <c r="M117" s="118">
        <v>30.660319999999999</v>
      </c>
      <c r="N117" s="118">
        <v>109.07655</v>
      </c>
      <c r="O117" s="118">
        <v>478.74200000000002</v>
      </c>
      <c r="P117" s="118">
        <v>16.887</v>
      </c>
      <c r="Q117" s="118">
        <v>-0.90903</v>
      </c>
      <c r="R117" s="118">
        <v>0</v>
      </c>
      <c r="S117" s="118">
        <v>0</v>
      </c>
      <c r="T117" s="118">
        <f t="shared" si="11"/>
        <v>887.53923000000009</v>
      </c>
    </row>
    <row r="118" spans="1:20">
      <c r="A118" s="118" t="str">
        <f t="shared" si="9"/>
        <v>LGE</v>
      </c>
      <c r="B118" s="118" t="s">
        <v>545</v>
      </c>
      <c r="C118" s="118" t="str">
        <f t="shared" si="10"/>
        <v>353</v>
      </c>
      <c r="D118" s="113" t="s">
        <v>519</v>
      </c>
      <c r="E118" s="113" t="str">
        <f t="shared" si="3"/>
        <v/>
      </c>
      <c r="F118" s="118">
        <v>0</v>
      </c>
      <c r="G118" s="118">
        <v>0</v>
      </c>
      <c r="H118" s="118">
        <v>129.96418</v>
      </c>
      <c r="I118" s="118">
        <v>222.16004999999899</v>
      </c>
      <c r="J118" s="118">
        <v>0</v>
      </c>
      <c r="K118" s="118">
        <v>0</v>
      </c>
      <c r="L118" s="118">
        <v>124.99399</v>
      </c>
      <c r="M118" s="118">
        <v>-114.33546</v>
      </c>
      <c r="N118" s="118">
        <v>-4.0309100000000004</v>
      </c>
      <c r="O118" s="118">
        <v>0</v>
      </c>
      <c r="P118" s="118">
        <v>0</v>
      </c>
      <c r="Q118" s="118">
        <v>0</v>
      </c>
      <c r="R118" s="118">
        <v>0</v>
      </c>
      <c r="S118" s="118">
        <v>0</v>
      </c>
      <c r="T118" s="118">
        <f t="shared" si="11"/>
        <v>358.75184999999897</v>
      </c>
    </row>
    <row r="119" spans="1:20">
      <c r="A119" s="118" t="str">
        <f t="shared" si="9"/>
        <v>LGE</v>
      </c>
      <c r="B119" s="118" t="s">
        <v>545</v>
      </c>
      <c r="C119" s="118" t="str">
        <f t="shared" si="10"/>
        <v>353</v>
      </c>
      <c r="D119" s="113" t="s">
        <v>520</v>
      </c>
      <c r="E119" s="113" t="str">
        <f t="shared" si="3"/>
        <v/>
      </c>
      <c r="F119" s="118">
        <v>663.04444000000001</v>
      </c>
      <c r="G119" s="118">
        <v>13.373480000000001</v>
      </c>
      <c r="H119" s="118">
        <v>454.95549999999997</v>
      </c>
      <c r="I119" s="118">
        <v>30.21556</v>
      </c>
      <c r="J119" s="118">
        <v>45.478569999999998</v>
      </c>
      <c r="K119" s="118">
        <v>136.74876999999901</v>
      </c>
      <c r="L119" s="118">
        <v>73.546199999999999</v>
      </c>
      <c r="M119" s="118">
        <v>32.587150000000001</v>
      </c>
      <c r="N119" s="118">
        <v>0</v>
      </c>
      <c r="O119" s="118">
        <v>0</v>
      </c>
      <c r="P119" s="118">
        <v>0</v>
      </c>
      <c r="Q119" s="118">
        <v>0</v>
      </c>
      <c r="R119" s="118">
        <v>0</v>
      </c>
      <c r="S119" s="118">
        <v>0</v>
      </c>
      <c r="T119" s="118">
        <f t="shared" si="11"/>
        <v>773.53174999999896</v>
      </c>
    </row>
    <row r="120" spans="1:20">
      <c r="A120" s="118" t="str">
        <f t="shared" si="9"/>
        <v>LGE</v>
      </c>
      <c r="B120" s="118" t="s">
        <v>545</v>
      </c>
      <c r="C120" s="118" t="str">
        <f t="shared" si="10"/>
        <v>354</v>
      </c>
      <c r="D120" s="113" t="s">
        <v>521</v>
      </c>
      <c r="E120" s="113" t="str">
        <f t="shared" si="3"/>
        <v/>
      </c>
      <c r="F120" s="118">
        <v>1244.9748300000001</v>
      </c>
      <c r="G120" s="118">
        <v>545.80678</v>
      </c>
      <c r="H120" s="118">
        <v>526.14266999999995</v>
      </c>
      <c r="I120" s="118">
        <v>120.55529</v>
      </c>
      <c r="J120" s="118">
        <v>559.46267999999998</v>
      </c>
      <c r="K120" s="118">
        <v>472.9615</v>
      </c>
      <c r="L120" s="118">
        <v>278.98321999999899</v>
      </c>
      <c r="M120" s="118">
        <v>430.81220000000002</v>
      </c>
      <c r="N120" s="118">
        <v>1844.2510600000001</v>
      </c>
      <c r="O120" s="118">
        <v>1123.17184</v>
      </c>
      <c r="P120" s="118">
        <v>3681.2637</v>
      </c>
      <c r="Q120" s="118">
        <v>10.457409999999999</v>
      </c>
      <c r="R120" s="118">
        <v>12.06504</v>
      </c>
      <c r="S120" s="118">
        <v>12.065</v>
      </c>
      <c r="T120" s="118">
        <f t="shared" si="11"/>
        <v>9072.1916099999999</v>
      </c>
    </row>
    <row r="121" spans="1:20">
      <c r="A121" s="118" t="str">
        <f t="shared" si="9"/>
        <v>LGE</v>
      </c>
      <c r="B121" s="118" t="s">
        <v>545</v>
      </c>
      <c r="C121" s="118" t="str">
        <f t="shared" si="10"/>
        <v>355</v>
      </c>
      <c r="D121" s="113" t="s">
        <v>522</v>
      </c>
      <c r="E121" s="113" t="str">
        <f t="shared" si="3"/>
        <v/>
      </c>
      <c r="F121" s="118">
        <v>997.80138999999997</v>
      </c>
      <c r="G121" s="118">
        <v>4.3599699999999997</v>
      </c>
      <c r="H121" s="118">
        <v>1.0245</v>
      </c>
      <c r="I121" s="118">
        <v>-18.745799999999999</v>
      </c>
      <c r="J121" s="118">
        <v>0</v>
      </c>
      <c r="K121" s="118">
        <v>248.45731000000001</v>
      </c>
      <c r="L121" s="118">
        <v>0.94664999999999999</v>
      </c>
      <c r="M121" s="118">
        <v>6.6022299999999996</v>
      </c>
      <c r="N121" s="118">
        <v>-7.3004199999999999</v>
      </c>
      <c r="O121" s="118">
        <v>0</v>
      </c>
      <c r="P121" s="118">
        <v>157.69298000000001</v>
      </c>
      <c r="Q121" s="118">
        <v>136.99019999999999</v>
      </c>
      <c r="R121" s="118">
        <v>0</v>
      </c>
      <c r="S121" s="118">
        <v>0</v>
      </c>
      <c r="T121" s="118">
        <f t="shared" si="11"/>
        <v>525.66764999999998</v>
      </c>
    </row>
    <row r="122" spans="1:20">
      <c r="A122" s="118" t="str">
        <f t="shared" si="9"/>
        <v>LGE</v>
      </c>
      <c r="B122" s="118" t="s">
        <v>545</v>
      </c>
      <c r="C122" s="118" t="str">
        <f t="shared" si="10"/>
        <v>356</v>
      </c>
      <c r="D122" s="113" t="s">
        <v>523</v>
      </c>
      <c r="E122" s="113" t="str">
        <f t="shared" si="3"/>
        <v/>
      </c>
      <c r="F122" s="118">
        <v>992.82421999999997</v>
      </c>
      <c r="G122" s="118">
        <v>15.958449999999999</v>
      </c>
      <c r="H122" s="118">
        <v>209.1515</v>
      </c>
      <c r="I122" s="118">
        <v>17.361219999999999</v>
      </c>
      <c r="J122" s="118">
        <v>151.81603000000001</v>
      </c>
      <c r="K122" s="118">
        <v>1521.68878</v>
      </c>
      <c r="L122" s="118">
        <v>-3.6649600000000002</v>
      </c>
      <c r="M122" s="118">
        <v>124.93235</v>
      </c>
      <c r="N122" s="118">
        <v>450.50503999999898</v>
      </c>
      <c r="O122" s="118">
        <v>690.55703000000005</v>
      </c>
      <c r="P122" s="118">
        <v>25.328009999999999</v>
      </c>
      <c r="Q122" s="118">
        <v>0</v>
      </c>
      <c r="R122" s="118">
        <v>4.1799600000000003</v>
      </c>
      <c r="S122" s="118">
        <v>4.18</v>
      </c>
      <c r="T122" s="118">
        <f t="shared" si="11"/>
        <v>3196.034959999999</v>
      </c>
    </row>
    <row r="123" spans="1:20">
      <c r="A123" s="118" t="str">
        <f t="shared" si="9"/>
        <v>LGE</v>
      </c>
      <c r="B123" s="118" t="s">
        <v>545</v>
      </c>
      <c r="C123" s="118" t="str">
        <f t="shared" si="10"/>
        <v>357</v>
      </c>
      <c r="D123" s="113" t="s">
        <v>524</v>
      </c>
      <c r="E123" s="113" t="str">
        <f t="shared" si="3"/>
        <v/>
      </c>
      <c r="F123" s="118">
        <v>0</v>
      </c>
      <c r="G123" s="118">
        <v>0</v>
      </c>
      <c r="H123" s="118">
        <v>0</v>
      </c>
      <c r="I123" s="118">
        <v>0</v>
      </c>
      <c r="J123" s="118">
        <v>0</v>
      </c>
      <c r="K123" s="118">
        <v>0</v>
      </c>
      <c r="L123" s="118">
        <v>26.63035</v>
      </c>
      <c r="M123" s="118">
        <v>132.71079</v>
      </c>
      <c r="N123" s="118">
        <v>0</v>
      </c>
      <c r="O123" s="118">
        <v>39.999989999999997</v>
      </c>
      <c r="P123" s="118">
        <v>0</v>
      </c>
      <c r="Q123" s="118">
        <v>92.064920000000001</v>
      </c>
      <c r="R123" s="118">
        <v>0</v>
      </c>
      <c r="S123" s="118">
        <v>0</v>
      </c>
      <c r="T123" s="118">
        <f t="shared" si="11"/>
        <v>291.40604999999999</v>
      </c>
    </row>
    <row r="124" spans="1:20">
      <c r="A124" s="118" t="str">
        <f t="shared" si="9"/>
        <v>LGE</v>
      </c>
      <c r="B124" s="118" t="s">
        <v>545</v>
      </c>
      <c r="C124" s="118" t="str">
        <f t="shared" si="10"/>
        <v>357</v>
      </c>
      <c r="D124" s="113" t="s">
        <v>525</v>
      </c>
      <c r="E124" s="113" t="str">
        <f t="shared" si="3"/>
        <v/>
      </c>
      <c r="F124" s="118">
        <v>0</v>
      </c>
      <c r="G124" s="118">
        <v>0</v>
      </c>
      <c r="H124" s="118">
        <v>91.123069999999998</v>
      </c>
      <c r="I124" s="118">
        <v>90.231499999999997</v>
      </c>
      <c r="J124" s="118">
        <v>110.38399</v>
      </c>
      <c r="K124" s="118">
        <v>108.92413000000001</v>
      </c>
      <c r="L124" s="118">
        <v>-59.113030000000002</v>
      </c>
      <c r="M124" s="118">
        <v>0</v>
      </c>
      <c r="N124" s="118">
        <v>636.13084000000003</v>
      </c>
      <c r="O124" s="118">
        <v>173.73405</v>
      </c>
      <c r="P124" s="118">
        <v>32.58587</v>
      </c>
      <c r="Q124" s="118">
        <v>-2.3009999999999999E-2</v>
      </c>
      <c r="R124" s="118">
        <v>0.10013</v>
      </c>
      <c r="S124" s="118">
        <v>12.1933899999999</v>
      </c>
      <c r="T124" s="118">
        <f t="shared" si="11"/>
        <v>1196.2709299999997</v>
      </c>
    </row>
    <row r="125" spans="1:20">
      <c r="A125" s="118" t="str">
        <f t="shared" si="9"/>
        <v>LGE</v>
      </c>
      <c r="B125" s="118" t="s">
        <v>545</v>
      </c>
      <c r="C125" s="118" t="str">
        <f t="shared" si="10"/>
        <v>367</v>
      </c>
      <c r="D125" s="113" t="s">
        <v>528</v>
      </c>
      <c r="E125" s="113" t="str">
        <f t="shared" si="3"/>
        <v/>
      </c>
      <c r="F125" s="118">
        <v>767.12094999999999</v>
      </c>
      <c r="G125" s="118">
        <v>43.941940000000002</v>
      </c>
      <c r="H125" s="118">
        <v>57.918169999999897</v>
      </c>
      <c r="I125" s="118">
        <v>191.38087999999999</v>
      </c>
      <c r="J125" s="118">
        <v>-19.12602</v>
      </c>
      <c r="K125" s="118">
        <v>664.18583000000001</v>
      </c>
      <c r="L125" s="118">
        <v>88.410839999999993</v>
      </c>
      <c r="M125" s="118">
        <v>67.858940000000004</v>
      </c>
      <c r="N125" s="118">
        <v>591.84987999999998</v>
      </c>
      <c r="O125" s="118">
        <v>337.59904</v>
      </c>
      <c r="P125" s="118">
        <v>0</v>
      </c>
      <c r="Q125" s="118">
        <v>-24.358039999999999</v>
      </c>
      <c r="R125" s="118">
        <v>0</v>
      </c>
      <c r="S125" s="118">
        <v>0</v>
      </c>
      <c r="T125" s="118">
        <f t="shared" si="11"/>
        <v>1955.7195199999999</v>
      </c>
    </row>
    <row r="126" spans="1:20">
      <c r="A126" s="118" t="str">
        <f t="shared" si="9"/>
        <v>LGE</v>
      </c>
      <c r="B126" s="118" t="s">
        <v>545</v>
      </c>
      <c r="C126" s="118" t="str">
        <f t="shared" si="10"/>
        <v>375</v>
      </c>
      <c r="D126" s="113" t="s">
        <v>530</v>
      </c>
      <c r="E126" s="113" t="str">
        <f t="shared" si="3"/>
        <v/>
      </c>
      <c r="F126" s="118">
        <v>0</v>
      </c>
      <c r="G126" s="118">
        <v>0</v>
      </c>
      <c r="H126" s="118">
        <v>11.41742</v>
      </c>
      <c r="I126" s="118">
        <v>0</v>
      </c>
      <c r="J126" s="118">
        <v>0</v>
      </c>
      <c r="K126" s="118">
        <v>0</v>
      </c>
      <c r="L126" s="118">
        <v>0</v>
      </c>
      <c r="M126" s="118">
        <v>0</v>
      </c>
      <c r="N126" s="118">
        <v>0</v>
      </c>
      <c r="O126" s="118">
        <v>0</v>
      </c>
      <c r="P126" s="118">
        <v>0</v>
      </c>
      <c r="Q126" s="118">
        <v>0</v>
      </c>
      <c r="R126" s="118">
        <v>0</v>
      </c>
      <c r="S126" s="118">
        <v>0</v>
      </c>
      <c r="T126" s="118">
        <f t="shared" si="11"/>
        <v>11.41742</v>
      </c>
    </row>
    <row r="127" spans="1:20">
      <c r="A127" s="118" t="str">
        <f t="shared" si="9"/>
        <v>LGE</v>
      </c>
      <c r="B127" s="118" t="s">
        <v>545</v>
      </c>
      <c r="C127" s="118" t="str">
        <f t="shared" si="10"/>
        <v>376</v>
      </c>
      <c r="D127" s="113" t="s">
        <v>531</v>
      </c>
      <c r="E127" s="113" t="str">
        <f t="shared" si="3"/>
        <v/>
      </c>
      <c r="F127" s="118">
        <v>44.6432</v>
      </c>
      <c r="G127" s="118">
        <v>419.44736</v>
      </c>
      <c r="H127" s="118">
        <v>100.53707</v>
      </c>
      <c r="I127" s="118">
        <v>567.28530999999998</v>
      </c>
      <c r="J127" s="118">
        <v>3011.17011</v>
      </c>
      <c r="K127" s="118">
        <v>451.8811</v>
      </c>
      <c r="L127" s="118">
        <v>475.42043000000001</v>
      </c>
      <c r="M127" s="118">
        <v>-132.43518</v>
      </c>
      <c r="N127" s="118">
        <v>2513.31584999999</v>
      </c>
      <c r="O127" s="118">
        <v>656.13175999999999</v>
      </c>
      <c r="P127" s="118">
        <v>489.36820999999998</v>
      </c>
      <c r="Q127" s="118">
        <v>251.18476999999999</v>
      </c>
      <c r="R127" s="118">
        <v>915.86859000000004</v>
      </c>
      <c r="S127" s="118">
        <v>803.40682000000004</v>
      </c>
      <c r="T127" s="118">
        <f t="shared" si="11"/>
        <v>10103.13483999999</v>
      </c>
    </row>
    <row r="128" spans="1:20">
      <c r="A128" s="118" t="str">
        <f t="shared" si="9"/>
        <v>LGE</v>
      </c>
      <c r="B128" s="118" t="s">
        <v>545</v>
      </c>
      <c r="C128" s="118" t="str">
        <f t="shared" si="10"/>
        <v>376</v>
      </c>
      <c r="D128" s="113" t="s">
        <v>532</v>
      </c>
      <c r="E128" s="113" t="str">
        <f t="shared" si="3"/>
        <v>GLT</v>
      </c>
      <c r="F128" s="118">
        <v>1403.51605</v>
      </c>
      <c r="G128" s="118">
        <v>2140.8004500000002</v>
      </c>
      <c r="H128" s="118">
        <v>2052.1929599999999</v>
      </c>
      <c r="I128" s="118">
        <v>2289.0751599999999</v>
      </c>
      <c r="J128" s="118">
        <v>1987.0202899999999</v>
      </c>
      <c r="K128" s="118">
        <v>1598.1711399999999</v>
      </c>
      <c r="L128" s="118">
        <v>2090.6676699999998</v>
      </c>
      <c r="M128" s="118">
        <v>2123.6614</v>
      </c>
      <c r="N128" s="118">
        <v>2848.9802599999898</v>
      </c>
      <c r="O128" s="118">
        <v>2501.8920199999998</v>
      </c>
      <c r="P128" s="118">
        <v>2472.7450100000001</v>
      </c>
      <c r="Q128" s="118">
        <v>2402.54918</v>
      </c>
      <c r="R128" s="118">
        <v>1044.4066700000001</v>
      </c>
      <c r="S128" s="118">
        <v>1150.67360999999</v>
      </c>
      <c r="T128" s="118">
        <f t="shared" si="11"/>
        <v>24562.03536999998</v>
      </c>
    </row>
    <row r="129" spans="1:20">
      <c r="A129" s="118" t="str">
        <f t="shared" si="9"/>
        <v>LGE</v>
      </c>
      <c r="B129" s="118" t="s">
        <v>545</v>
      </c>
      <c r="C129" s="118" t="str">
        <f t="shared" si="10"/>
        <v>378</v>
      </c>
      <c r="D129" s="113" t="s">
        <v>533</v>
      </c>
      <c r="E129" s="113" t="str">
        <f t="shared" si="3"/>
        <v/>
      </c>
      <c r="F129" s="118">
        <v>-2.08013</v>
      </c>
      <c r="G129" s="118">
        <v>-23.827110000000001</v>
      </c>
      <c r="H129" s="118">
        <v>42.03454</v>
      </c>
      <c r="I129" s="118">
        <v>134.91579999999999</v>
      </c>
      <c r="J129" s="118">
        <v>876.91683999999998</v>
      </c>
      <c r="K129" s="118">
        <v>239.11707000000001</v>
      </c>
      <c r="L129" s="118">
        <v>619.14153999999996</v>
      </c>
      <c r="M129" s="118">
        <v>452.51146999999997</v>
      </c>
      <c r="N129" s="118">
        <v>565.37720999999999</v>
      </c>
      <c r="O129" s="118">
        <v>763.65233999999998</v>
      </c>
      <c r="P129" s="118">
        <v>180.40416999999999</v>
      </c>
      <c r="Q129" s="118">
        <v>1331.2957199999901</v>
      </c>
      <c r="R129" s="118">
        <v>0</v>
      </c>
      <c r="S129" s="118">
        <v>11.4</v>
      </c>
      <c r="T129" s="118">
        <f t="shared" si="11"/>
        <v>5216.7666999999892</v>
      </c>
    </row>
    <row r="130" spans="1:20">
      <c r="A130" s="118" t="str">
        <f t="shared" si="9"/>
        <v>LGE</v>
      </c>
      <c r="B130" s="118" t="s">
        <v>545</v>
      </c>
      <c r="C130" s="118" t="str">
        <f t="shared" si="10"/>
        <v>379</v>
      </c>
      <c r="D130" s="113" t="s">
        <v>534</v>
      </c>
      <c r="E130" s="113" t="str">
        <f t="shared" si="3"/>
        <v/>
      </c>
      <c r="F130" s="118">
        <v>0</v>
      </c>
      <c r="G130" s="118">
        <v>98.296980000000005</v>
      </c>
      <c r="H130" s="118">
        <v>-10.186309999999899</v>
      </c>
      <c r="I130" s="118">
        <v>104.80194</v>
      </c>
      <c r="J130" s="118">
        <v>0</v>
      </c>
      <c r="K130" s="118">
        <v>121.67941</v>
      </c>
      <c r="L130" s="118">
        <v>79.552549999999997</v>
      </c>
      <c r="M130" s="118">
        <v>-50.916370000000001</v>
      </c>
      <c r="N130" s="118">
        <v>253.61551</v>
      </c>
      <c r="O130" s="118">
        <v>3712.9346500000001</v>
      </c>
      <c r="P130" s="118">
        <v>37.143549999999998</v>
      </c>
      <c r="Q130" s="118">
        <v>325.726689999999</v>
      </c>
      <c r="R130" s="118">
        <v>22.8</v>
      </c>
      <c r="S130" s="118">
        <v>22.8</v>
      </c>
      <c r="T130" s="118">
        <f t="shared" si="11"/>
        <v>4619.9516199999989</v>
      </c>
    </row>
    <row r="131" spans="1:20">
      <c r="A131" s="118" t="str">
        <f t="shared" si="9"/>
        <v>LGE</v>
      </c>
      <c r="B131" s="118" t="s">
        <v>545</v>
      </c>
      <c r="C131" s="118" t="str">
        <f t="shared" si="10"/>
        <v>380</v>
      </c>
      <c r="D131" s="113" t="s">
        <v>535</v>
      </c>
      <c r="E131" s="113" t="str">
        <f t="shared" si="3"/>
        <v/>
      </c>
      <c r="F131" s="118">
        <v>201.46532999999999</v>
      </c>
      <c r="G131" s="118">
        <v>141.90907000000001</v>
      </c>
      <c r="H131" s="118">
        <v>114.82495</v>
      </c>
      <c r="I131" s="118">
        <v>224.15582000000001</v>
      </c>
      <c r="J131" s="118">
        <v>474.90634999999997</v>
      </c>
      <c r="K131" s="118">
        <v>115.99285</v>
      </c>
      <c r="L131" s="118">
        <v>242.58233999999999</v>
      </c>
      <c r="M131" s="118">
        <v>-320.04998999999998</v>
      </c>
      <c r="N131" s="118">
        <v>153.06971999999999</v>
      </c>
      <c r="O131" s="118">
        <v>133.28242</v>
      </c>
      <c r="P131" s="118">
        <v>133.2937</v>
      </c>
      <c r="Q131" s="118">
        <v>133.30428000000001</v>
      </c>
      <c r="R131" s="118">
        <v>150.47358</v>
      </c>
      <c r="S131" s="118">
        <v>134.12065999999999</v>
      </c>
      <c r="T131" s="118">
        <f t="shared" si="11"/>
        <v>1689.95668</v>
      </c>
    </row>
    <row r="132" spans="1:20">
      <c r="A132" s="118" t="str">
        <f t="shared" si="9"/>
        <v>LGE</v>
      </c>
      <c r="B132" s="118" t="s">
        <v>545</v>
      </c>
      <c r="C132" s="118" t="str">
        <f t="shared" si="10"/>
        <v>380</v>
      </c>
      <c r="D132" s="113" t="s">
        <v>536</v>
      </c>
      <c r="E132" s="113" t="str">
        <f t="shared" si="3"/>
        <v>GLT</v>
      </c>
      <c r="F132" s="118">
        <v>2013.0788700000001</v>
      </c>
      <c r="G132" s="118">
        <v>1987.40681</v>
      </c>
      <c r="H132" s="118">
        <v>2426.6279300000001</v>
      </c>
      <c r="I132" s="118">
        <v>2455.7712799999999</v>
      </c>
      <c r="J132" s="118">
        <v>3043.4245999999998</v>
      </c>
      <c r="K132" s="118">
        <v>3311.5468700000001</v>
      </c>
      <c r="L132" s="118">
        <v>2773.3312000000001</v>
      </c>
      <c r="M132" s="118">
        <v>3202.4507199999998</v>
      </c>
      <c r="N132" s="118">
        <v>3270.5889299999999</v>
      </c>
      <c r="O132" s="118">
        <v>3073.6355899999999</v>
      </c>
      <c r="P132" s="118">
        <v>2534.0873999999999</v>
      </c>
      <c r="Q132" s="118">
        <v>2394.6626299999998</v>
      </c>
      <c r="R132" s="118">
        <v>2012.0969499999901</v>
      </c>
      <c r="S132" s="118">
        <v>1953.58563999999</v>
      </c>
      <c r="T132" s="118">
        <f t="shared" si="11"/>
        <v>32451.809739999975</v>
      </c>
    </row>
    <row r="133" spans="1:20">
      <c r="A133" s="118" t="str">
        <f t="shared" si="9"/>
        <v>LGE</v>
      </c>
      <c r="B133" s="118" t="s">
        <v>545</v>
      </c>
      <c r="C133" s="118" t="str">
        <f t="shared" si="10"/>
        <v>381</v>
      </c>
      <c r="D133" s="113" t="s">
        <v>537</v>
      </c>
      <c r="E133" s="113" t="str">
        <f t="shared" si="3"/>
        <v/>
      </c>
      <c r="F133" s="118">
        <v>24.842119999999898</v>
      </c>
      <c r="G133" s="118">
        <v>116.97323</v>
      </c>
      <c r="H133" s="118">
        <v>0</v>
      </c>
      <c r="I133" s="118">
        <v>0</v>
      </c>
      <c r="J133" s="118">
        <v>25.76464</v>
      </c>
      <c r="K133" s="118">
        <v>26.65691</v>
      </c>
      <c r="L133" s="118">
        <v>62.40925</v>
      </c>
      <c r="M133" s="118">
        <v>3.23102</v>
      </c>
      <c r="N133" s="118">
        <v>2642.1283100000001</v>
      </c>
      <c r="O133" s="118">
        <v>193.76499999999999</v>
      </c>
      <c r="P133" s="118">
        <v>152.75299999999999</v>
      </c>
      <c r="Q133" s="118">
        <v>97.313999999999993</v>
      </c>
      <c r="R133" s="118">
        <v>101.32386</v>
      </c>
      <c r="S133" s="118">
        <v>454.48021</v>
      </c>
      <c r="T133" s="118">
        <f t="shared" si="11"/>
        <v>3759.8262</v>
      </c>
    </row>
    <row r="134" spans="1:20">
      <c r="A134" s="118" t="str">
        <f t="shared" si="9"/>
        <v>LGE</v>
      </c>
      <c r="B134" s="118" t="s">
        <v>545</v>
      </c>
      <c r="C134" s="118" t="str">
        <f t="shared" si="10"/>
        <v>385</v>
      </c>
      <c r="D134" s="113" t="s">
        <v>539</v>
      </c>
      <c r="E134" s="113" t="str">
        <f t="shared" si="3"/>
        <v/>
      </c>
      <c r="F134" s="118">
        <v>0</v>
      </c>
      <c r="G134" s="118">
        <v>0</v>
      </c>
      <c r="H134" s="118">
        <v>0</v>
      </c>
      <c r="I134" s="118">
        <v>0</v>
      </c>
      <c r="J134" s="118">
        <v>0</v>
      </c>
      <c r="K134" s="118">
        <v>0</v>
      </c>
      <c r="L134" s="118">
        <v>0</v>
      </c>
      <c r="M134" s="118">
        <v>0</v>
      </c>
      <c r="N134" s="118">
        <v>298.33073000000002</v>
      </c>
      <c r="O134" s="118">
        <v>94.424220000000005</v>
      </c>
      <c r="P134" s="118">
        <v>144.48424</v>
      </c>
      <c r="Q134" s="118">
        <v>42.329349999999998</v>
      </c>
      <c r="R134" s="118">
        <v>0</v>
      </c>
      <c r="S134" s="118">
        <v>0</v>
      </c>
      <c r="T134" s="118">
        <f t="shared" si="11"/>
        <v>579.56853999999998</v>
      </c>
    </row>
    <row r="135" spans="1:20">
      <c r="A135" s="118" t="str">
        <f t="shared" si="9"/>
        <v>LGE</v>
      </c>
      <c r="B135" s="118" t="s">
        <v>545</v>
      </c>
      <c r="C135" s="118" t="str">
        <f t="shared" si="10"/>
        <v>387</v>
      </c>
      <c r="D135" s="113" t="s">
        <v>540</v>
      </c>
      <c r="E135" s="113" t="str">
        <f t="shared" ref="E135:E197" si="12">IF(ISTEXT(MID($D135,SEARCH("FUTURE USE",$D135),3)),"FUTURE USE",IF(ISTEXT(MID($D135,SEARCH("ECR",$D135),3)),"ECR",IF(ISTEXT(MID($D135,SEARCH("ARO",$D135),3)),"ARO",IF(ISTEXT(MID($D135,SEARCH("DSM",$D135),3)),"DSM",IF(ISTEXT(MID($D135,SEARCH("GLT",$D135),3)),"GLT","")))))</f>
        <v/>
      </c>
      <c r="F135" s="118">
        <v>0</v>
      </c>
      <c r="G135" s="118">
        <v>0</v>
      </c>
      <c r="H135" s="118">
        <v>0</v>
      </c>
      <c r="I135" s="118">
        <v>0</v>
      </c>
      <c r="J135" s="118">
        <v>0</v>
      </c>
      <c r="K135" s="118">
        <v>0</v>
      </c>
      <c r="L135" s="118">
        <v>0</v>
      </c>
      <c r="M135" s="118">
        <v>0</v>
      </c>
      <c r="N135" s="118">
        <v>25.526139999999899</v>
      </c>
      <c r="O135" s="118">
        <v>234.83499</v>
      </c>
      <c r="P135" s="118">
        <v>32.959199999999903</v>
      </c>
      <c r="Q135" s="118">
        <v>0</v>
      </c>
      <c r="R135" s="118">
        <v>0</v>
      </c>
      <c r="S135" s="118">
        <v>0</v>
      </c>
      <c r="T135" s="118">
        <f t="shared" si="11"/>
        <v>293.32032999999979</v>
      </c>
    </row>
    <row r="136" spans="1:20">
      <c r="A136" s="118" t="str">
        <f t="shared" si="9"/>
        <v>LGE</v>
      </c>
      <c r="B136" s="118" t="s">
        <v>545</v>
      </c>
      <c r="C136" s="118" t="str">
        <f t="shared" si="10"/>
        <v>392</v>
      </c>
      <c r="D136" s="113" t="s">
        <v>1327</v>
      </c>
      <c r="E136" s="113" t="str">
        <f t="shared" si="12"/>
        <v/>
      </c>
      <c r="F136" s="118">
        <v>0</v>
      </c>
      <c r="G136" s="118">
        <v>10.229279999999999</v>
      </c>
      <c r="H136" s="118">
        <v>0</v>
      </c>
      <c r="I136" s="118">
        <v>0</v>
      </c>
      <c r="J136" s="118">
        <v>0</v>
      </c>
      <c r="K136" s="118">
        <v>0</v>
      </c>
      <c r="L136" s="118">
        <v>0</v>
      </c>
      <c r="M136" s="118">
        <v>0</v>
      </c>
      <c r="N136" s="118">
        <v>145.10548</v>
      </c>
      <c r="O136" s="118">
        <v>0</v>
      </c>
      <c r="P136" s="118">
        <v>95.692999999999998</v>
      </c>
      <c r="Q136" s="118">
        <v>0</v>
      </c>
      <c r="R136" s="118">
        <v>0</v>
      </c>
      <c r="S136" s="118">
        <v>0</v>
      </c>
      <c r="T136" s="118">
        <f t="shared" si="11"/>
        <v>240.79847999999998</v>
      </c>
    </row>
    <row r="137" spans="1:20">
      <c r="A137" s="118" t="str">
        <f t="shared" si="9"/>
        <v>LGE</v>
      </c>
      <c r="B137" s="118" t="s">
        <v>545</v>
      </c>
      <c r="C137" s="118" t="str">
        <f t="shared" si="10"/>
        <v>392</v>
      </c>
      <c r="D137" s="113" t="s">
        <v>542</v>
      </c>
      <c r="E137" s="113" t="str">
        <f t="shared" si="12"/>
        <v/>
      </c>
      <c r="F137" s="118">
        <v>0</v>
      </c>
      <c r="G137" s="118">
        <v>0</v>
      </c>
      <c r="H137" s="118">
        <v>0</v>
      </c>
      <c r="I137" s="118">
        <v>0</v>
      </c>
      <c r="J137" s="118">
        <v>0</v>
      </c>
      <c r="K137" s="118">
        <v>0</v>
      </c>
      <c r="L137" s="118">
        <v>0</v>
      </c>
      <c r="M137" s="118">
        <v>0</v>
      </c>
      <c r="N137" s="118">
        <v>148.57930999999999</v>
      </c>
      <c r="O137" s="118">
        <v>0</v>
      </c>
      <c r="P137" s="118">
        <v>0</v>
      </c>
      <c r="Q137" s="118">
        <v>0</v>
      </c>
      <c r="R137" s="118">
        <v>0</v>
      </c>
      <c r="S137" s="118">
        <v>0</v>
      </c>
      <c r="T137" s="118">
        <f t="shared" si="11"/>
        <v>148.57930999999999</v>
      </c>
    </row>
    <row r="138" spans="1:20">
      <c r="A138" s="118" t="str">
        <f t="shared" si="9"/>
        <v>LGE</v>
      </c>
      <c r="B138" s="118" t="s">
        <v>545</v>
      </c>
      <c r="C138" s="118" t="str">
        <f t="shared" si="10"/>
        <v>394</v>
      </c>
      <c r="D138" s="113" t="s">
        <v>543</v>
      </c>
      <c r="E138" s="113" t="str">
        <f t="shared" si="12"/>
        <v/>
      </c>
      <c r="F138" s="118">
        <v>9.2011500000000002</v>
      </c>
      <c r="G138" s="118">
        <v>305.33152000000001</v>
      </c>
      <c r="H138" s="118">
        <v>67.48545</v>
      </c>
      <c r="I138" s="118">
        <v>34.151870000000002</v>
      </c>
      <c r="J138" s="118">
        <v>91.258880000000005</v>
      </c>
      <c r="K138" s="118">
        <v>140.14013</v>
      </c>
      <c r="L138" s="118">
        <v>75.941009999999906</v>
      </c>
      <c r="M138" s="118">
        <v>-294.93088</v>
      </c>
      <c r="N138" s="118">
        <v>106.13612000000001</v>
      </c>
      <c r="O138" s="118">
        <v>74.800989999999999</v>
      </c>
      <c r="P138" s="118">
        <v>129.37565000000001</v>
      </c>
      <c r="Q138" s="118">
        <v>6.2515999999999998</v>
      </c>
      <c r="R138" s="118">
        <v>0</v>
      </c>
      <c r="S138" s="118">
        <v>0</v>
      </c>
      <c r="T138" s="118">
        <f t="shared" si="11"/>
        <v>430.61081999999993</v>
      </c>
    </row>
    <row r="139" spans="1:20">
      <c r="A139" s="118" t="str">
        <f t="shared" si="9"/>
        <v>LGE</v>
      </c>
      <c r="B139" s="118" t="s">
        <v>545</v>
      </c>
      <c r="C139" s="118" t="str">
        <f t="shared" si="10"/>
        <v>396</v>
      </c>
      <c r="D139" s="113" t="s">
        <v>544</v>
      </c>
      <c r="E139" s="113" t="str">
        <f t="shared" si="12"/>
        <v/>
      </c>
      <c r="F139" s="118">
        <v>0</v>
      </c>
      <c r="G139" s="118">
        <v>0</v>
      </c>
      <c r="H139" s="118">
        <v>0</v>
      </c>
      <c r="I139" s="118">
        <v>0</v>
      </c>
      <c r="J139" s="118">
        <v>0</v>
      </c>
      <c r="K139" s="118">
        <v>0</v>
      </c>
      <c r="L139" s="118">
        <v>0</v>
      </c>
      <c r="M139" s="118">
        <v>0</v>
      </c>
      <c r="N139" s="118">
        <v>36.000010000000003</v>
      </c>
      <c r="O139" s="118">
        <v>0</v>
      </c>
      <c r="P139" s="118">
        <v>0</v>
      </c>
      <c r="Q139" s="118">
        <v>0</v>
      </c>
      <c r="R139" s="118">
        <v>0</v>
      </c>
      <c r="S139" s="118">
        <v>0</v>
      </c>
      <c r="T139" s="118">
        <f t="shared" si="11"/>
        <v>36.000010000000003</v>
      </c>
    </row>
    <row r="140" spans="1:20">
      <c r="A140" s="118" t="str">
        <f t="shared" si="9"/>
        <v>LGE</v>
      </c>
      <c r="B140" s="118" t="s">
        <v>545</v>
      </c>
      <c r="C140" s="118" t="str">
        <f t="shared" si="10"/>
        <v>396</v>
      </c>
      <c r="D140" s="113" t="s">
        <v>1328</v>
      </c>
      <c r="E140" s="113" t="str">
        <f t="shared" si="12"/>
        <v/>
      </c>
      <c r="F140" s="118">
        <v>0</v>
      </c>
      <c r="G140" s="118">
        <v>43.812510000000003</v>
      </c>
      <c r="H140" s="118">
        <v>0</v>
      </c>
      <c r="I140" s="118">
        <v>121.21008999999999</v>
      </c>
      <c r="J140" s="118">
        <v>0</v>
      </c>
      <c r="K140" s="118">
        <v>121.42534000000001</v>
      </c>
      <c r="L140" s="118">
        <v>34.236089999999997</v>
      </c>
      <c r="M140" s="118">
        <v>3.0853000000000002</v>
      </c>
      <c r="N140" s="118">
        <v>293.38911000000002</v>
      </c>
      <c r="O140" s="118">
        <v>0</v>
      </c>
      <c r="P140" s="118">
        <v>0</v>
      </c>
      <c r="Q140" s="118">
        <v>0</v>
      </c>
      <c r="R140" s="118">
        <v>0</v>
      </c>
      <c r="S140" s="118">
        <v>0</v>
      </c>
      <c r="T140" s="118">
        <f t="shared" si="11"/>
        <v>573.34592999999995</v>
      </c>
    </row>
    <row r="145" spans="5:5">
      <c r="E145" s="113" t="str">
        <f t="shared" si="12"/>
        <v/>
      </c>
    </row>
    <row r="146" spans="5:5">
      <c r="E146" s="113" t="str">
        <f t="shared" si="12"/>
        <v/>
      </c>
    </row>
    <row r="147" spans="5:5">
      <c r="E147" s="113" t="str">
        <f t="shared" si="12"/>
        <v/>
      </c>
    </row>
    <row r="148" spans="5:5">
      <c r="E148" s="113" t="str">
        <f t="shared" si="12"/>
        <v/>
      </c>
    </row>
    <row r="149" spans="5:5">
      <c r="E149" s="113" t="str">
        <f t="shared" si="12"/>
        <v/>
      </c>
    </row>
    <row r="150" spans="5:5">
      <c r="E150" s="113" t="str">
        <f t="shared" si="12"/>
        <v/>
      </c>
    </row>
    <row r="151" spans="5:5">
      <c r="E151" s="113" t="str">
        <f t="shared" si="12"/>
        <v/>
      </c>
    </row>
    <row r="152" spans="5:5">
      <c r="E152" s="113" t="str">
        <f t="shared" si="12"/>
        <v/>
      </c>
    </row>
    <row r="153" spans="5:5">
      <c r="E153" s="113" t="str">
        <f t="shared" si="12"/>
        <v/>
      </c>
    </row>
    <row r="154" spans="5:5">
      <c r="E154" s="113" t="str">
        <f t="shared" si="12"/>
        <v/>
      </c>
    </row>
    <row r="155" spans="5:5">
      <c r="E155" s="113" t="str">
        <f t="shared" si="12"/>
        <v/>
      </c>
    </row>
    <row r="156" spans="5:5">
      <c r="E156" s="113" t="str">
        <f t="shared" si="12"/>
        <v/>
      </c>
    </row>
    <row r="157" spans="5:5">
      <c r="E157" s="113" t="str">
        <f t="shared" si="12"/>
        <v/>
      </c>
    </row>
    <row r="158" spans="5:5">
      <c r="E158" s="113" t="str">
        <f t="shared" si="12"/>
        <v/>
      </c>
    </row>
    <row r="159" spans="5:5">
      <c r="E159" s="113" t="str">
        <f t="shared" si="12"/>
        <v/>
      </c>
    </row>
    <row r="160" spans="5:5">
      <c r="E160" s="113" t="str">
        <f t="shared" si="12"/>
        <v/>
      </c>
    </row>
    <row r="161" spans="1:20">
      <c r="E161" s="113" t="str">
        <f t="shared" si="12"/>
        <v/>
      </c>
    </row>
    <row r="162" spans="1:20">
      <c r="E162" s="113" t="str">
        <f t="shared" si="12"/>
        <v/>
      </c>
    </row>
    <row r="163" spans="1:20">
      <c r="E163" s="113" t="str">
        <f t="shared" si="12"/>
        <v/>
      </c>
    </row>
    <row r="164" spans="1:20">
      <c r="E164" s="113" t="str">
        <f t="shared" si="12"/>
        <v/>
      </c>
    </row>
    <row r="165" spans="1:20">
      <c r="E165" s="113" t="str">
        <f t="shared" si="12"/>
        <v/>
      </c>
    </row>
    <row r="166" spans="1:20">
      <c r="E166" s="113" t="str">
        <f t="shared" si="12"/>
        <v/>
      </c>
      <c r="T166" s="118">
        <f t="shared" si="11"/>
        <v>0</v>
      </c>
    </row>
    <row r="167" spans="1:20">
      <c r="D167" s="113" t="s">
        <v>451</v>
      </c>
      <c r="E167" s="113" t="str">
        <f t="shared" si="12"/>
        <v/>
      </c>
      <c r="T167" s="118">
        <f t="shared" si="11"/>
        <v>0</v>
      </c>
    </row>
    <row r="168" spans="1:20">
      <c r="A168" s="118" t="str">
        <f t="shared" ref="A168:A177" si="13">MID($D168,4,3)</f>
        <v>LGE</v>
      </c>
      <c r="B168" s="118" t="s">
        <v>452</v>
      </c>
      <c r="C168" s="118" t="str">
        <f t="shared" ref="C168:C177" si="14">MID($D168,9,3)</f>
        <v>303</v>
      </c>
      <c r="D168" s="113" t="s">
        <v>437</v>
      </c>
      <c r="E168" s="113" t="str">
        <f t="shared" si="12"/>
        <v/>
      </c>
      <c r="F168" s="118">
        <v>960.26981999999998</v>
      </c>
      <c r="G168" s="118">
        <v>126.29254</v>
      </c>
      <c r="H168" s="118">
        <v>31.474419999999999</v>
      </c>
      <c r="I168" s="118">
        <v>35.178489999999996</v>
      </c>
      <c r="J168" s="118">
        <v>202.3433</v>
      </c>
      <c r="K168" s="118">
        <v>378.20893999999998</v>
      </c>
      <c r="L168" s="118">
        <v>35.168529999999997</v>
      </c>
      <c r="M168" s="118">
        <v>3702.4602999999902</v>
      </c>
      <c r="N168" s="118">
        <v>91.134330000000006</v>
      </c>
      <c r="O168" s="118">
        <v>143.11872</v>
      </c>
      <c r="P168" s="118">
        <v>18.905999999999999</v>
      </c>
      <c r="Q168" s="118">
        <v>7677.5799500000003</v>
      </c>
      <c r="R168" s="118">
        <v>22</v>
      </c>
      <c r="S168" s="118">
        <v>108</v>
      </c>
      <c r="T168" s="118">
        <f t="shared" si="11"/>
        <v>12445.57297999999</v>
      </c>
    </row>
    <row r="169" spans="1:20">
      <c r="A169" s="118" t="str">
        <f t="shared" si="13"/>
        <v>LGE</v>
      </c>
      <c r="B169" s="118" t="s">
        <v>452</v>
      </c>
      <c r="C169" s="118" t="str">
        <f t="shared" si="14"/>
        <v>303</v>
      </c>
      <c r="D169" s="113" t="s">
        <v>438</v>
      </c>
      <c r="E169" s="113" t="str">
        <f t="shared" si="12"/>
        <v/>
      </c>
      <c r="F169" s="118">
        <v>0</v>
      </c>
      <c r="G169" s="118">
        <v>0</v>
      </c>
      <c r="H169" s="118">
        <v>0</v>
      </c>
      <c r="I169" s="118">
        <v>0</v>
      </c>
      <c r="J169" s="118">
        <v>0</v>
      </c>
      <c r="K169" s="118">
        <v>0</v>
      </c>
      <c r="L169" s="118">
        <v>0</v>
      </c>
      <c r="M169" s="118">
        <v>0</v>
      </c>
      <c r="N169" s="118">
        <v>0</v>
      </c>
      <c r="O169" s="118">
        <v>0</v>
      </c>
      <c r="P169" s="118">
        <v>0</v>
      </c>
      <c r="Q169" s="118">
        <v>103.39994</v>
      </c>
      <c r="R169" s="118">
        <v>0</v>
      </c>
      <c r="S169" s="118">
        <v>0</v>
      </c>
      <c r="T169" s="118">
        <f t="shared" si="11"/>
        <v>103.39994</v>
      </c>
    </row>
    <row r="170" spans="1:20">
      <c r="A170" s="118" t="str">
        <f t="shared" si="13"/>
        <v>LGE</v>
      </c>
      <c r="B170" s="118" t="s">
        <v>452</v>
      </c>
      <c r="C170" s="118" t="str">
        <f t="shared" si="14"/>
        <v>390</v>
      </c>
      <c r="D170" s="113" t="s">
        <v>440</v>
      </c>
      <c r="E170" s="113" t="str">
        <f t="shared" si="12"/>
        <v/>
      </c>
      <c r="F170" s="118">
        <v>117.76999000000001</v>
      </c>
      <c r="G170" s="118">
        <v>65.770219999999995</v>
      </c>
      <c r="H170" s="118">
        <v>140.67203999999899</v>
      </c>
      <c r="I170" s="118">
        <v>18.18984</v>
      </c>
      <c r="J170" s="118">
        <v>147.01734999999999</v>
      </c>
      <c r="K170" s="118">
        <v>140.66059999999999</v>
      </c>
      <c r="L170" s="118">
        <v>112.98506</v>
      </c>
      <c r="M170" s="118">
        <v>360.94310999999999</v>
      </c>
      <c r="N170" s="118">
        <v>350.83539999999903</v>
      </c>
      <c r="O170" s="118">
        <v>51.087159999999997</v>
      </c>
      <c r="P170" s="118">
        <v>378.13499999999999</v>
      </c>
      <c r="Q170" s="118">
        <v>788.80598999999995</v>
      </c>
      <c r="R170" s="118">
        <v>0</v>
      </c>
      <c r="S170" s="118">
        <v>0</v>
      </c>
      <c r="T170" s="118">
        <f t="shared" si="11"/>
        <v>2489.3315499999981</v>
      </c>
    </row>
    <row r="171" spans="1:20">
      <c r="A171" s="118" t="str">
        <f t="shared" si="13"/>
        <v>LGE</v>
      </c>
      <c r="B171" s="118" t="s">
        <v>452</v>
      </c>
      <c r="C171" s="118" t="str">
        <f t="shared" si="14"/>
        <v>391</v>
      </c>
      <c r="D171" s="113" t="s">
        <v>441</v>
      </c>
      <c r="E171" s="113" t="str">
        <f t="shared" si="12"/>
        <v/>
      </c>
      <c r="F171" s="118">
        <v>595.09435999999903</v>
      </c>
      <c r="G171" s="118">
        <v>171.07632000000001</v>
      </c>
      <c r="H171" s="118">
        <v>-44.58972</v>
      </c>
      <c r="I171" s="118">
        <v>417.46301999999997</v>
      </c>
      <c r="J171" s="118">
        <v>-169.60469999999901</v>
      </c>
      <c r="K171" s="118">
        <v>384.64024999999998</v>
      </c>
      <c r="L171" s="118">
        <v>106.19103</v>
      </c>
      <c r="M171" s="118">
        <v>472.74626000000001</v>
      </c>
      <c r="N171" s="118">
        <v>1045.4621299999999</v>
      </c>
      <c r="O171" s="118">
        <v>725.39487999999994</v>
      </c>
      <c r="P171" s="118">
        <v>381.42507999999998</v>
      </c>
      <c r="Q171" s="118">
        <v>6380.8312599999999</v>
      </c>
      <c r="R171" s="118">
        <v>26.65</v>
      </c>
      <c r="S171" s="118">
        <v>34.56</v>
      </c>
      <c r="T171" s="118">
        <f t="shared" si="11"/>
        <v>9761.1694900000002</v>
      </c>
    </row>
    <row r="172" spans="1:20">
      <c r="A172" s="118" t="str">
        <f t="shared" si="13"/>
        <v>LGE</v>
      </c>
      <c r="B172" s="118" t="s">
        <v>452</v>
      </c>
      <c r="C172" s="118" t="str">
        <f t="shared" si="14"/>
        <v>393</v>
      </c>
      <c r="D172" s="113" t="s">
        <v>443</v>
      </c>
      <c r="E172" s="113" t="str">
        <f t="shared" si="12"/>
        <v/>
      </c>
      <c r="F172" s="118">
        <v>0</v>
      </c>
      <c r="G172" s="118">
        <v>4.2571399999999997</v>
      </c>
      <c r="H172" s="118">
        <v>0</v>
      </c>
      <c r="I172" s="118">
        <v>0</v>
      </c>
      <c r="J172" s="118">
        <v>0</v>
      </c>
      <c r="K172" s="118">
        <v>0</v>
      </c>
      <c r="L172" s="118">
        <v>-27.024460000000001</v>
      </c>
      <c r="M172" s="118">
        <v>0</v>
      </c>
      <c r="N172" s="118">
        <v>0</v>
      </c>
      <c r="O172" s="118">
        <v>0</v>
      </c>
      <c r="P172" s="118">
        <v>0</v>
      </c>
      <c r="Q172" s="118">
        <v>0</v>
      </c>
      <c r="R172" s="118">
        <v>0</v>
      </c>
      <c r="S172" s="118">
        <v>0</v>
      </c>
      <c r="T172" s="118">
        <f t="shared" si="11"/>
        <v>-27.024460000000001</v>
      </c>
    </row>
    <row r="173" spans="1:20">
      <c r="A173" s="118" t="str">
        <f t="shared" si="13"/>
        <v>LGE</v>
      </c>
      <c r="B173" s="118" t="s">
        <v>452</v>
      </c>
      <c r="C173" s="118" t="str">
        <f t="shared" si="14"/>
        <v>394</v>
      </c>
      <c r="D173" s="113" t="s">
        <v>444</v>
      </c>
      <c r="E173" s="113" t="str">
        <f t="shared" si="12"/>
        <v/>
      </c>
      <c r="F173" s="118">
        <v>0</v>
      </c>
      <c r="G173" s="118">
        <v>8.9838199999999997</v>
      </c>
      <c r="H173" s="118">
        <v>21.71613</v>
      </c>
      <c r="I173" s="118">
        <v>18.45036</v>
      </c>
      <c r="J173" s="118">
        <v>18.371659999999999</v>
      </c>
      <c r="K173" s="118">
        <v>0</v>
      </c>
      <c r="L173" s="118">
        <v>-42.57497</v>
      </c>
      <c r="M173" s="118">
        <v>0</v>
      </c>
      <c r="N173" s="118">
        <v>-0.26075999999999999</v>
      </c>
      <c r="O173" s="118">
        <v>23.806000000000001</v>
      </c>
      <c r="P173" s="118">
        <v>0</v>
      </c>
      <c r="Q173" s="118">
        <v>0</v>
      </c>
      <c r="R173" s="118">
        <v>0</v>
      </c>
      <c r="S173" s="118">
        <v>0</v>
      </c>
      <c r="T173" s="118">
        <f t="shared" si="11"/>
        <v>39.508419999999994</v>
      </c>
    </row>
    <row r="174" spans="1:20">
      <c r="A174" s="118" t="str">
        <f t="shared" si="13"/>
        <v>LGE</v>
      </c>
      <c r="B174" s="118" t="s">
        <v>452</v>
      </c>
      <c r="C174" s="118" t="str">
        <f t="shared" si="14"/>
        <v>396</v>
      </c>
      <c r="D174" s="113" t="s">
        <v>1330</v>
      </c>
      <c r="E174" s="113" t="str">
        <f t="shared" si="12"/>
        <v/>
      </c>
      <c r="F174" s="118">
        <v>0</v>
      </c>
      <c r="G174" s="118">
        <v>0</v>
      </c>
      <c r="H174" s="118">
        <v>0</v>
      </c>
      <c r="I174" s="118">
        <v>0</v>
      </c>
      <c r="J174" s="118">
        <v>0</v>
      </c>
      <c r="K174" s="118">
        <v>0</v>
      </c>
      <c r="L174" s="118">
        <v>27.024460000000001</v>
      </c>
      <c r="M174" s="118">
        <v>0</v>
      </c>
      <c r="N174" s="118">
        <v>0</v>
      </c>
      <c r="O174" s="118">
        <v>0</v>
      </c>
      <c r="P174" s="118">
        <v>0</v>
      </c>
      <c r="Q174" s="118">
        <v>0</v>
      </c>
      <c r="R174" s="118">
        <v>0</v>
      </c>
      <c r="S174" s="118">
        <v>0</v>
      </c>
      <c r="T174" s="118">
        <f t="shared" si="11"/>
        <v>27.024460000000001</v>
      </c>
    </row>
    <row r="175" spans="1:20">
      <c r="A175" s="118" t="str">
        <f t="shared" si="13"/>
        <v>LGE</v>
      </c>
      <c r="B175" s="118" t="s">
        <v>452</v>
      </c>
      <c r="C175" s="118" t="str">
        <f t="shared" si="14"/>
        <v>397</v>
      </c>
      <c r="D175" s="113" t="s">
        <v>446</v>
      </c>
      <c r="E175" s="113" t="str">
        <f t="shared" si="12"/>
        <v/>
      </c>
      <c r="F175" s="118">
        <v>-2.7080700000000002</v>
      </c>
      <c r="G175" s="118">
        <v>1.30487</v>
      </c>
      <c r="H175" s="118">
        <v>-14.364240000000001</v>
      </c>
      <c r="I175" s="118">
        <v>-2.0393400000000002</v>
      </c>
      <c r="J175" s="118">
        <v>24.561520000000002</v>
      </c>
      <c r="K175" s="118">
        <v>0</v>
      </c>
      <c r="L175" s="118">
        <v>0</v>
      </c>
      <c r="M175" s="118">
        <v>-31.658770000000001</v>
      </c>
      <c r="N175" s="118">
        <v>-406.23268999999999</v>
      </c>
      <c r="O175" s="118">
        <v>0</v>
      </c>
      <c r="P175" s="118">
        <v>0</v>
      </c>
      <c r="Q175" s="118">
        <v>194.98034999999999</v>
      </c>
      <c r="R175" s="118">
        <v>0</v>
      </c>
      <c r="S175" s="118">
        <v>0</v>
      </c>
      <c r="T175" s="118">
        <f t="shared" si="11"/>
        <v>-234.75317000000001</v>
      </c>
    </row>
    <row r="176" spans="1:20">
      <c r="A176" s="118" t="str">
        <f t="shared" si="13"/>
        <v>LGE</v>
      </c>
      <c r="B176" s="118" t="s">
        <v>452</v>
      </c>
      <c r="C176" s="118" t="str">
        <f t="shared" si="14"/>
        <v>397</v>
      </c>
      <c r="D176" s="113" t="s">
        <v>448</v>
      </c>
      <c r="E176" s="113" t="str">
        <f t="shared" si="12"/>
        <v/>
      </c>
      <c r="F176" s="118">
        <v>-29.674040000000002</v>
      </c>
      <c r="G176" s="118">
        <v>6.4634</v>
      </c>
      <c r="H176" s="118">
        <v>0</v>
      </c>
      <c r="I176" s="118">
        <v>0</v>
      </c>
      <c r="J176" s="118">
        <v>-24.487380000000002</v>
      </c>
      <c r="K176" s="118">
        <v>0</v>
      </c>
      <c r="L176" s="118">
        <v>0</v>
      </c>
      <c r="M176" s="118">
        <v>31.658770000000001</v>
      </c>
      <c r="N176" s="118">
        <v>-71.210380000000001</v>
      </c>
      <c r="O176" s="118">
        <v>0</v>
      </c>
      <c r="P176" s="118">
        <v>0</v>
      </c>
      <c r="Q176" s="118">
        <v>5208.4272799999999</v>
      </c>
      <c r="R176" s="118">
        <v>0</v>
      </c>
      <c r="S176" s="118">
        <v>0</v>
      </c>
      <c r="T176" s="118">
        <f t="shared" si="11"/>
        <v>5144.3882899999999</v>
      </c>
    </row>
    <row r="177" spans="1:20">
      <c r="A177" s="118" t="str">
        <f t="shared" si="13"/>
        <v>LGE</v>
      </c>
      <c r="B177" s="118" t="s">
        <v>452</v>
      </c>
      <c r="C177" s="118" t="str">
        <f t="shared" si="14"/>
        <v>398</v>
      </c>
      <c r="D177" s="113" t="s">
        <v>449</v>
      </c>
      <c r="E177" s="113" t="str">
        <f t="shared" si="12"/>
        <v/>
      </c>
      <c r="F177" s="118">
        <v>0</v>
      </c>
      <c r="G177" s="118">
        <v>0</v>
      </c>
      <c r="H177" s="118">
        <v>0</v>
      </c>
      <c r="I177" s="118">
        <v>0</v>
      </c>
      <c r="J177" s="118">
        <v>0</v>
      </c>
      <c r="K177" s="118">
        <v>0</v>
      </c>
      <c r="L177" s="118">
        <v>0</v>
      </c>
      <c r="M177" s="118">
        <v>0</v>
      </c>
      <c r="N177" s="118">
        <v>0</v>
      </c>
      <c r="P177" s="118">
        <v>0</v>
      </c>
      <c r="Q177" s="118">
        <v>0</v>
      </c>
      <c r="R177" s="118">
        <v>0</v>
      </c>
      <c r="S177" s="118">
        <v>0</v>
      </c>
      <c r="T177" s="118">
        <f t="shared" ref="T177" si="15">SUM(H177:S177)</f>
        <v>0</v>
      </c>
    </row>
    <row r="179" spans="1:20">
      <c r="E179" s="113" t="str">
        <f t="shared" si="12"/>
        <v/>
      </c>
      <c r="T179" s="118">
        <f t="shared" ref="T179:T186" si="16">SUM(H179:S179)</f>
        <v>0</v>
      </c>
    </row>
    <row r="180" spans="1:20">
      <c r="E180" s="113" t="str">
        <f t="shared" si="12"/>
        <v/>
      </c>
      <c r="T180" s="118">
        <f t="shared" si="16"/>
        <v>0</v>
      </c>
    </row>
    <row r="181" spans="1:20">
      <c r="E181" s="113" t="str">
        <f t="shared" si="12"/>
        <v/>
      </c>
      <c r="T181" s="118">
        <f t="shared" si="16"/>
        <v>0</v>
      </c>
    </row>
    <row r="182" spans="1:20">
      <c r="E182" s="113" t="str">
        <f t="shared" si="12"/>
        <v/>
      </c>
      <c r="T182" s="118">
        <f t="shared" si="16"/>
        <v>0</v>
      </c>
    </row>
    <row r="183" spans="1:20">
      <c r="E183" s="113" t="str">
        <f t="shared" si="12"/>
        <v/>
      </c>
      <c r="T183" s="118">
        <f t="shared" si="16"/>
        <v>0</v>
      </c>
    </row>
    <row r="184" spans="1:20">
      <c r="E184" s="113" t="str">
        <f t="shared" si="12"/>
        <v/>
      </c>
      <c r="T184" s="118">
        <f t="shared" si="16"/>
        <v>0</v>
      </c>
    </row>
    <row r="185" spans="1:20">
      <c r="A185" s="118" t="str">
        <f t="shared" ref="A185" si="17">MID($D185,4,2)</f>
        <v/>
      </c>
      <c r="B185" s="118" t="str">
        <f t="shared" ref="B185" si="18">IF(MID($D185,12,2)="- ","KY",MID($D185,12,2))</f>
        <v/>
      </c>
      <c r="C185" s="118" t="str">
        <f t="shared" ref="C185" si="19">MID($D185,8,3)</f>
        <v/>
      </c>
      <c r="E185" s="113" t="str">
        <f t="shared" si="12"/>
        <v/>
      </c>
      <c r="T185" s="118">
        <f t="shared" si="16"/>
        <v>0</v>
      </c>
    </row>
    <row r="186" spans="1:20">
      <c r="D186" s="113" t="s">
        <v>409</v>
      </c>
      <c r="E186" s="113" t="str">
        <f t="shared" si="12"/>
        <v/>
      </c>
      <c r="T186" s="118">
        <f t="shared" si="16"/>
        <v>0</v>
      </c>
    </row>
    <row r="187" spans="1:20">
      <c r="A187" s="118" t="str">
        <f t="shared" ref="A187:A204" si="20">MID($D187,4,3)</f>
        <v>LGE</v>
      </c>
      <c r="B187" s="118" t="s">
        <v>545</v>
      </c>
      <c r="C187" s="118" t="str">
        <f t="shared" ref="C187:C204" si="21">MID($D187,9,3)</f>
        <v>351</v>
      </c>
      <c r="D187" s="113" t="s">
        <v>509</v>
      </c>
      <c r="E187" s="113" t="str">
        <f t="shared" si="12"/>
        <v/>
      </c>
      <c r="F187" s="118">
        <v>0</v>
      </c>
      <c r="G187" s="118">
        <v>0</v>
      </c>
      <c r="H187" s="118">
        <v>0</v>
      </c>
      <c r="I187" s="118">
        <v>0</v>
      </c>
      <c r="J187" s="118">
        <v>0</v>
      </c>
      <c r="K187" s="118">
        <v>0.37412000000000001</v>
      </c>
      <c r="L187" s="118">
        <v>0</v>
      </c>
      <c r="M187" s="118">
        <v>0</v>
      </c>
      <c r="N187" s="118">
        <v>0</v>
      </c>
      <c r="O187" s="118">
        <v>0</v>
      </c>
      <c r="P187" s="118">
        <v>0</v>
      </c>
      <c r="Q187" s="118">
        <v>0</v>
      </c>
      <c r="R187" s="118">
        <v>0</v>
      </c>
      <c r="S187" s="118">
        <v>0</v>
      </c>
      <c r="T187" s="118">
        <f t="shared" ref="T187:T228" si="22">SUM(H187:S187)</f>
        <v>0.37412000000000001</v>
      </c>
    </row>
    <row r="188" spans="1:20">
      <c r="A188" s="118" t="str">
        <f t="shared" si="20"/>
        <v>LGE</v>
      </c>
      <c r="B188" s="118" t="s">
        <v>545</v>
      </c>
      <c r="C188" s="118" t="str">
        <f t="shared" si="21"/>
        <v>351</v>
      </c>
      <c r="D188" s="113" t="s">
        <v>511</v>
      </c>
      <c r="E188" s="113" t="str">
        <f t="shared" si="12"/>
        <v/>
      </c>
      <c r="F188" s="118">
        <v>0</v>
      </c>
      <c r="G188" s="118">
        <v>0</v>
      </c>
      <c r="H188" s="118">
        <v>0</v>
      </c>
      <c r="I188" s="118">
        <v>0</v>
      </c>
      <c r="J188" s="118">
        <v>0</v>
      </c>
      <c r="K188" s="118">
        <v>0</v>
      </c>
      <c r="L188" s="118">
        <v>6.13666</v>
      </c>
      <c r="M188" s="118">
        <v>1.69689</v>
      </c>
      <c r="N188" s="118">
        <v>0</v>
      </c>
      <c r="O188" s="118">
        <v>0</v>
      </c>
      <c r="P188" s="118">
        <v>0</v>
      </c>
      <c r="Q188" s="118">
        <v>0</v>
      </c>
      <c r="R188" s="118">
        <v>0</v>
      </c>
      <c r="S188" s="118">
        <v>0</v>
      </c>
      <c r="T188" s="118">
        <f t="shared" si="22"/>
        <v>7.8335499999999998</v>
      </c>
    </row>
    <row r="189" spans="1:20">
      <c r="A189" s="118" t="str">
        <f t="shared" si="20"/>
        <v>LGE</v>
      </c>
      <c r="B189" s="118" t="s">
        <v>545</v>
      </c>
      <c r="C189" s="118" t="str">
        <f t="shared" si="21"/>
        <v>352</v>
      </c>
      <c r="D189" s="113" t="s">
        <v>518</v>
      </c>
      <c r="E189" s="113" t="str">
        <f t="shared" si="12"/>
        <v/>
      </c>
      <c r="F189" s="118">
        <v>0</v>
      </c>
      <c r="G189" s="118">
        <v>26.431730000000002</v>
      </c>
      <c r="H189" s="118">
        <v>0</v>
      </c>
      <c r="I189" s="118">
        <v>0</v>
      </c>
      <c r="J189" s="118">
        <v>0</v>
      </c>
      <c r="K189" s="118">
        <v>0</v>
      </c>
      <c r="L189" s="118">
        <v>0</v>
      </c>
      <c r="M189" s="118">
        <v>0</v>
      </c>
      <c r="N189" s="118">
        <v>0</v>
      </c>
      <c r="O189" s="118">
        <v>0</v>
      </c>
      <c r="P189" s="118">
        <v>0</v>
      </c>
      <c r="Q189" s="118">
        <v>0</v>
      </c>
      <c r="R189" s="118">
        <v>0</v>
      </c>
      <c r="S189" s="118">
        <v>0</v>
      </c>
      <c r="T189" s="118">
        <f t="shared" si="22"/>
        <v>0</v>
      </c>
    </row>
    <row r="190" spans="1:20">
      <c r="A190" s="118" t="str">
        <f t="shared" si="20"/>
        <v>LGE</v>
      </c>
      <c r="B190" s="118" t="s">
        <v>545</v>
      </c>
      <c r="C190" s="118" t="str">
        <f t="shared" si="21"/>
        <v>353</v>
      </c>
      <c r="D190" s="113" t="s">
        <v>519</v>
      </c>
      <c r="E190" s="113" t="str">
        <f t="shared" si="12"/>
        <v/>
      </c>
      <c r="F190" s="118">
        <v>0</v>
      </c>
      <c r="G190" s="118">
        <v>1.3238399999999999</v>
      </c>
      <c r="H190" s="118">
        <v>0</v>
      </c>
      <c r="I190" s="118">
        <v>0</v>
      </c>
      <c r="J190" s="118">
        <v>0</v>
      </c>
      <c r="K190" s="118">
        <v>0</v>
      </c>
      <c r="L190" s="118">
        <v>0</v>
      </c>
      <c r="M190" s="118">
        <v>0</v>
      </c>
      <c r="N190" s="118">
        <v>0</v>
      </c>
      <c r="O190" s="118">
        <v>0</v>
      </c>
      <c r="P190" s="118">
        <v>0</v>
      </c>
      <c r="Q190" s="118">
        <v>0</v>
      </c>
      <c r="R190" s="118">
        <v>0</v>
      </c>
      <c r="S190" s="118">
        <v>0</v>
      </c>
      <c r="T190" s="118">
        <f t="shared" si="22"/>
        <v>0</v>
      </c>
    </row>
    <row r="191" spans="1:20">
      <c r="A191" s="118" t="str">
        <f t="shared" si="20"/>
        <v>LGE</v>
      </c>
      <c r="B191" s="118" t="s">
        <v>545</v>
      </c>
      <c r="C191" s="118" t="str">
        <f t="shared" si="21"/>
        <v>353</v>
      </c>
      <c r="D191" s="113" t="s">
        <v>520</v>
      </c>
      <c r="E191" s="113" t="str">
        <f t="shared" si="12"/>
        <v/>
      </c>
      <c r="F191" s="118">
        <v>0</v>
      </c>
      <c r="G191" s="118">
        <v>0</v>
      </c>
      <c r="H191" s="118">
        <v>0</v>
      </c>
      <c r="I191" s="118">
        <v>0</v>
      </c>
      <c r="J191" s="118">
        <v>0</v>
      </c>
      <c r="K191" s="118">
        <v>0</v>
      </c>
      <c r="L191" s="118">
        <v>2.5684899999999899</v>
      </c>
      <c r="M191" s="118">
        <v>0</v>
      </c>
      <c r="N191" s="118">
        <v>0</v>
      </c>
      <c r="O191" s="118">
        <v>0</v>
      </c>
      <c r="P191" s="118">
        <v>0</v>
      </c>
      <c r="Q191" s="118">
        <v>0</v>
      </c>
      <c r="R191" s="118">
        <v>0</v>
      </c>
      <c r="S191" s="118">
        <v>0</v>
      </c>
      <c r="T191" s="118">
        <f t="shared" si="22"/>
        <v>2.5684899999999899</v>
      </c>
    </row>
    <row r="192" spans="1:20">
      <c r="A192" s="118" t="str">
        <f t="shared" si="20"/>
        <v>LGE</v>
      </c>
      <c r="B192" s="118" t="s">
        <v>545</v>
      </c>
      <c r="C192" s="118" t="str">
        <f t="shared" si="21"/>
        <v>354</v>
      </c>
      <c r="D192" s="113" t="s">
        <v>521</v>
      </c>
      <c r="E192" s="113" t="str">
        <f t="shared" si="12"/>
        <v/>
      </c>
      <c r="F192" s="118">
        <v>0</v>
      </c>
      <c r="G192" s="118">
        <v>48.13653</v>
      </c>
      <c r="H192" s="118">
        <v>0</v>
      </c>
      <c r="I192" s="118">
        <v>0</v>
      </c>
      <c r="J192" s="118">
        <v>0</v>
      </c>
      <c r="K192" s="118">
        <v>297.05207000000001</v>
      </c>
      <c r="L192" s="118">
        <v>19.10277</v>
      </c>
      <c r="M192" s="118">
        <v>0</v>
      </c>
      <c r="N192" s="118">
        <v>0</v>
      </c>
      <c r="O192" s="118">
        <v>0</v>
      </c>
      <c r="P192" s="118">
        <v>0</v>
      </c>
      <c r="Q192" s="118">
        <v>0</v>
      </c>
      <c r="R192" s="118">
        <v>0</v>
      </c>
      <c r="S192" s="118">
        <v>0</v>
      </c>
      <c r="T192" s="118">
        <f t="shared" si="22"/>
        <v>316.15484000000004</v>
      </c>
    </row>
    <row r="193" spans="1:20">
      <c r="A193" s="118" t="str">
        <f t="shared" si="20"/>
        <v>LGE</v>
      </c>
      <c r="B193" s="118" t="s">
        <v>545</v>
      </c>
      <c r="C193" s="118" t="str">
        <f t="shared" si="21"/>
        <v>355</v>
      </c>
      <c r="D193" s="113" t="s">
        <v>522</v>
      </c>
      <c r="E193" s="113" t="str">
        <f t="shared" si="12"/>
        <v/>
      </c>
      <c r="F193" s="118">
        <v>0</v>
      </c>
      <c r="G193" s="118">
        <v>2.2882500000000001</v>
      </c>
      <c r="H193" s="118">
        <v>0</v>
      </c>
      <c r="I193" s="118">
        <v>0</v>
      </c>
      <c r="J193" s="118">
        <v>0</v>
      </c>
      <c r="K193" s="118">
        <v>0</v>
      </c>
      <c r="L193" s="118">
        <v>0</v>
      </c>
      <c r="M193" s="118">
        <v>0</v>
      </c>
      <c r="N193" s="118">
        <v>0</v>
      </c>
      <c r="O193" s="118">
        <v>0</v>
      </c>
      <c r="P193" s="118">
        <v>0</v>
      </c>
      <c r="Q193" s="118">
        <v>0</v>
      </c>
      <c r="R193" s="118">
        <v>0</v>
      </c>
      <c r="S193" s="118">
        <v>0</v>
      </c>
      <c r="T193" s="118">
        <f t="shared" si="22"/>
        <v>0</v>
      </c>
    </row>
    <row r="194" spans="1:20">
      <c r="A194" s="118" t="str">
        <f t="shared" si="20"/>
        <v>LGE</v>
      </c>
      <c r="B194" s="118" t="s">
        <v>545</v>
      </c>
      <c r="C194" s="118" t="str">
        <f t="shared" si="21"/>
        <v>356</v>
      </c>
      <c r="D194" s="113" t="s">
        <v>523</v>
      </c>
      <c r="E194" s="113" t="str">
        <f t="shared" si="12"/>
        <v/>
      </c>
      <c r="F194" s="118">
        <v>0</v>
      </c>
      <c r="G194" s="118">
        <v>0</v>
      </c>
      <c r="H194" s="118">
        <v>0</v>
      </c>
      <c r="I194" s="118">
        <v>0</v>
      </c>
      <c r="J194" s="118">
        <v>0</v>
      </c>
      <c r="K194" s="118">
        <v>31.971509999999999</v>
      </c>
      <c r="L194" s="118">
        <v>0</v>
      </c>
      <c r="M194" s="118">
        <v>0</v>
      </c>
      <c r="N194" s="118">
        <v>0</v>
      </c>
      <c r="O194" s="118">
        <v>0</v>
      </c>
      <c r="P194" s="118">
        <v>0</v>
      </c>
      <c r="Q194" s="118">
        <v>0</v>
      </c>
      <c r="R194" s="118">
        <v>0</v>
      </c>
      <c r="S194" s="118">
        <v>0</v>
      </c>
      <c r="T194" s="118">
        <f t="shared" si="22"/>
        <v>31.971509999999999</v>
      </c>
    </row>
    <row r="195" spans="1:20">
      <c r="A195" s="118" t="str">
        <f t="shared" si="20"/>
        <v>LGE</v>
      </c>
      <c r="B195" s="118" t="s">
        <v>545</v>
      </c>
      <c r="C195" s="118" t="str">
        <f t="shared" si="21"/>
        <v>358</v>
      </c>
      <c r="D195" s="113" t="s">
        <v>526</v>
      </c>
      <c r="E195" s="113" t="str">
        <f t="shared" si="12"/>
        <v>ARO</v>
      </c>
      <c r="F195" s="118">
        <v>0</v>
      </c>
      <c r="G195" s="118">
        <v>52.867669999999997</v>
      </c>
      <c r="H195" s="118">
        <v>0</v>
      </c>
      <c r="I195" s="118">
        <v>0</v>
      </c>
      <c r="J195" s="118">
        <v>0</v>
      </c>
      <c r="K195" s="118">
        <v>4.4502800000000002</v>
      </c>
      <c r="L195" s="118">
        <v>0</v>
      </c>
      <c r="M195" s="118">
        <v>0</v>
      </c>
      <c r="N195" s="118">
        <v>0</v>
      </c>
      <c r="O195" s="118">
        <v>0</v>
      </c>
      <c r="P195" s="118">
        <v>0</v>
      </c>
      <c r="Q195" s="118">
        <v>0</v>
      </c>
      <c r="R195" s="118">
        <v>0</v>
      </c>
      <c r="S195" s="118">
        <v>0</v>
      </c>
      <c r="T195" s="118">
        <f t="shared" si="22"/>
        <v>4.4502800000000002</v>
      </c>
    </row>
    <row r="196" spans="1:20">
      <c r="A196" s="118" t="str">
        <f t="shared" si="20"/>
        <v>LGE</v>
      </c>
      <c r="B196" s="118" t="s">
        <v>545</v>
      </c>
      <c r="C196" s="118" t="str">
        <f t="shared" si="21"/>
        <v>367</v>
      </c>
      <c r="D196" s="113" t="s">
        <v>528</v>
      </c>
      <c r="E196" s="113" t="str">
        <f t="shared" si="12"/>
        <v/>
      </c>
      <c r="F196" s="118">
        <v>0</v>
      </c>
      <c r="G196" s="118">
        <v>2.0469300000000001</v>
      </c>
      <c r="H196" s="118">
        <v>0</v>
      </c>
      <c r="I196" s="118">
        <v>0</v>
      </c>
      <c r="J196" s="118">
        <v>0</v>
      </c>
      <c r="K196" s="118">
        <v>84.079929999999905</v>
      </c>
      <c r="L196" s="118">
        <v>0</v>
      </c>
      <c r="M196" s="118">
        <v>2.8641399999999999</v>
      </c>
      <c r="N196" s="118">
        <v>0</v>
      </c>
      <c r="O196" s="118">
        <v>0</v>
      </c>
      <c r="P196" s="118">
        <v>0</v>
      </c>
      <c r="Q196" s="118">
        <v>0</v>
      </c>
      <c r="R196" s="118">
        <v>0</v>
      </c>
      <c r="S196" s="118">
        <v>0</v>
      </c>
      <c r="T196" s="118">
        <f t="shared" si="22"/>
        <v>86.944069999999911</v>
      </c>
    </row>
    <row r="197" spans="1:20">
      <c r="A197" s="118" t="str">
        <f t="shared" si="20"/>
        <v>LGE</v>
      </c>
      <c r="B197" s="118" t="s">
        <v>545</v>
      </c>
      <c r="C197" s="118" t="str">
        <f t="shared" si="21"/>
        <v>375</v>
      </c>
      <c r="D197" s="113" t="s">
        <v>530</v>
      </c>
      <c r="E197" s="113" t="str">
        <f t="shared" si="12"/>
        <v/>
      </c>
      <c r="F197" s="118">
        <v>0</v>
      </c>
      <c r="G197" s="118">
        <v>0</v>
      </c>
      <c r="H197" s="118">
        <v>0</v>
      </c>
      <c r="I197" s="118">
        <v>0</v>
      </c>
      <c r="J197" s="118">
        <v>0</v>
      </c>
      <c r="K197" s="118">
        <v>0.59748000000000001</v>
      </c>
      <c r="L197" s="118">
        <v>0</v>
      </c>
      <c r="M197" s="118">
        <v>0</v>
      </c>
      <c r="N197" s="118">
        <v>0</v>
      </c>
      <c r="O197" s="118">
        <v>0</v>
      </c>
      <c r="P197" s="118">
        <v>0</v>
      </c>
      <c r="Q197" s="118">
        <v>0</v>
      </c>
      <c r="R197" s="118">
        <v>0</v>
      </c>
      <c r="S197" s="118">
        <v>0</v>
      </c>
      <c r="T197" s="118">
        <f t="shared" si="22"/>
        <v>0.59748000000000001</v>
      </c>
    </row>
    <row r="198" spans="1:20">
      <c r="A198" s="118" t="str">
        <f t="shared" si="20"/>
        <v>LGE</v>
      </c>
      <c r="B198" s="118" t="s">
        <v>545</v>
      </c>
      <c r="C198" s="118" t="str">
        <f t="shared" si="21"/>
        <v>376</v>
      </c>
      <c r="D198" s="113" t="s">
        <v>531</v>
      </c>
      <c r="E198" s="113" t="str">
        <f t="shared" ref="E198:E260" si="23">IF(ISTEXT(MID($D198,SEARCH("FUTURE USE",$D198),3)),"FUTURE USE",IF(ISTEXT(MID($D198,SEARCH("ECR",$D198),3)),"ECR",IF(ISTEXT(MID($D198,SEARCH("ARO",$D198),3)),"ARO",IF(ISTEXT(MID($D198,SEARCH("DSM",$D198),3)),"DSM",IF(ISTEXT(MID($D198,SEARCH("GLT",$D198),3)),"GLT","")))))</f>
        <v/>
      </c>
      <c r="F198" s="118">
        <v>0</v>
      </c>
      <c r="G198" s="118">
        <v>144.64461</v>
      </c>
      <c r="H198" s="118">
        <v>0</v>
      </c>
      <c r="I198" s="118">
        <v>0</v>
      </c>
      <c r="J198" s="118">
        <v>0</v>
      </c>
      <c r="K198" s="118">
        <v>0</v>
      </c>
      <c r="L198" s="118">
        <v>42.992820000000002</v>
      </c>
      <c r="M198" s="118">
        <v>23.018640000000001</v>
      </c>
      <c r="N198" s="118">
        <v>0</v>
      </c>
      <c r="O198" s="118">
        <v>729.46299999999997</v>
      </c>
      <c r="P198" s="118">
        <v>729.46299999999997</v>
      </c>
      <c r="Q198" s="118">
        <v>729.46299999999997</v>
      </c>
      <c r="R198" s="118">
        <v>0</v>
      </c>
      <c r="S198" s="118">
        <v>0</v>
      </c>
      <c r="T198" s="118">
        <f t="shared" si="22"/>
        <v>2254.4004599999998</v>
      </c>
    </row>
    <row r="199" spans="1:20">
      <c r="A199" s="118" t="str">
        <f t="shared" si="20"/>
        <v>LGE</v>
      </c>
      <c r="B199" s="118" t="s">
        <v>545</v>
      </c>
      <c r="C199" s="118" t="str">
        <f t="shared" si="21"/>
        <v>378</v>
      </c>
      <c r="D199" s="113" t="s">
        <v>533</v>
      </c>
      <c r="E199" s="113" t="str">
        <f t="shared" si="23"/>
        <v/>
      </c>
      <c r="F199" s="118">
        <v>0</v>
      </c>
      <c r="G199" s="118">
        <v>72.52816</v>
      </c>
      <c r="H199" s="118">
        <v>0</v>
      </c>
      <c r="I199" s="118">
        <v>0</v>
      </c>
      <c r="J199" s="118">
        <v>0</v>
      </c>
      <c r="K199" s="118">
        <v>0.26776</v>
      </c>
      <c r="L199" s="118">
        <v>0</v>
      </c>
      <c r="M199" s="118">
        <v>14.548349999999999</v>
      </c>
      <c r="N199" s="118">
        <v>0</v>
      </c>
      <c r="O199" s="118">
        <v>0</v>
      </c>
      <c r="P199" s="118">
        <v>0</v>
      </c>
      <c r="Q199" s="118">
        <v>0</v>
      </c>
      <c r="R199" s="118">
        <v>0</v>
      </c>
      <c r="S199" s="118">
        <v>0</v>
      </c>
      <c r="T199" s="118">
        <f t="shared" si="22"/>
        <v>14.816109999999998</v>
      </c>
    </row>
    <row r="200" spans="1:20">
      <c r="A200" s="118" t="str">
        <f t="shared" si="20"/>
        <v>LGE</v>
      </c>
      <c r="B200" s="118" t="s">
        <v>545</v>
      </c>
      <c r="C200" s="118" t="str">
        <f t="shared" si="21"/>
        <v>379</v>
      </c>
      <c r="D200" s="113" t="s">
        <v>534</v>
      </c>
      <c r="E200" s="113" t="str">
        <f t="shared" si="23"/>
        <v/>
      </c>
      <c r="F200" s="118">
        <v>0</v>
      </c>
      <c r="G200" s="118">
        <v>0</v>
      </c>
      <c r="H200" s="118">
        <v>0</v>
      </c>
      <c r="I200" s="118">
        <v>0</v>
      </c>
      <c r="J200" s="118">
        <v>0</v>
      </c>
      <c r="K200" s="118">
        <v>24.40335</v>
      </c>
      <c r="L200" s="118">
        <v>0</v>
      </c>
      <c r="M200" s="118">
        <v>0.48018</v>
      </c>
      <c r="N200" s="118">
        <v>0</v>
      </c>
      <c r="O200" s="118">
        <v>0</v>
      </c>
      <c r="P200" s="118">
        <v>0</v>
      </c>
      <c r="Q200" s="118">
        <v>0</v>
      </c>
      <c r="R200" s="118">
        <v>0</v>
      </c>
      <c r="S200" s="118">
        <v>0</v>
      </c>
      <c r="T200" s="118">
        <f t="shared" si="22"/>
        <v>24.88353</v>
      </c>
    </row>
    <row r="201" spans="1:20">
      <c r="A201" s="118" t="str">
        <f t="shared" si="20"/>
        <v>LGE</v>
      </c>
      <c r="B201" s="118" t="s">
        <v>545</v>
      </c>
      <c r="C201" s="118" t="str">
        <f t="shared" si="21"/>
        <v>380</v>
      </c>
      <c r="D201" s="113" t="s">
        <v>1331</v>
      </c>
      <c r="E201" s="113" t="str">
        <f t="shared" si="23"/>
        <v>GLT</v>
      </c>
      <c r="F201" s="118">
        <v>0</v>
      </c>
      <c r="G201" s="118">
        <v>0</v>
      </c>
      <c r="H201" s="118">
        <v>0</v>
      </c>
      <c r="I201" s="118">
        <v>0</v>
      </c>
      <c r="J201" s="118">
        <v>0</v>
      </c>
      <c r="K201" s="118">
        <v>0</v>
      </c>
      <c r="L201" s="118">
        <v>0</v>
      </c>
      <c r="M201" s="118">
        <v>0</v>
      </c>
      <c r="N201" s="118">
        <v>0</v>
      </c>
      <c r="O201" s="118">
        <v>0</v>
      </c>
      <c r="P201" s="118">
        <v>3375.5604600000001</v>
      </c>
      <c r="Q201" s="118">
        <v>0</v>
      </c>
      <c r="R201" s="118">
        <v>0</v>
      </c>
      <c r="S201" s="118">
        <v>0</v>
      </c>
      <c r="T201" s="118">
        <f t="shared" si="22"/>
        <v>3375.5604600000001</v>
      </c>
    </row>
    <row r="202" spans="1:20">
      <c r="A202" s="118" t="str">
        <f t="shared" si="20"/>
        <v>LGE</v>
      </c>
      <c r="B202" s="118" t="s">
        <v>545</v>
      </c>
      <c r="C202" s="118" t="str">
        <f t="shared" si="21"/>
        <v>388</v>
      </c>
      <c r="D202" s="113" t="s">
        <v>541</v>
      </c>
      <c r="E202" s="113" t="str">
        <f t="shared" si="23"/>
        <v>ARO</v>
      </c>
      <c r="F202" s="118">
        <v>0</v>
      </c>
      <c r="G202" s="118">
        <v>5.9618599999999997</v>
      </c>
      <c r="H202" s="118">
        <v>0</v>
      </c>
      <c r="I202" s="118">
        <v>0</v>
      </c>
      <c r="J202" s="118">
        <v>0</v>
      </c>
      <c r="K202" s="118">
        <v>0.97899999999999998</v>
      </c>
      <c r="L202" s="118">
        <v>0</v>
      </c>
      <c r="M202" s="118">
        <v>0</v>
      </c>
      <c r="N202" s="118">
        <v>0</v>
      </c>
      <c r="O202" s="118">
        <v>0</v>
      </c>
      <c r="P202" s="118">
        <v>0</v>
      </c>
      <c r="Q202" s="118">
        <v>0</v>
      </c>
      <c r="R202" s="118">
        <v>0</v>
      </c>
      <c r="S202" s="118">
        <v>0</v>
      </c>
      <c r="T202" s="118">
        <f t="shared" si="22"/>
        <v>0.97899999999999998</v>
      </c>
    </row>
    <row r="203" spans="1:20">
      <c r="A203" s="118" t="str">
        <f t="shared" si="20"/>
        <v>LGE</v>
      </c>
      <c r="B203" s="118" t="s">
        <v>545</v>
      </c>
      <c r="C203" s="118" t="str">
        <f t="shared" si="21"/>
        <v>394</v>
      </c>
      <c r="D203" s="113" t="s">
        <v>543</v>
      </c>
      <c r="E203" s="113" t="str">
        <f t="shared" si="23"/>
        <v/>
      </c>
      <c r="F203" s="118">
        <v>0</v>
      </c>
      <c r="G203" s="118">
        <v>0</v>
      </c>
      <c r="H203" s="118">
        <v>0</v>
      </c>
      <c r="I203" s="118">
        <v>0</v>
      </c>
      <c r="J203" s="118">
        <v>0</v>
      </c>
      <c r="K203" s="118">
        <v>245.63837000000001</v>
      </c>
      <c r="L203" s="118">
        <v>0</v>
      </c>
      <c r="M203" s="118">
        <v>0</v>
      </c>
      <c r="N203" s="118">
        <v>0</v>
      </c>
      <c r="O203" s="118">
        <v>0</v>
      </c>
      <c r="P203" s="118">
        <v>0</v>
      </c>
      <c r="Q203" s="118">
        <v>0</v>
      </c>
      <c r="R203" s="118">
        <v>0</v>
      </c>
      <c r="S203" s="118">
        <v>0</v>
      </c>
      <c r="T203" s="118">
        <f t="shared" si="22"/>
        <v>245.63837000000001</v>
      </c>
    </row>
    <row r="204" spans="1:20">
      <c r="A204" s="118" t="str">
        <f t="shared" si="20"/>
        <v>LGE</v>
      </c>
      <c r="B204" s="118" t="s">
        <v>545</v>
      </c>
      <c r="C204" s="118" t="str">
        <f t="shared" si="21"/>
        <v>396</v>
      </c>
      <c r="D204" s="113" t="s">
        <v>1328</v>
      </c>
      <c r="E204" s="113" t="str">
        <f t="shared" si="23"/>
        <v/>
      </c>
      <c r="F204" s="118">
        <v>0</v>
      </c>
      <c r="G204" s="118">
        <v>27.78302</v>
      </c>
      <c r="H204" s="118">
        <v>0</v>
      </c>
      <c r="I204" s="118">
        <v>0</v>
      </c>
      <c r="J204" s="118">
        <v>0</v>
      </c>
      <c r="K204" s="118">
        <v>0</v>
      </c>
      <c r="L204" s="118">
        <v>0</v>
      </c>
      <c r="M204" s="118">
        <v>0</v>
      </c>
      <c r="N204" s="118">
        <v>0</v>
      </c>
      <c r="O204" s="118">
        <v>0</v>
      </c>
      <c r="P204" s="118">
        <v>0</v>
      </c>
      <c r="Q204" s="118">
        <v>0</v>
      </c>
      <c r="R204" s="118">
        <v>0</v>
      </c>
      <c r="S204" s="118">
        <v>0</v>
      </c>
      <c r="T204" s="118">
        <f t="shared" si="22"/>
        <v>0</v>
      </c>
    </row>
    <row r="209" spans="1:20">
      <c r="E209" s="113" t="str">
        <f t="shared" si="23"/>
        <v/>
      </c>
    </row>
    <row r="210" spans="1:20">
      <c r="E210" s="113" t="str">
        <f t="shared" si="23"/>
        <v/>
      </c>
    </row>
    <row r="211" spans="1:20">
      <c r="E211" s="113" t="str">
        <f t="shared" si="23"/>
        <v/>
      </c>
    </row>
    <row r="212" spans="1:20">
      <c r="E212" s="113" t="str">
        <f t="shared" si="23"/>
        <v/>
      </c>
    </row>
    <row r="213" spans="1:20">
      <c r="E213" s="113" t="str">
        <f t="shared" si="23"/>
        <v/>
      </c>
    </row>
    <row r="214" spans="1:20">
      <c r="E214" s="113" t="str">
        <f t="shared" si="23"/>
        <v/>
      </c>
    </row>
    <row r="215" spans="1:20">
      <c r="E215" s="113" t="str">
        <f t="shared" si="23"/>
        <v/>
      </c>
    </row>
    <row r="216" spans="1:20">
      <c r="E216" s="113" t="str">
        <f t="shared" si="23"/>
        <v/>
      </c>
    </row>
    <row r="217" spans="1:20">
      <c r="E217" s="113" t="str">
        <f t="shared" si="23"/>
        <v/>
      </c>
    </row>
    <row r="218" spans="1:20">
      <c r="E218" s="113" t="str">
        <f t="shared" si="23"/>
        <v/>
      </c>
    </row>
    <row r="219" spans="1:20">
      <c r="E219" s="113" t="str">
        <f t="shared" si="23"/>
        <v/>
      </c>
    </row>
    <row r="220" spans="1:20">
      <c r="E220" s="113" t="str">
        <f t="shared" si="23"/>
        <v/>
      </c>
      <c r="T220" s="118">
        <f t="shared" si="22"/>
        <v>0</v>
      </c>
    </row>
    <row r="221" spans="1:20">
      <c r="D221" s="113" t="s">
        <v>453</v>
      </c>
      <c r="E221" s="113" t="str">
        <f t="shared" si="23"/>
        <v/>
      </c>
      <c r="T221" s="118">
        <f t="shared" si="22"/>
        <v>0</v>
      </c>
    </row>
    <row r="222" spans="1:20">
      <c r="A222" s="118" t="str">
        <f t="shared" ref="A222:A228" si="24">MID($D222,4,3)</f>
        <v>LGE</v>
      </c>
      <c r="B222" s="118" t="s">
        <v>452</v>
      </c>
      <c r="C222" s="118" t="str">
        <f t="shared" ref="C222:C228" si="25">MID($D222,9,3)</f>
        <v>303</v>
      </c>
      <c r="D222" s="113" t="s">
        <v>437</v>
      </c>
      <c r="E222" s="113" t="str">
        <f t="shared" si="23"/>
        <v/>
      </c>
      <c r="F222" s="118">
        <v>146.86865</v>
      </c>
      <c r="G222" s="118">
        <v>10.3032</v>
      </c>
      <c r="H222" s="118">
        <v>139.16258999999999</v>
      </c>
      <c r="I222" s="118">
        <v>2180.6867099999999</v>
      </c>
      <c r="J222" s="118">
        <v>763.15981999999997</v>
      </c>
      <c r="K222" s="118">
        <v>2682.1981900000001</v>
      </c>
      <c r="L222" s="118">
        <v>105.65271</v>
      </c>
      <c r="M222" s="118">
        <v>200.69788</v>
      </c>
      <c r="N222" s="118">
        <v>17.591999999999999</v>
      </c>
      <c r="O222" s="118">
        <v>656.95500000000004</v>
      </c>
      <c r="P222" s="118">
        <v>43.514000000000003</v>
      </c>
      <c r="Q222" s="118">
        <v>158.86199999999999</v>
      </c>
      <c r="R222" s="118">
        <v>216.66800000000001</v>
      </c>
      <c r="S222" s="118">
        <v>0</v>
      </c>
      <c r="T222" s="118">
        <f t="shared" si="22"/>
        <v>7165.1488999999992</v>
      </c>
    </row>
    <row r="223" spans="1:20">
      <c r="A223" s="118" t="str">
        <f t="shared" si="24"/>
        <v>LGE</v>
      </c>
      <c r="B223" s="118" t="s">
        <v>452</v>
      </c>
      <c r="C223" s="118" t="str">
        <f t="shared" si="25"/>
        <v>303</v>
      </c>
      <c r="D223" s="113" t="s">
        <v>438</v>
      </c>
      <c r="E223" s="113" t="str">
        <f t="shared" si="23"/>
        <v/>
      </c>
      <c r="F223" s="118">
        <v>0</v>
      </c>
      <c r="G223" s="118">
        <v>0</v>
      </c>
      <c r="H223" s="118">
        <v>0</v>
      </c>
      <c r="I223" s="118">
        <v>0</v>
      </c>
      <c r="J223" s="118">
        <v>0</v>
      </c>
      <c r="K223" s="118">
        <v>0</v>
      </c>
      <c r="L223" s="118">
        <v>0</v>
      </c>
      <c r="M223" s="118">
        <v>0</v>
      </c>
      <c r="N223" s="118">
        <v>0</v>
      </c>
      <c r="O223" s="118">
        <v>0</v>
      </c>
      <c r="P223" s="118">
        <v>0</v>
      </c>
      <c r="Q223" s="118">
        <v>0</v>
      </c>
      <c r="R223" s="118">
        <v>0</v>
      </c>
      <c r="S223" s="118">
        <v>0</v>
      </c>
      <c r="T223" s="118">
        <f t="shared" si="22"/>
        <v>0</v>
      </c>
    </row>
    <row r="224" spans="1:20">
      <c r="A224" s="118" t="str">
        <f t="shared" si="24"/>
        <v>LGE</v>
      </c>
      <c r="B224" s="118" t="s">
        <v>452</v>
      </c>
      <c r="C224" s="118" t="str">
        <f t="shared" si="25"/>
        <v>390</v>
      </c>
      <c r="D224" s="113" t="s">
        <v>440</v>
      </c>
      <c r="E224" s="113" t="str">
        <f t="shared" si="23"/>
        <v/>
      </c>
      <c r="F224" s="118">
        <v>0</v>
      </c>
      <c r="G224" s="118">
        <v>0</v>
      </c>
      <c r="H224" s="118">
        <v>0.34916000000000003</v>
      </c>
      <c r="I224" s="118">
        <v>46.188470000000002</v>
      </c>
      <c r="J224" s="118">
        <v>7.3749799999999999</v>
      </c>
      <c r="K224" s="118">
        <v>59.38794</v>
      </c>
      <c r="L224" s="118">
        <v>3.4252400000000001</v>
      </c>
      <c r="M224" s="118">
        <v>50.591560000000001</v>
      </c>
      <c r="N224" s="118">
        <v>0</v>
      </c>
      <c r="O224" s="118">
        <v>0</v>
      </c>
      <c r="P224" s="118">
        <v>0</v>
      </c>
      <c r="Q224" s="118">
        <v>0</v>
      </c>
      <c r="R224" s="118">
        <v>0</v>
      </c>
      <c r="S224" s="118">
        <v>0</v>
      </c>
      <c r="T224" s="118">
        <f t="shared" si="22"/>
        <v>167.31735</v>
      </c>
    </row>
    <row r="225" spans="1:20">
      <c r="A225" s="118" t="str">
        <f t="shared" si="24"/>
        <v>LGE</v>
      </c>
      <c r="B225" s="118" t="s">
        <v>452</v>
      </c>
      <c r="C225" s="118" t="str">
        <f t="shared" si="25"/>
        <v>391</v>
      </c>
      <c r="D225" s="113" t="s">
        <v>441</v>
      </c>
      <c r="E225" s="113" t="str">
        <f t="shared" si="23"/>
        <v/>
      </c>
      <c r="F225" s="118">
        <v>187.81557999999899</v>
      </c>
      <c r="G225" s="118">
        <v>154.89096000000001</v>
      </c>
      <c r="H225" s="118">
        <v>665.94970999999998</v>
      </c>
      <c r="I225" s="118">
        <v>824.97122000000002</v>
      </c>
      <c r="J225" s="118">
        <v>1683.5822900000001</v>
      </c>
      <c r="K225" s="118">
        <v>1156.18031</v>
      </c>
      <c r="L225" s="118">
        <v>3.00971999999999</v>
      </c>
      <c r="M225" s="118">
        <v>218.54055</v>
      </c>
      <c r="N225" s="118">
        <v>188.483</v>
      </c>
      <c r="O225" s="118">
        <v>632.89499999999998</v>
      </c>
      <c r="P225" s="118">
        <v>92.337999999999994</v>
      </c>
      <c r="Q225" s="118">
        <v>57.191000000000003</v>
      </c>
      <c r="R225" s="118">
        <v>568.46199999999999</v>
      </c>
      <c r="S225" s="118">
        <v>0</v>
      </c>
      <c r="T225" s="118">
        <f t="shared" si="22"/>
        <v>6091.6028000000006</v>
      </c>
    </row>
    <row r="226" spans="1:20">
      <c r="A226" s="118" t="str">
        <f t="shared" si="24"/>
        <v>LGE</v>
      </c>
      <c r="B226" s="118" t="s">
        <v>452</v>
      </c>
      <c r="C226" s="118" t="str">
        <f t="shared" si="25"/>
        <v>392</v>
      </c>
      <c r="D226" s="113" t="s">
        <v>1329</v>
      </c>
      <c r="E226" s="113" t="str">
        <f t="shared" si="23"/>
        <v/>
      </c>
      <c r="F226" s="118">
        <v>0</v>
      </c>
      <c r="G226" s="118">
        <v>0</v>
      </c>
      <c r="H226" s="118">
        <v>0</v>
      </c>
      <c r="I226" s="118">
        <v>0</v>
      </c>
      <c r="J226" s="118">
        <v>0</v>
      </c>
      <c r="K226" s="118">
        <v>7.7035799999999997</v>
      </c>
      <c r="L226" s="118">
        <v>0</v>
      </c>
      <c r="M226" s="118">
        <v>0</v>
      </c>
      <c r="N226" s="118">
        <v>0</v>
      </c>
      <c r="O226" s="118">
        <v>0</v>
      </c>
      <c r="P226" s="118">
        <v>0</v>
      </c>
      <c r="Q226" s="118">
        <v>0</v>
      </c>
      <c r="R226" s="118">
        <v>0</v>
      </c>
      <c r="S226" s="118">
        <v>0</v>
      </c>
      <c r="T226" s="118">
        <f t="shared" si="22"/>
        <v>7.7035799999999997</v>
      </c>
    </row>
    <row r="227" spans="1:20">
      <c r="A227" s="118" t="str">
        <f t="shared" si="24"/>
        <v>LGE</v>
      </c>
      <c r="B227" s="118" t="s">
        <v>452</v>
      </c>
      <c r="C227" s="118" t="str">
        <f t="shared" si="25"/>
        <v>394</v>
      </c>
      <c r="D227" s="113" t="s">
        <v>444</v>
      </c>
      <c r="E227" s="113" t="str">
        <f t="shared" si="23"/>
        <v/>
      </c>
      <c r="F227" s="118">
        <v>0</v>
      </c>
      <c r="G227" s="118">
        <v>0</v>
      </c>
      <c r="H227" s="118">
        <v>0</v>
      </c>
      <c r="I227" s="118">
        <v>0</v>
      </c>
      <c r="J227" s="118">
        <v>0</v>
      </c>
      <c r="K227" s="118">
        <v>0</v>
      </c>
      <c r="L227" s="118">
        <v>0</v>
      </c>
      <c r="M227" s="118">
        <v>0</v>
      </c>
      <c r="N227" s="118">
        <v>0</v>
      </c>
      <c r="O227" s="118">
        <v>0</v>
      </c>
      <c r="P227" s="118">
        <v>0</v>
      </c>
      <c r="Q227" s="118">
        <v>0</v>
      </c>
      <c r="R227" s="118">
        <v>0</v>
      </c>
      <c r="S227" s="118">
        <v>0</v>
      </c>
      <c r="T227" s="118">
        <f t="shared" si="22"/>
        <v>0</v>
      </c>
    </row>
    <row r="228" spans="1:20">
      <c r="A228" s="118" t="str">
        <f t="shared" si="24"/>
        <v>LGE</v>
      </c>
      <c r="B228" s="118" t="s">
        <v>452</v>
      </c>
      <c r="C228" s="118" t="str">
        <f t="shared" si="25"/>
        <v>397</v>
      </c>
      <c r="D228" s="113" t="s">
        <v>448</v>
      </c>
      <c r="E228" s="113" t="str">
        <f t="shared" si="23"/>
        <v/>
      </c>
      <c r="F228" s="118">
        <v>0</v>
      </c>
      <c r="G228" s="118">
        <v>0</v>
      </c>
      <c r="H228" s="118">
        <v>0</v>
      </c>
      <c r="I228" s="118">
        <v>0</v>
      </c>
      <c r="J228" s="118">
        <v>54.532849999999897</v>
      </c>
      <c r="K228" s="118">
        <v>9838.9007700000002</v>
      </c>
      <c r="L228" s="118">
        <v>0</v>
      </c>
      <c r="M228" s="118">
        <v>25.26473</v>
      </c>
      <c r="N228" s="118">
        <v>0</v>
      </c>
      <c r="O228" s="118">
        <v>0</v>
      </c>
      <c r="P228" s="118">
        <v>0</v>
      </c>
      <c r="Q228" s="118">
        <v>0</v>
      </c>
      <c r="R228" s="118">
        <v>0</v>
      </c>
      <c r="S228" s="118">
        <v>0</v>
      </c>
      <c r="T228" s="118">
        <f t="shared" si="22"/>
        <v>9918.6983500000006</v>
      </c>
    </row>
    <row r="229" spans="1:20">
      <c r="E229" s="113" t="str">
        <f t="shared" si="23"/>
        <v/>
      </c>
    </row>
    <row r="230" spans="1:20">
      <c r="E230" s="113" t="str">
        <f t="shared" si="23"/>
        <v/>
      </c>
    </row>
    <row r="231" spans="1:20">
      <c r="E231" s="113" t="str">
        <f t="shared" si="23"/>
        <v/>
      </c>
    </row>
    <row r="232" spans="1:20">
      <c r="E232" s="113" t="str">
        <f t="shared" si="23"/>
        <v/>
      </c>
    </row>
    <row r="233" spans="1:20">
      <c r="D233" s="113" t="s">
        <v>410</v>
      </c>
      <c r="E233" s="113" t="str">
        <f t="shared" si="23"/>
        <v/>
      </c>
    </row>
    <row r="234" spans="1:20">
      <c r="A234" s="118" t="str">
        <f t="shared" ref="A234:A274" si="26">MID($D234,4,3)</f>
        <v>LGE</v>
      </c>
      <c r="B234" s="118" t="s">
        <v>545</v>
      </c>
      <c r="C234" s="118" t="str">
        <f t="shared" ref="C234:C274" si="27">MID($D234,9,3)</f>
        <v>302</v>
      </c>
      <c r="D234" s="113" t="s">
        <v>505</v>
      </c>
      <c r="E234" s="113" t="str">
        <f t="shared" si="23"/>
        <v/>
      </c>
      <c r="F234" s="118">
        <v>0.12654000000000001</v>
      </c>
      <c r="G234" s="118">
        <v>0.12995999999999999</v>
      </c>
      <c r="H234" s="118">
        <v>0.13338</v>
      </c>
      <c r="I234" s="118">
        <v>0.1368</v>
      </c>
      <c r="J234" s="118">
        <v>0.14022000000000001</v>
      </c>
      <c r="K234" s="118">
        <v>0.14363999999999999</v>
      </c>
      <c r="L234" s="118">
        <v>0.14706</v>
      </c>
      <c r="M234" s="118">
        <v>0.15048</v>
      </c>
      <c r="N234" s="118">
        <v>0.153896370167</v>
      </c>
      <c r="O234" s="118">
        <v>0.157312740334</v>
      </c>
      <c r="P234" s="118">
        <v>0.160729110501</v>
      </c>
      <c r="Q234" s="118">
        <v>0.164145480668</v>
      </c>
      <c r="R234" s="118">
        <v>0.167561850835</v>
      </c>
      <c r="S234" s="118">
        <v>0.170978221002</v>
      </c>
    </row>
    <row r="235" spans="1:20">
      <c r="A235" s="118" t="str">
        <f t="shared" si="26"/>
        <v>LGE</v>
      </c>
      <c r="B235" s="118" t="s">
        <v>545</v>
      </c>
      <c r="C235" s="118" t="str">
        <f t="shared" si="27"/>
        <v>350</v>
      </c>
      <c r="D235" s="113" t="s">
        <v>506</v>
      </c>
      <c r="E235" s="113" t="str">
        <f t="shared" si="23"/>
        <v/>
      </c>
      <c r="F235" s="118">
        <v>72.214110000000005</v>
      </c>
      <c r="G235" s="118">
        <v>72.263050000000007</v>
      </c>
      <c r="H235" s="118">
        <v>72.311989999999994</v>
      </c>
      <c r="I235" s="118">
        <v>72.360929999999996</v>
      </c>
      <c r="J235" s="118">
        <v>72.409869999999998</v>
      </c>
      <c r="K235" s="118">
        <v>72.45881</v>
      </c>
      <c r="L235" s="118">
        <v>72.507750000000001</v>
      </c>
      <c r="M235" s="118">
        <v>69.558929999999904</v>
      </c>
      <c r="N235" s="118">
        <v>69.607869095329903</v>
      </c>
      <c r="O235" s="118">
        <v>69.656808190659902</v>
      </c>
      <c r="P235" s="118">
        <v>69.705747285989901</v>
      </c>
      <c r="Q235" s="118">
        <v>69.7546863813199</v>
      </c>
      <c r="R235" s="118">
        <v>69.803625476649898</v>
      </c>
      <c r="S235" s="118">
        <v>69.852564571979897</v>
      </c>
    </row>
    <row r="236" spans="1:20">
      <c r="A236" s="118" t="str">
        <f t="shared" si="26"/>
        <v>LGE</v>
      </c>
      <c r="B236" s="118" t="s">
        <v>545</v>
      </c>
      <c r="C236" s="118" t="str">
        <f t="shared" si="27"/>
        <v>351</v>
      </c>
      <c r="D236" s="113" t="s">
        <v>509</v>
      </c>
      <c r="E236" s="113" t="str">
        <f t="shared" si="23"/>
        <v/>
      </c>
      <c r="F236" s="118">
        <v>1299.7118</v>
      </c>
      <c r="G236" s="118">
        <v>1316.3132800000001</v>
      </c>
      <c r="H236" s="118">
        <v>1333.00324</v>
      </c>
      <c r="I236" s="118">
        <v>1349.57331</v>
      </c>
      <c r="J236" s="118">
        <v>1366.1852799999999</v>
      </c>
      <c r="K236" s="118">
        <v>1382.25503</v>
      </c>
      <c r="L236" s="118">
        <v>1398.84131</v>
      </c>
      <c r="M236" s="118">
        <v>1415.3370600000001</v>
      </c>
      <c r="N236" s="118">
        <v>1405.7484537025</v>
      </c>
      <c r="O236" s="118">
        <v>1422.72480559</v>
      </c>
      <c r="P236" s="118">
        <v>1439.7011574774999</v>
      </c>
      <c r="Q236" s="118">
        <v>1456.6775093650101</v>
      </c>
      <c r="R236" s="118">
        <v>1473.6538612525101</v>
      </c>
      <c r="S236" s="118">
        <v>1490.63021314001</v>
      </c>
    </row>
    <row r="237" spans="1:20">
      <c r="A237" s="118" t="str">
        <f t="shared" si="26"/>
        <v>LGE</v>
      </c>
      <c r="B237" s="118" t="s">
        <v>545</v>
      </c>
      <c r="C237" s="118" t="str">
        <f t="shared" si="27"/>
        <v>351</v>
      </c>
      <c r="D237" s="113" t="s">
        <v>510</v>
      </c>
      <c r="E237" s="113" t="str">
        <f t="shared" si="23"/>
        <v/>
      </c>
      <c r="F237" s="118">
        <v>137.13759999999999</v>
      </c>
      <c r="G237" s="118">
        <v>139.41691</v>
      </c>
      <c r="H237" s="118">
        <v>141.69622000000001</v>
      </c>
      <c r="I237" s="118">
        <v>143.97552999999999</v>
      </c>
      <c r="J237" s="118">
        <v>146.25484</v>
      </c>
      <c r="K237" s="118">
        <v>148.53415000000001</v>
      </c>
      <c r="L237" s="118">
        <v>150.81345999999999</v>
      </c>
      <c r="M237" s="118">
        <v>153.09277</v>
      </c>
      <c r="N237" s="118">
        <v>155.37208553880001</v>
      </c>
      <c r="O237" s="118">
        <v>157.65140107760001</v>
      </c>
      <c r="P237" s="118">
        <v>159.93071661639999</v>
      </c>
      <c r="Q237" s="118">
        <v>162.2100321552</v>
      </c>
      <c r="R237" s="118">
        <v>164.489347694</v>
      </c>
      <c r="S237" s="118">
        <v>166.76866323280001</v>
      </c>
    </row>
    <row r="238" spans="1:20">
      <c r="A238" s="118" t="str">
        <f t="shared" si="26"/>
        <v>LGE</v>
      </c>
      <c r="B238" s="118" t="s">
        <v>545</v>
      </c>
      <c r="C238" s="118" t="str">
        <f t="shared" si="27"/>
        <v>351</v>
      </c>
      <c r="D238" s="113" t="s">
        <v>511</v>
      </c>
      <c r="E238" s="113" t="str">
        <f t="shared" si="23"/>
        <v/>
      </c>
      <c r="F238" s="118">
        <v>686.25465999999994</v>
      </c>
      <c r="G238" s="118">
        <v>691.34581000000003</v>
      </c>
      <c r="H238" s="118">
        <v>696.58780000000002</v>
      </c>
      <c r="I238" s="118">
        <v>701.95317999999997</v>
      </c>
      <c r="J238" s="118">
        <v>707.33417999999995</v>
      </c>
      <c r="K238" s="118">
        <v>712.71663999999998</v>
      </c>
      <c r="L238" s="118">
        <v>711.95777999999996</v>
      </c>
      <c r="M238" s="118">
        <v>703.76991999999996</v>
      </c>
      <c r="N238" s="118">
        <v>700.87735108530001</v>
      </c>
      <c r="O238" s="118">
        <v>704.0278938527</v>
      </c>
      <c r="P238" s="118">
        <v>710.26866830220001</v>
      </c>
      <c r="Q238" s="118">
        <v>716.509442751699</v>
      </c>
      <c r="R238" s="118">
        <v>722.75021720119901</v>
      </c>
      <c r="S238" s="118">
        <v>728.99099165069902</v>
      </c>
    </row>
    <row r="239" spans="1:20">
      <c r="A239" s="118" t="str">
        <f t="shared" si="26"/>
        <v>LGE</v>
      </c>
      <c r="B239" s="118" t="s">
        <v>545</v>
      </c>
      <c r="C239" s="351">
        <v>352.1</v>
      </c>
      <c r="D239" s="113" t="s">
        <v>512</v>
      </c>
      <c r="E239" s="113" t="str">
        <f t="shared" si="23"/>
        <v/>
      </c>
      <c r="F239" s="118">
        <v>569.58996000000002</v>
      </c>
      <c r="G239" s="118">
        <v>569.58996000000002</v>
      </c>
      <c r="H239" s="118">
        <v>569.58996000000002</v>
      </c>
      <c r="I239" s="118">
        <v>569.58996000000002</v>
      </c>
      <c r="J239" s="118">
        <v>569.58996000000002</v>
      </c>
      <c r="K239" s="118">
        <v>569.58996000000002</v>
      </c>
      <c r="L239" s="118">
        <v>569.58996000000002</v>
      </c>
      <c r="M239" s="118">
        <v>569.58996000000002</v>
      </c>
      <c r="N239" s="118">
        <v>569.58996000000002</v>
      </c>
      <c r="O239" s="118">
        <v>569.58996000000002</v>
      </c>
      <c r="P239" s="118">
        <v>569.58996000000002</v>
      </c>
      <c r="Q239" s="118">
        <v>569.58996000000002</v>
      </c>
      <c r="R239" s="118">
        <v>569.58996000000002</v>
      </c>
      <c r="S239" s="118">
        <v>569.58996000000002</v>
      </c>
    </row>
    <row r="240" spans="1:20">
      <c r="A240" s="118" t="str">
        <f t="shared" si="26"/>
        <v>LGE</v>
      </c>
      <c r="B240" s="118" t="s">
        <v>545</v>
      </c>
      <c r="C240" s="118" t="s">
        <v>1104</v>
      </c>
      <c r="D240" s="113" t="s">
        <v>513</v>
      </c>
      <c r="E240" s="113" t="str">
        <f t="shared" si="23"/>
        <v/>
      </c>
      <c r="F240" s="118">
        <v>8108.0763699999998</v>
      </c>
      <c r="G240" s="118">
        <v>8114.7501599999996</v>
      </c>
      <c r="H240" s="118">
        <v>8121.4239500000003</v>
      </c>
      <c r="I240" s="118">
        <v>8128.0977400000002</v>
      </c>
      <c r="J240" s="118">
        <v>8134.77153</v>
      </c>
      <c r="K240" s="118">
        <v>8141.4453199999998</v>
      </c>
      <c r="L240" s="118">
        <v>8148.1191099999996</v>
      </c>
      <c r="M240" s="118">
        <v>8154.7929000000004</v>
      </c>
      <c r="N240" s="118">
        <v>8161.4666913749998</v>
      </c>
      <c r="O240" s="118">
        <v>8168.14048275</v>
      </c>
      <c r="P240" s="118">
        <v>8174.8142741250003</v>
      </c>
      <c r="Q240" s="118">
        <v>8181.4880654999997</v>
      </c>
      <c r="R240" s="118">
        <v>8188.161856875</v>
      </c>
      <c r="S240" s="118">
        <v>8194.8356482500003</v>
      </c>
    </row>
    <row r="241" spans="1:19">
      <c r="A241" s="118" t="str">
        <f t="shared" si="26"/>
        <v>LGE</v>
      </c>
      <c r="B241" s="118" t="s">
        <v>545</v>
      </c>
      <c r="C241" s="351">
        <v>352.2</v>
      </c>
      <c r="D241" s="113" t="s">
        <v>514</v>
      </c>
      <c r="E241" s="113" t="str">
        <f t="shared" si="23"/>
        <v/>
      </c>
      <c r="F241" s="118">
        <v>452.02728999999999</v>
      </c>
      <c r="G241" s="118">
        <v>452.02728999999999</v>
      </c>
      <c r="H241" s="118">
        <v>452.02728999999999</v>
      </c>
      <c r="I241" s="118">
        <v>452.02728999999999</v>
      </c>
      <c r="J241" s="118">
        <v>452.02728999999999</v>
      </c>
      <c r="K241" s="118">
        <v>452.02728999999999</v>
      </c>
      <c r="L241" s="118">
        <v>452.02728999999999</v>
      </c>
      <c r="M241" s="118">
        <v>452.02728999999999</v>
      </c>
      <c r="N241" s="118">
        <v>452.02728999999999</v>
      </c>
      <c r="O241" s="118">
        <v>452.02728999999999</v>
      </c>
      <c r="P241" s="118">
        <v>452.02728999999999</v>
      </c>
      <c r="Q241" s="118">
        <v>452.02728999999999</v>
      </c>
      <c r="R241" s="118">
        <v>452.02728999999999</v>
      </c>
      <c r="S241" s="118">
        <v>452.02728999999999</v>
      </c>
    </row>
    <row r="242" spans="1:19">
      <c r="A242" s="118" t="str">
        <f t="shared" si="26"/>
        <v>LGE</v>
      </c>
      <c r="B242" s="118" t="s">
        <v>545</v>
      </c>
      <c r="C242" s="118" t="str">
        <f t="shared" si="27"/>
        <v>352</v>
      </c>
      <c r="D242" s="113" t="s">
        <v>515</v>
      </c>
      <c r="E242" s="113" t="str">
        <f t="shared" si="23"/>
        <v/>
      </c>
      <c r="F242" s="118">
        <v>307.95301999999998</v>
      </c>
      <c r="G242" s="118">
        <v>309.38211000000001</v>
      </c>
      <c r="H242" s="118">
        <v>310.81119999999999</v>
      </c>
      <c r="I242" s="118">
        <v>312.24028999999899</v>
      </c>
      <c r="J242" s="118">
        <v>313.66937999999999</v>
      </c>
      <c r="K242" s="118">
        <v>315.098469999999</v>
      </c>
      <c r="L242" s="118">
        <v>316.52755999999999</v>
      </c>
      <c r="M242" s="118">
        <v>317.95665000000002</v>
      </c>
      <c r="N242" s="118">
        <v>319.38574235397999</v>
      </c>
      <c r="O242" s="118">
        <v>320.81483470795899</v>
      </c>
      <c r="P242" s="118">
        <v>322.24392706193902</v>
      </c>
      <c r="Q242" s="118">
        <v>323.67301941591899</v>
      </c>
      <c r="R242" s="118">
        <v>325.10211176989901</v>
      </c>
      <c r="S242" s="118">
        <v>326.53120412387898</v>
      </c>
    </row>
    <row r="243" spans="1:19">
      <c r="A243" s="118" t="str">
        <f t="shared" si="26"/>
        <v>LGE</v>
      </c>
      <c r="B243" s="118" t="s">
        <v>545</v>
      </c>
      <c r="C243" s="118" t="str">
        <f t="shared" si="27"/>
        <v>352</v>
      </c>
      <c r="D243" s="113" t="s">
        <v>516</v>
      </c>
      <c r="E243" s="113" t="str">
        <f t="shared" si="23"/>
        <v/>
      </c>
      <c r="F243" s="118">
        <v>238.42571000000001</v>
      </c>
      <c r="G243" s="118">
        <v>244.61338000000001</v>
      </c>
      <c r="H243" s="118">
        <v>250.80105</v>
      </c>
      <c r="I243" s="118">
        <v>256.98872</v>
      </c>
      <c r="J243" s="118">
        <v>263.17639000000003</v>
      </c>
      <c r="K243" s="118">
        <v>269.36405999999999</v>
      </c>
      <c r="L243" s="118">
        <v>275.551729999999</v>
      </c>
      <c r="M243" s="118">
        <v>281.73939999999999</v>
      </c>
      <c r="N243" s="118">
        <v>287.92707316000002</v>
      </c>
      <c r="O243" s="118">
        <v>294.11474631999999</v>
      </c>
      <c r="P243" s="118">
        <v>300.30241948000003</v>
      </c>
      <c r="Q243" s="118">
        <v>306.63363810689998</v>
      </c>
      <c r="R243" s="118">
        <v>313.10840219959999</v>
      </c>
      <c r="S243" s="118">
        <v>319.58316629230001</v>
      </c>
    </row>
    <row r="244" spans="1:19">
      <c r="A244" s="118" t="str">
        <f t="shared" si="26"/>
        <v>LGE</v>
      </c>
      <c r="B244" s="118" t="s">
        <v>545</v>
      </c>
      <c r="C244" s="118" t="str">
        <f t="shared" si="27"/>
        <v>352</v>
      </c>
      <c r="D244" s="113" t="s">
        <v>517</v>
      </c>
      <c r="E244" s="113" t="str">
        <f t="shared" si="23"/>
        <v/>
      </c>
      <c r="F244" s="118">
        <v>1784.84626</v>
      </c>
      <c r="G244" s="118">
        <v>1787.0143700000001</v>
      </c>
      <c r="H244" s="118">
        <v>1789.1824799999999</v>
      </c>
      <c r="I244" s="118">
        <v>1791.35059</v>
      </c>
      <c r="J244" s="118">
        <v>1793.5187000000001</v>
      </c>
      <c r="K244" s="118">
        <v>1795.6868099999999</v>
      </c>
      <c r="L244" s="118">
        <v>1797.85492</v>
      </c>
      <c r="M244" s="118">
        <v>1800.0230300000001</v>
      </c>
      <c r="N244" s="118">
        <v>1802.19113835802</v>
      </c>
      <c r="O244" s="118">
        <v>1804.3592467160399</v>
      </c>
      <c r="P244" s="118">
        <v>1806.5273550740501</v>
      </c>
      <c r="Q244" s="118">
        <v>1808.69546343207</v>
      </c>
      <c r="R244" s="118">
        <v>1810.86357179009</v>
      </c>
      <c r="S244" s="118">
        <v>1813.0316801481099</v>
      </c>
    </row>
    <row r="245" spans="1:19">
      <c r="A245" s="118" t="str">
        <f t="shared" si="26"/>
        <v>LGE</v>
      </c>
      <c r="B245" s="118" t="s">
        <v>545</v>
      </c>
      <c r="C245" s="118" t="str">
        <f t="shared" si="27"/>
        <v>352</v>
      </c>
      <c r="D245" s="113" t="s">
        <v>518</v>
      </c>
      <c r="E245" s="113" t="str">
        <f t="shared" si="23"/>
        <v/>
      </c>
      <c r="F245" s="118">
        <v>2049.3499000000002</v>
      </c>
      <c r="G245" s="118">
        <v>1926.0473999999999</v>
      </c>
      <c r="H245" s="118">
        <v>1949.5985700000001</v>
      </c>
      <c r="I245" s="118">
        <v>1973.3344099999999</v>
      </c>
      <c r="J245" s="118">
        <v>1997.07025</v>
      </c>
      <c r="K245" s="118">
        <v>2021.00389</v>
      </c>
      <c r="L245" s="118">
        <v>2045.0375799999999</v>
      </c>
      <c r="M245" s="118">
        <v>2069.0080200000002</v>
      </c>
      <c r="N245" s="118">
        <v>556.15906476800001</v>
      </c>
      <c r="O245" s="118">
        <v>527.12038540419996</v>
      </c>
      <c r="P245" s="118">
        <v>537.83150866760002</v>
      </c>
      <c r="Q245" s="118">
        <v>563.19600715089996</v>
      </c>
      <c r="R245" s="118">
        <v>588.55948297060002</v>
      </c>
      <c r="S245" s="118">
        <v>613.92295879029996</v>
      </c>
    </row>
    <row r="246" spans="1:19">
      <c r="A246" s="118" t="str">
        <f t="shared" si="26"/>
        <v>LGE</v>
      </c>
      <c r="B246" s="118" t="s">
        <v>545</v>
      </c>
      <c r="C246" s="118" t="str">
        <f t="shared" si="27"/>
        <v>353</v>
      </c>
      <c r="D246" s="113" t="s">
        <v>519</v>
      </c>
      <c r="E246" s="113" t="str">
        <f t="shared" si="23"/>
        <v/>
      </c>
      <c r="F246" s="118">
        <v>729.42165</v>
      </c>
      <c r="G246" s="118">
        <v>735.14050999999995</v>
      </c>
      <c r="H246" s="118">
        <v>742.28076999999996</v>
      </c>
      <c r="I246" s="118">
        <v>749.68804999999998</v>
      </c>
      <c r="J246" s="118">
        <v>757.26379999999995</v>
      </c>
      <c r="K246" s="118">
        <v>764.83955000000003</v>
      </c>
      <c r="L246" s="118">
        <v>772.51008999999999</v>
      </c>
      <c r="M246" s="118">
        <v>780.18871000000001</v>
      </c>
      <c r="N246" s="118">
        <v>776.30696028672003</v>
      </c>
      <c r="O246" s="118">
        <v>783.89276380005003</v>
      </c>
      <c r="P246" s="118">
        <v>791.47856731338004</v>
      </c>
      <c r="Q246" s="118">
        <v>799.06437082671005</v>
      </c>
      <c r="R246" s="118">
        <v>806.65017434004005</v>
      </c>
      <c r="S246" s="118">
        <v>814.23597785336995</v>
      </c>
    </row>
    <row r="247" spans="1:19">
      <c r="A247" s="118" t="str">
        <f t="shared" si="26"/>
        <v>LGE</v>
      </c>
      <c r="B247" s="118" t="s">
        <v>545</v>
      </c>
      <c r="C247" s="118" t="str">
        <f t="shared" si="27"/>
        <v>353</v>
      </c>
      <c r="D247" s="113" t="s">
        <v>520</v>
      </c>
      <c r="E247" s="113" t="str">
        <f t="shared" si="23"/>
        <v/>
      </c>
      <c r="F247" s="118">
        <v>7618.16176</v>
      </c>
      <c r="G247" s="118">
        <v>7644.4025300000003</v>
      </c>
      <c r="H247" s="118">
        <v>7670.9984599999998</v>
      </c>
      <c r="I247" s="118">
        <v>7697.9623000000001</v>
      </c>
      <c r="J247" s="118">
        <v>7724.9835400000002</v>
      </c>
      <c r="K247" s="118">
        <v>7752.1429699999999</v>
      </c>
      <c r="L247" s="118">
        <v>7775.8360700000003</v>
      </c>
      <c r="M247" s="118">
        <v>7803.2315600000002</v>
      </c>
      <c r="N247" s="118">
        <v>7822.3704578318002</v>
      </c>
      <c r="O247" s="118">
        <v>7849.7906656635996</v>
      </c>
      <c r="P247" s="118">
        <v>7877.2108734953999</v>
      </c>
      <c r="Q247" s="118">
        <v>7904.6310813272003</v>
      </c>
      <c r="R247" s="118">
        <v>7932.0512891589997</v>
      </c>
      <c r="S247" s="118">
        <v>7959.4714969908</v>
      </c>
    </row>
    <row r="248" spans="1:19">
      <c r="A248" s="118" t="str">
        <f t="shared" si="26"/>
        <v>LGE</v>
      </c>
      <c r="B248" s="118" t="s">
        <v>545</v>
      </c>
      <c r="C248" s="118" t="str">
        <f t="shared" si="27"/>
        <v>354</v>
      </c>
      <c r="D248" s="113" t="s">
        <v>521</v>
      </c>
      <c r="E248" s="113" t="str">
        <f t="shared" si="23"/>
        <v/>
      </c>
      <c r="F248" s="118">
        <v>6760.4284600000001</v>
      </c>
      <c r="G248" s="118">
        <v>6805.9851099999996</v>
      </c>
      <c r="H248" s="118">
        <v>6900.6893</v>
      </c>
      <c r="I248" s="118">
        <v>6996.0321100000001</v>
      </c>
      <c r="J248" s="118">
        <v>7092.0464299999903</v>
      </c>
      <c r="K248" s="118">
        <v>6764.61913</v>
      </c>
      <c r="L248" s="118">
        <v>6825.3804799999998</v>
      </c>
      <c r="M248" s="118">
        <v>6923.2333799999997</v>
      </c>
      <c r="N248" s="118">
        <v>6990.3275318630003</v>
      </c>
      <c r="O248" s="118">
        <v>7088.7294838389998</v>
      </c>
      <c r="P248" s="118">
        <v>6826.0770159510002</v>
      </c>
      <c r="Q248" s="118">
        <v>6937.4968326460003</v>
      </c>
      <c r="R248" s="118">
        <v>7048.9388902210003</v>
      </c>
      <c r="S248" s="118">
        <v>7160.4047762560003</v>
      </c>
    </row>
    <row r="249" spans="1:19">
      <c r="A249" s="118" t="str">
        <f t="shared" si="26"/>
        <v>LGE</v>
      </c>
      <c r="B249" s="118" t="s">
        <v>545</v>
      </c>
      <c r="C249" s="118" t="str">
        <f t="shared" si="27"/>
        <v>355</v>
      </c>
      <c r="D249" s="113" t="s">
        <v>522</v>
      </c>
      <c r="E249" s="113" t="str">
        <f t="shared" si="23"/>
        <v/>
      </c>
      <c r="F249" s="118">
        <v>237.31065000000001</v>
      </c>
      <c r="G249" s="118">
        <v>237.25145000000001</v>
      </c>
      <c r="H249" s="118">
        <v>239.48247000000001</v>
      </c>
      <c r="I249" s="118">
        <v>241.7022</v>
      </c>
      <c r="J249" s="118">
        <v>243.90996999999999</v>
      </c>
      <c r="K249" s="118">
        <v>246.27612999999999</v>
      </c>
      <c r="L249" s="118">
        <v>248.80128999999999</v>
      </c>
      <c r="M249" s="118">
        <v>251.33125999999999</v>
      </c>
      <c r="N249" s="118">
        <v>251.16926789855</v>
      </c>
      <c r="O249" s="118">
        <v>253.69414177925</v>
      </c>
      <c r="P249" s="118">
        <v>256.31954493550001</v>
      </c>
      <c r="Q249" s="118">
        <v>259.13280861880003</v>
      </c>
      <c r="R249" s="118">
        <v>262.0334035546</v>
      </c>
      <c r="S249" s="118">
        <v>264.93399849039997</v>
      </c>
    </row>
    <row r="250" spans="1:19">
      <c r="A250" s="118" t="str">
        <f t="shared" si="26"/>
        <v>LGE</v>
      </c>
      <c r="B250" s="118" t="s">
        <v>545</v>
      </c>
      <c r="C250" s="118" t="str">
        <f t="shared" si="27"/>
        <v>356</v>
      </c>
      <c r="D250" s="113" t="s">
        <v>523</v>
      </c>
      <c r="E250" s="113" t="str">
        <f t="shared" si="23"/>
        <v/>
      </c>
      <c r="F250" s="118">
        <v>5630.8247099999999</v>
      </c>
      <c r="G250" s="118">
        <v>5663.3907900000004</v>
      </c>
      <c r="H250" s="118">
        <v>5696.1416499999996</v>
      </c>
      <c r="I250" s="118">
        <v>5729.07845</v>
      </c>
      <c r="J250" s="118">
        <v>5762.1541100000004</v>
      </c>
      <c r="K250" s="118">
        <v>5468.7667000000001</v>
      </c>
      <c r="L250" s="118">
        <v>5504.4095900000002</v>
      </c>
      <c r="M250" s="118">
        <v>5540.1520099999998</v>
      </c>
      <c r="N250" s="118">
        <v>5573.8667326402001</v>
      </c>
      <c r="O250" s="118">
        <v>5611.0181170628002</v>
      </c>
      <c r="P250" s="118">
        <v>5648.7571237836901</v>
      </c>
      <c r="Q250" s="118">
        <v>5686.5169205788998</v>
      </c>
      <c r="R250" s="118">
        <v>5724.2801484270904</v>
      </c>
      <c r="S250" s="118">
        <v>5762.05023840389</v>
      </c>
    </row>
    <row r="251" spans="1:19">
      <c r="A251" s="118" t="str">
        <f t="shared" si="26"/>
        <v>LGE</v>
      </c>
      <c r="B251" s="118" t="s">
        <v>545</v>
      </c>
      <c r="C251" s="118" t="str">
        <f t="shared" si="27"/>
        <v>357</v>
      </c>
      <c r="D251" s="113" t="s">
        <v>524</v>
      </c>
      <c r="E251" s="113" t="str">
        <f t="shared" si="23"/>
        <v/>
      </c>
      <c r="F251" s="118">
        <v>59.539819999999999</v>
      </c>
      <c r="G251" s="118">
        <v>62.671399999999998</v>
      </c>
      <c r="H251" s="118">
        <v>65.802979999999906</v>
      </c>
      <c r="I251" s="118">
        <v>68.934560000000005</v>
      </c>
      <c r="J251" s="118">
        <v>72.066140000000004</v>
      </c>
      <c r="K251" s="118">
        <v>75.197720000000004</v>
      </c>
      <c r="L251" s="118">
        <v>78.354259999999996</v>
      </c>
      <c r="M251" s="118">
        <v>81.660179999999997</v>
      </c>
      <c r="N251" s="118">
        <v>85.090518824629996</v>
      </c>
      <c r="O251" s="118">
        <v>88.558357640210005</v>
      </c>
      <c r="P251" s="118">
        <v>92.063696446639995</v>
      </c>
      <c r="Q251" s="118">
        <v>91.319266115209999</v>
      </c>
      <c r="R251" s="118">
        <v>94.997226647009995</v>
      </c>
      <c r="S251" s="118">
        <v>98.675187178810006</v>
      </c>
    </row>
    <row r="252" spans="1:19">
      <c r="A252" s="118" t="str">
        <f t="shared" si="26"/>
        <v>LGE</v>
      </c>
      <c r="B252" s="118" t="s">
        <v>545</v>
      </c>
      <c r="C252" s="118" t="str">
        <f t="shared" si="27"/>
        <v>357</v>
      </c>
      <c r="D252" s="113" t="s">
        <v>525</v>
      </c>
      <c r="E252" s="113" t="str">
        <f t="shared" si="23"/>
        <v/>
      </c>
      <c r="F252" s="118">
        <v>376.45191</v>
      </c>
      <c r="G252" s="118">
        <v>379.23430000000002</v>
      </c>
      <c r="H252" s="118">
        <v>382.10212000000001</v>
      </c>
      <c r="I252" s="118">
        <v>385.13995</v>
      </c>
      <c r="J252" s="118">
        <v>388.36586999999997</v>
      </c>
      <c r="K252" s="118">
        <v>391.79737999999998</v>
      </c>
      <c r="L252" s="118">
        <v>395.27557999999999</v>
      </c>
      <c r="M252" s="118">
        <v>398.69837000000001</v>
      </c>
      <c r="N252" s="118">
        <v>239.03245110680001</v>
      </c>
      <c r="O252" s="118">
        <v>243.81086054702001</v>
      </c>
      <c r="P252" s="118">
        <v>248.78269491287</v>
      </c>
      <c r="Q252" s="118">
        <v>253.78505696015</v>
      </c>
      <c r="R252" s="118">
        <v>258.78749130707001</v>
      </c>
      <c r="S252" s="118">
        <v>263.53469082898999</v>
      </c>
    </row>
    <row r="253" spans="1:19">
      <c r="A253" s="118" t="str">
        <f t="shared" si="26"/>
        <v>LGE</v>
      </c>
      <c r="B253" s="118" t="s">
        <v>545</v>
      </c>
      <c r="C253" s="118" t="str">
        <f t="shared" si="27"/>
        <v>358</v>
      </c>
      <c r="D253" s="113" t="s">
        <v>526</v>
      </c>
      <c r="E253" s="113" t="str">
        <f t="shared" si="23"/>
        <v>ARO</v>
      </c>
      <c r="F253" s="118">
        <v>841.11825999999996</v>
      </c>
      <c r="G253" s="118">
        <v>845.77695000000006</v>
      </c>
      <c r="H253" s="118">
        <v>859.05700999999999</v>
      </c>
      <c r="I253" s="118">
        <v>872.33704</v>
      </c>
      <c r="J253" s="118">
        <v>885.61710000000005</v>
      </c>
      <c r="K253" s="118">
        <v>896.53891999999996</v>
      </c>
      <c r="L253" s="118">
        <v>909.74682999999902</v>
      </c>
      <c r="M253" s="118">
        <v>922.95471999999995</v>
      </c>
      <c r="N253" s="118">
        <v>936.16262999999901</v>
      </c>
      <c r="O253" s="118">
        <v>949.37053999999898</v>
      </c>
      <c r="P253" s="118">
        <v>962.57844999999895</v>
      </c>
      <c r="Q253" s="118">
        <v>975.78635999999904</v>
      </c>
      <c r="R253" s="118">
        <v>985.14145987599898</v>
      </c>
      <c r="S253" s="118">
        <v>994.49655975199903</v>
      </c>
    </row>
    <row r="254" spans="1:19">
      <c r="A254" s="118" t="str">
        <f t="shared" si="26"/>
        <v>LGE</v>
      </c>
      <c r="B254" s="118" t="s">
        <v>545</v>
      </c>
      <c r="C254" s="118" t="str">
        <f t="shared" si="27"/>
        <v>365</v>
      </c>
      <c r="D254" s="113" t="s">
        <v>527</v>
      </c>
      <c r="E254" s="113" t="str">
        <f t="shared" si="23"/>
        <v/>
      </c>
      <c r="F254" s="118">
        <v>210.52180999999999</v>
      </c>
      <c r="G254" s="118">
        <v>210.55123</v>
      </c>
      <c r="H254" s="118">
        <v>210.58064999999999</v>
      </c>
      <c r="I254" s="118">
        <v>210.61007000000001</v>
      </c>
      <c r="J254" s="118">
        <v>210.63949</v>
      </c>
      <c r="K254" s="118">
        <v>210.66891000000001</v>
      </c>
      <c r="L254" s="118">
        <v>210.69833</v>
      </c>
      <c r="M254" s="118">
        <v>210.72774999999999</v>
      </c>
      <c r="N254" s="118">
        <v>210.75717120666999</v>
      </c>
      <c r="O254" s="118">
        <v>210.78659241334</v>
      </c>
      <c r="P254" s="118">
        <v>210.81601362001001</v>
      </c>
      <c r="Q254" s="118">
        <v>210.84543482667999</v>
      </c>
      <c r="R254" s="118">
        <v>210.87485603335</v>
      </c>
      <c r="S254" s="118">
        <v>210.90427724002001</v>
      </c>
    </row>
    <row r="255" spans="1:19">
      <c r="A255" s="118" t="str">
        <f t="shared" si="26"/>
        <v>LGE</v>
      </c>
      <c r="B255" s="118" t="s">
        <v>545</v>
      </c>
      <c r="C255" s="118" t="str">
        <f t="shared" si="27"/>
        <v>367</v>
      </c>
      <c r="D255" s="113" t="s">
        <v>528</v>
      </c>
      <c r="E255" s="113" t="str">
        <f t="shared" si="23"/>
        <v/>
      </c>
      <c r="F255" s="118">
        <v>11096.472739999999</v>
      </c>
      <c r="G255" s="118">
        <v>11128.006230000001</v>
      </c>
      <c r="H255" s="118">
        <v>11161.61951</v>
      </c>
      <c r="I255" s="118">
        <v>11195.314850000001</v>
      </c>
      <c r="J255" s="118">
        <v>11229.06689</v>
      </c>
      <c r="K255" s="118">
        <v>11139.321169999999</v>
      </c>
      <c r="L255" s="118">
        <v>11173.477919999999</v>
      </c>
      <c r="M255" s="118">
        <v>11183.19196</v>
      </c>
      <c r="N255" s="118">
        <v>11136.848364788</v>
      </c>
      <c r="O255" s="118">
        <v>11141.3371731732</v>
      </c>
      <c r="P255" s="118">
        <v>11176.177697916701</v>
      </c>
      <c r="Q255" s="118">
        <v>11052.593004797</v>
      </c>
      <c r="R255" s="118">
        <v>11087.4174938252</v>
      </c>
      <c r="S255" s="118">
        <v>11122.2419828534</v>
      </c>
    </row>
    <row r="256" spans="1:19">
      <c r="A256" s="118" t="str">
        <f t="shared" si="26"/>
        <v>LGE</v>
      </c>
      <c r="B256" s="118" t="s">
        <v>545</v>
      </c>
      <c r="C256" s="118" t="str">
        <f t="shared" si="27"/>
        <v>372</v>
      </c>
      <c r="D256" s="113" t="s">
        <v>729</v>
      </c>
      <c r="E256" s="113" t="str">
        <f t="shared" si="23"/>
        <v>ARO</v>
      </c>
      <c r="F256" s="118">
        <v>307.63502</v>
      </c>
      <c r="G256" s="118">
        <v>310.76871999999997</v>
      </c>
      <c r="H256" s="118">
        <v>313.90242000000001</v>
      </c>
      <c r="I256" s="118">
        <v>317.03613000000001</v>
      </c>
      <c r="J256" s="118">
        <v>320.16982999999999</v>
      </c>
      <c r="K256" s="118">
        <v>323.30351999999999</v>
      </c>
      <c r="L256" s="118">
        <v>326.43720999999999</v>
      </c>
      <c r="M256" s="118">
        <v>329.570909999999</v>
      </c>
      <c r="N256" s="118">
        <v>332.704599999999</v>
      </c>
      <c r="O256" s="118">
        <v>335.83828999999997</v>
      </c>
      <c r="P256" s="118">
        <v>338.97197999999997</v>
      </c>
      <c r="Q256" s="118">
        <v>342.10566999999998</v>
      </c>
      <c r="R256" s="118">
        <v>344.325247732999</v>
      </c>
      <c r="S256" s="118">
        <v>346.544825465999</v>
      </c>
    </row>
    <row r="257" spans="1:19">
      <c r="A257" s="118" t="str">
        <f t="shared" si="26"/>
        <v>LGE</v>
      </c>
      <c r="B257" s="118" t="s">
        <v>545</v>
      </c>
      <c r="C257" s="118" t="str">
        <f t="shared" si="27"/>
        <v>374</v>
      </c>
      <c r="D257" s="113" t="s">
        <v>529</v>
      </c>
      <c r="E257" s="113" t="str">
        <f t="shared" si="23"/>
        <v/>
      </c>
      <c r="F257" s="118">
        <v>77.439689999999999</v>
      </c>
      <c r="G257" s="118">
        <v>77.439689999999999</v>
      </c>
      <c r="H257" s="118">
        <v>77.439689999999999</v>
      </c>
      <c r="I257" s="118">
        <v>77.439689999999999</v>
      </c>
      <c r="J257" s="118">
        <v>77.439689999999999</v>
      </c>
      <c r="K257" s="118">
        <v>77.439689999999999</v>
      </c>
      <c r="L257" s="118">
        <v>77.439689999999999</v>
      </c>
      <c r="M257" s="118">
        <v>77.439689999999999</v>
      </c>
      <c r="N257" s="118">
        <v>77.439689999999999</v>
      </c>
      <c r="O257" s="118">
        <v>77.439689999999999</v>
      </c>
      <c r="P257" s="118">
        <v>77.439689999999999</v>
      </c>
      <c r="Q257" s="118">
        <v>77.439689999999999</v>
      </c>
      <c r="R257" s="118">
        <v>77.439689999999999</v>
      </c>
      <c r="S257" s="118">
        <v>77.439689999999999</v>
      </c>
    </row>
    <row r="258" spans="1:19">
      <c r="A258" s="118" t="str">
        <f t="shared" si="26"/>
        <v>LGE</v>
      </c>
      <c r="B258" s="118" t="s">
        <v>545</v>
      </c>
      <c r="C258" s="118" t="str">
        <f t="shared" si="27"/>
        <v>375</v>
      </c>
      <c r="D258" s="113" t="s">
        <v>530</v>
      </c>
      <c r="E258" s="113" t="str">
        <f t="shared" si="23"/>
        <v/>
      </c>
      <c r="F258" s="118">
        <v>323.72541000000001</v>
      </c>
      <c r="G258" s="118">
        <v>327.16215999999997</v>
      </c>
      <c r="H258" s="118">
        <v>330.62392999999997</v>
      </c>
      <c r="I258" s="118">
        <v>334.11072000000001</v>
      </c>
      <c r="J258" s="118">
        <v>337.59751</v>
      </c>
      <c r="K258" s="118">
        <v>339.70582999999999</v>
      </c>
      <c r="L258" s="118">
        <v>343.19189999999998</v>
      </c>
      <c r="M258" s="118">
        <v>346.67797000000002</v>
      </c>
      <c r="N258" s="118">
        <v>350.16404025796999</v>
      </c>
      <c r="O258" s="118">
        <v>353.65011051594001</v>
      </c>
      <c r="P258" s="118">
        <v>357.13618077390998</v>
      </c>
      <c r="Q258" s="118">
        <v>360.62225103188001</v>
      </c>
      <c r="R258" s="118">
        <v>364.10832128984998</v>
      </c>
      <c r="S258" s="118">
        <v>367.59439154782001</v>
      </c>
    </row>
    <row r="259" spans="1:19">
      <c r="A259" s="118" t="str">
        <f t="shared" si="26"/>
        <v>LGE</v>
      </c>
      <c r="B259" s="118" t="s">
        <v>545</v>
      </c>
      <c r="C259" s="118" t="str">
        <f t="shared" si="27"/>
        <v>376</v>
      </c>
      <c r="D259" s="113" t="s">
        <v>531</v>
      </c>
      <c r="E259" s="113" t="str">
        <f t="shared" si="23"/>
        <v/>
      </c>
      <c r="F259" s="118">
        <v>121999.62407999999</v>
      </c>
      <c r="G259" s="118">
        <v>122365.62128000001</v>
      </c>
      <c r="H259" s="118">
        <v>122900.00035</v>
      </c>
      <c r="I259" s="118">
        <v>123434.905319999</v>
      </c>
      <c r="J259" s="118">
        <v>123972.62833000001</v>
      </c>
      <c r="K259" s="118">
        <v>124513.0785</v>
      </c>
      <c r="L259" s="118">
        <v>124963.4623</v>
      </c>
      <c r="M259" s="118">
        <v>125474.442</v>
      </c>
      <c r="N259" s="118">
        <v>125452.24324907899</v>
      </c>
      <c r="O259" s="118">
        <v>125266.797426152</v>
      </c>
      <c r="P259" s="118">
        <v>125081.104780151</v>
      </c>
      <c r="Q259" s="118">
        <v>124895.972215412</v>
      </c>
      <c r="R259" s="118">
        <v>125439.507253092</v>
      </c>
      <c r="S259" s="118">
        <v>125983.256220132</v>
      </c>
    </row>
    <row r="260" spans="1:19">
      <c r="A260" s="118" t="str">
        <f t="shared" si="26"/>
        <v>LGE</v>
      </c>
      <c r="B260" s="118" t="s">
        <v>545</v>
      </c>
      <c r="C260" s="118" t="str">
        <f t="shared" si="27"/>
        <v>376</v>
      </c>
      <c r="D260" s="113" t="s">
        <v>532</v>
      </c>
      <c r="E260" s="113" t="str">
        <f t="shared" si="23"/>
        <v>GLT</v>
      </c>
      <c r="F260" s="118">
        <v>1773.92956</v>
      </c>
      <c r="G260" s="118">
        <v>1844.08007</v>
      </c>
      <c r="H260" s="118">
        <v>1917.5325600000001</v>
      </c>
      <c r="I260" s="118">
        <v>1994.4038</v>
      </c>
      <c r="J260" s="118">
        <v>2074.6424699999998</v>
      </c>
      <c r="K260" s="118">
        <v>2157.7044799999999</v>
      </c>
      <c r="L260" s="118">
        <v>2243.6714400000001</v>
      </c>
      <c r="M260" s="118">
        <v>2332.9571900000001</v>
      </c>
      <c r="N260" s="118">
        <v>1656.8156948400001</v>
      </c>
      <c r="O260" s="118">
        <v>1685.1416115960001</v>
      </c>
      <c r="P260" s="118">
        <v>1711.656055019</v>
      </c>
      <c r="Q260" s="118">
        <v>1738.5723926149999</v>
      </c>
      <c r="R260" s="118">
        <v>1775.779207933</v>
      </c>
      <c r="S260" s="118">
        <v>1810.1546489770001</v>
      </c>
    </row>
    <row r="261" spans="1:19">
      <c r="A261" s="118" t="str">
        <f t="shared" si="26"/>
        <v>LGE</v>
      </c>
      <c r="B261" s="118" t="s">
        <v>545</v>
      </c>
      <c r="C261" s="118" t="str">
        <f t="shared" si="27"/>
        <v>378</v>
      </c>
      <c r="D261" s="113" t="s">
        <v>533</v>
      </c>
      <c r="E261" s="113" t="str">
        <f t="shared" ref="E261:E324" si="28">IF(ISTEXT(MID($D261,SEARCH("FUTURE USE",$D261),3)),"FUTURE USE",IF(ISTEXT(MID($D261,SEARCH("ECR",$D261),3)),"ECR",IF(ISTEXT(MID($D261,SEARCH("ARO",$D261),3)),"ARO",IF(ISTEXT(MID($D261,SEARCH("DSM",$D261),3)),"DSM",IF(ISTEXT(MID($D261,SEARCH("GLT",$D261),3)),"GLT","")))))</f>
        <v/>
      </c>
      <c r="F261" s="118">
        <v>2095.28494</v>
      </c>
      <c r="G261" s="118">
        <v>2055.6838499999999</v>
      </c>
      <c r="H261" s="118">
        <v>2093.52162</v>
      </c>
      <c r="I261" s="118">
        <v>2131.5496199999998</v>
      </c>
      <c r="J261" s="118">
        <v>2170.6653299999998</v>
      </c>
      <c r="K261" s="118">
        <v>2207.9118699999999</v>
      </c>
      <c r="L261" s="118">
        <v>2249.1493799999998</v>
      </c>
      <c r="M261" s="118">
        <v>2262.8798400000001</v>
      </c>
      <c r="N261" s="118">
        <v>2208.2846604333999</v>
      </c>
      <c r="O261" s="118">
        <v>2247.7039676315999</v>
      </c>
      <c r="P261" s="118">
        <v>2292.4742155802001</v>
      </c>
      <c r="Q261" s="118">
        <v>2334.3663409086998</v>
      </c>
      <c r="R261" s="118">
        <v>2383.3186091391999</v>
      </c>
      <c r="S261" s="118">
        <v>2432.2831323697001</v>
      </c>
    </row>
    <row r="262" spans="1:19">
      <c r="A262" s="118" t="str">
        <f t="shared" si="26"/>
        <v>LGE</v>
      </c>
      <c r="B262" s="118" t="s">
        <v>545</v>
      </c>
      <c r="C262" s="118" t="str">
        <f t="shared" si="27"/>
        <v>379</v>
      </c>
      <c r="D262" s="113" t="s">
        <v>534</v>
      </c>
      <c r="E262" s="113" t="str">
        <f t="shared" si="28"/>
        <v/>
      </c>
      <c r="F262" s="118">
        <v>1228.0417</v>
      </c>
      <c r="G262" s="118">
        <v>1240.8227199999999</v>
      </c>
      <c r="H262" s="118">
        <v>1253.68157</v>
      </c>
      <c r="I262" s="118">
        <v>1266.62399</v>
      </c>
      <c r="J262" s="118">
        <v>1279.6589899999999</v>
      </c>
      <c r="K262" s="118">
        <v>1237.1503299999999</v>
      </c>
      <c r="L262" s="118">
        <v>1250.4274599999901</v>
      </c>
      <c r="M262" s="118">
        <v>1247.3138999999901</v>
      </c>
      <c r="N262" s="118">
        <v>1251.00041613649</v>
      </c>
      <c r="O262" s="118">
        <v>1228.7489482456899</v>
      </c>
      <c r="P262" s="118">
        <v>1249.0459294324901</v>
      </c>
      <c r="Q262" s="118">
        <v>1265.2096960009901</v>
      </c>
      <c r="R262" s="118">
        <v>1286.1350778122901</v>
      </c>
      <c r="S262" s="118">
        <v>1307.10073962359</v>
      </c>
    </row>
    <row r="263" spans="1:19">
      <c r="A263" s="118" t="str">
        <f t="shared" si="26"/>
        <v>LGE</v>
      </c>
      <c r="B263" s="118" t="s">
        <v>545</v>
      </c>
      <c r="C263" s="118" t="str">
        <f t="shared" si="27"/>
        <v>380</v>
      </c>
      <c r="D263" s="113" t="s">
        <v>535</v>
      </c>
      <c r="E263" s="113" t="str">
        <f t="shared" si="28"/>
        <v/>
      </c>
      <c r="F263" s="118">
        <v>87599.287500000006</v>
      </c>
      <c r="G263" s="118">
        <v>88239.812720000002</v>
      </c>
      <c r="H263" s="118">
        <v>88880.743359999993</v>
      </c>
      <c r="I263" s="118">
        <v>89522.209310000006</v>
      </c>
      <c r="J263" s="118">
        <v>90164.779200000004</v>
      </c>
      <c r="K263" s="118">
        <v>90808.282209999903</v>
      </c>
      <c r="L263" s="118">
        <v>91452.351469999994</v>
      </c>
      <c r="M263" s="118">
        <v>92096.298389999996</v>
      </c>
      <c r="N263" s="118">
        <v>92739.981629199901</v>
      </c>
      <c r="O263" s="118">
        <v>93384.117066199993</v>
      </c>
      <c r="P263" s="118">
        <v>90647.7824387</v>
      </c>
      <c r="Q263" s="118">
        <v>91282.098701399998</v>
      </c>
      <c r="R263" s="118">
        <v>91916.863096599904</v>
      </c>
      <c r="S263" s="118">
        <v>92552.076913499899</v>
      </c>
    </row>
    <row r="264" spans="1:19">
      <c r="A264" s="118" t="str">
        <f t="shared" si="26"/>
        <v>LGE</v>
      </c>
      <c r="B264" s="118" t="s">
        <v>545</v>
      </c>
      <c r="C264" s="118" t="str">
        <f t="shared" si="27"/>
        <v>380</v>
      </c>
      <c r="D264" s="113" t="s">
        <v>536</v>
      </c>
      <c r="E264" s="113" t="str">
        <f t="shared" si="28"/>
        <v>GLT</v>
      </c>
      <c r="F264" s="118">
        <v>6676.7451499999997</v>
      </c>
      <c r="G264" s="118">
        <v>7078.8723600000003</v>
      </c>
      <c r="H264" s="118">
        <v>7487.9700599999996</v>
      </c>
      <c r="I264" s="118">
        <v>7904.7778899999903</v>
      </c>
      <c r="J264" s="118">
        <v>8330.2698700000001</v>
      </c>
      <c r="K264" s="118">
        <v>8765.7973999999995</v>
      </c>
      <c r="L264" s="118">
        <v>9210.93397</v>
      </c>
      <c r="M264" s="118">
        <v>9665.5072899999996</v>
      </c>
      <c r="N264" s="118">
        <v>8578.3679140000004</v>
      </c>
      <c r="O264" s="118">
        <v>9024.4274659000002</v>
      </c>
      <c r="P264" s="118">
        <v>9478.3870869999992</v>
      </c>
      <c r="Q264" s="118">
        <v>9941.1958859000006</v>
      </c>
      <c r="R264" s="118">
        <v>10408.1262926</v>
      </c>
      <c r="S264" s="118">
        <v>10881.214883000001</v>
      </c>
    </row>
    <row r="265" spans="1:19">
      <c r="A265" s="118" t="str">
        <f t="shared" si="26"/>
        <v>LGE</v>
      </c>
      <c r="B265" s="118" t="s">
        <v>545</v>
      </c>
      <c r="C265" s="118" t="str">
        <f t="shared" si="27"/>
        <v>381</v>
      </c>
      <c r="D265" s="113" t="s">
        <v>537</v>
      </c>
      <c r="E265" s="113" t="str">
        <f t="shared" si="28"/>
        <v/>
      </c>
      <c r="F265" s="118">
        <v>12352.38911</v>
      </c>
      <c r="G265" s="118">
        <v>12511.68946</v>
      </c>
      <c r="H265" s="118">
        <v>12671.186229999999</v>
      </c>
      <c r="I265" s="118">
        <v>12830.683000000001</v>
      </c>
      <c r="J265" s="118">
        <v>12990.223029999999</v>
      </c>
      <c r="K265" s="118">
        <v>13149.85109</v>
      </c>
      <c r="L265" s="118">
        <v>13309.628699999999</v>
      </c>
      <c r="M265" s="118">
        <v>13469.516529999901</v>
      </c>
      <c r="N265" s="118">
        <v>13430.8519824</v>
      </c>
      <c r="O265" s="118">
        <v>13599.9437523</v>
      </c>
      <c r="P265" s="118">
        <v>13769.617383700001</v>
      </c>
      <c r="Q265" s="118">
        <v>13939.710919200001</v>
      </c>
      <c r="R265" s="118">
        <v>14102.0428708</v>
      </c>
      <c r="S265" s="118">
        <v>14261.965950100001</v>
      </c>
    </row>
    <row r="266" spans="1:19">
      <c r="A266" s="118" t="str">
        <f t="shared" si="26"/>
        <v>LGE</v>
      </c>
      <c r="B266" s="118" t="s">
        <v>545</v>
      </c>
      <c r="C266" s="118" t="str">
        <f t="shared" si="27"/>
        <v>383</v>
      </c>
      <c r="D266" s="113" t="s">
        <v>538</v>
      </c>
      <c r="E266" s="113" t="str">
        <f t="shared" si="28"/>
        <v/>
      </c>
      <c r="F266" s="118">
        <v>3681.1593699999999</v>
      </c>
      <c r="G266" s="118">
        <v>3768.4564999999998</v>
      </c>
      <c r="H266" s="118">
        <v>3855.7536300000002</v>
      </c>
      <c r="I266" s="118">
        <v>3943.0507600000001</v>
      </c>
      <c r="J266" s="118">
        <v>4030.34789</v>
      </c>
      <c r="K266" s="118">
        <v>4117.6450199999999</v>
      </c>
      <c r="L266" s="118">
        <v>4204.9421499999999</v>
      </c>
      <c r="M266" s="118">
        <v>4292.2392799999998</v>
      </c>
      <c r="N266" s="118">
        <v>4379.5364115310003</v>
      </c>
      <c r="O266" s="118">
        <v>4466.833543062</v>
      </c>
      <c r="P266" s="118">
        <v>4554.1306745929996</v>
      </c>
      <c r="Q266" s="118">
        <v>4641.4278061240002</v>
      </c>
      <c r="R266" s="118">
        <v>4728.7249376549998</v>
      </c>
      <c r="S266" s="118">
        <v>4816.0220691860004</v>
      </c>
    </row>
    <row r="267" spans="1:19">
      <c r="A267" s="118" t="str">
        <f t="shared" si="26"/>
        <v>LGE</v>
      </c>
      <c r="B267" s="118" t="s">
        <v>545</v>
      </c>
      <c r="C267" s="118" t="str">
        <f t="shared" si="27"/>
        <v>385</v>
      </c>
      <c r="D267" s="113" t="s">
        <v>539</v>
      </c>
      <c r="E267" s="113" t="str">
        <f t="shared" si="28"/>
        <v/>
      </c>
      <c r="F267" s="118">
        <v>191.56141</v>
      </c>
      <c r="G267" s="118">
        <v>193.84304</v>
      </c>
      <c r="H267" s="118">
        <v>196.12467000000001</v>
      </c>
      <c r="I267" s="118">
        <v>198.40629999999999</v>
      </c>
      <c r="J267" s="118">
        <v>200.68792999999999</v>
      </c>
      <c r="K267" s="118">
        <v>202.96956</v>
      </c>
      <c r="L267" s="118">
        <v>205.25119000000001</v>
      </c>
      <c r="M267" s="118">
        <v>207.53281999999999</v>
      </c>
      <c r="N267" s="118">
        <v>125.71603924804</v>
      </c>
      <c r="O267" s="118">
        <v>126.55076499959</v>
      </c>
      <c r="P267" s="118">
        <v>127.72917454696</v>
      </c>
      <c r="Q267" s="118">
        <v>130.04019523273001</v>
      </c>
      <c r="R267" s="118">
        <v>133.69830202155001</v>
      </c>
      <c r="S267" s="118">
        <v>137.35640881037</v>
      </c>
    </row>
    <row r="268" spans="1:19">
      <c r="A268" s="118" t="str">
        <f t="shared" si="26"/>
        <v>LGE</v>
      </c>
      <c r="B268" s="118" t="s">
        <v>545</v>
      </c>
      <c r="C268" s="118" t="str">
        <f t="shared" si="27"/>
        <v>387</v>
      </c>
      <c r="D268" s="113" t="s">
        <v>540</v>
      </c>
      <c r="E268" s="113" t="str">
        <f t="shared" si="28"/>
        <v/>
      </c>
      <c r="F268" s="118">
        <v>26.149190000000001</v>
      </c>
      <c r="G268" s="118">
        <v>26.267599999999899</v>
      </c>
      <c r="H268" s="118">
        <v>26.386009999999999</v>
      </c>
      <c r="I268" s="118">
        <v>26.50442</v>
      </c>
      <c r="J268" s="118">
        <v>26.62283</v>
      </c>
      <c r="K268" s="118">
        <v>26.741240000000001</v>
      </c>
      <c r="L268" s="118">
        <v>26.859649999999998</v>
      </c>
      <c r="M268" s="118">
        <v>26.978059999999999</v>
      </c>
      <c r="N268" s="118">
        <v>27.1260380332</v>
      </c>
      <c r="O268" s="118">
        <v>27.575601041999999</v>
      </c>
      <c r="P268" s="118">
        <v>28.335358987500001</v>
      </c>
      <c r="Q268" s="118">
        <v>29.133294673000002</v>
      </c>
      <c r="R268" s="118">
        <v>29.931230358499999</v>
      </c>
      <c r="S268" s="118">
        <v>30.729166043999999</v>
      </c>
    </row>
    <row r="269" spans="1:19">
      <c r="A269" s="118" t="str">
        <f t="shared" si="26"/>
        <v>LGE</v>
      </c>
      <c r="B269" s="118" t="s">
        <v>545</v>
      </c>
      <c r="C269" s="118" t="str">
        <f t="shared" si="27"/>
        <v>388</v>
      </c>
      <c r="D269" s="113" t="s">
        <v>541</v>
      </c>
      <c r="E269" s="113" t="str">
        <f t="shared" si="28"/>
        <v>ARO</v>
      </c>
      <c r="F269" s="118">
        <v>1260.1524299999901</v>
      </c>
      <c r="G269" s="118">
        <v>1275.8400099999999</v>
      </c>
      <c r="H269" s="118">
        <v>1292.23964</v>
      </c>
      <c r="I269" s="118">
        <v>1308.63924</v>
      </c>
      <c r="J269" s="118">
        <v>1325.03888999999</v>
      </c>
      <c r="K269" s="118">
        <v>1341.3138899999999</v>
      </c>
      <c r="L269" s="118">
        <v>1357.7119700000001</v>
      </c>
      <c r="M269" s="118">
        <v>1374.11006</v>
      </c>
      <c r="N269" s="118">
        <v>1390.5081399999999</v>
      </c>
      <c r="O269" s="118">
        <v>1406.9062199999901</v>
      </c>
      <c r="P269" s="118">
        <v>1423.30429999999</v>
      </c>
      <c r="Q269" s="118">
        <v>1439.7023799999899</v>
      </c>
      <c r="R269" s="118">
        <v>1451.3170621199899</v>
      </c>
      <c r="S269" s="118">
        <v>1462.9317442399899</v>
      </c>
    </row>
    <row r="270" spans="1:19">
      <c r="A270" s="118" t="str">
        <f t="shared" si="26"/>
        <v>LGE</v>
      </c>
      <c r="B270" s="118" t="s">
        <v>545</v>
      </c>
      <c r="C270" s="118" t="str">
        <f t="shared" si="27"/>
        <v>392</v>
      </c>
      <c r="D270" s="113" t="s">
        <v>1327</v>
      </c>
      <c r="E270" s="113" t="str">
        <f t="shared" si="28"/>
        <v/>
      </c>
      <c r="F270" s="118">
        <v>104.93478</v>
      </c>
      <c r="G270" s="118">
        <v>107.26709</v>
      </c>
      <c r="H270" s="118">
        <v>109.61986</v>
      </c>
      <c r="I270" s="118">
        <v>111.97263</v>
      </c>
      <c r="J270" s="118">
        <v>114.3254</v>
      </c>
      <c r="K270" s="118">
        <v>116.67816999999999</v>
      </c>
      <c r="L270" s="118">
        <v>119.03094</v>
      </c>
      <c r="M270" s="118">
        <v>121.38370999999999</v>
      </c>
      <c r="N270" s="118">
        <v>136.74668647999999</v>
      </c>
      <c r="O270" s="118">
        <v>139.6798739198</v>
      </c>
      <c r="P270" s="118">
        <v>142.80444735980001</v>
      </c>
      <c r="Q270" s="118">
        <v>146.12040680000001</v>
      </c>
      <c r="R270" s="118">
        <v>149.43636624019999</v>
      </c>
      <c r="S270" s="118">
        <v>152.75232568039999</v>
      </c>
    </row>
    <row r="271" spans="1:19">
      <c r="A271" s="118" t="str">
        <f t="shared" si="26"/>
        <v>LGE</v>
      </c>
      <c r="B271" s="118" t="s">
        <v>545</v>
      </c>
      <c r="C271" s="118" t="str">
        <f t="shared" si="27"/>
        <v>392</v>
      </c>
      <c r="D271" s="113" t="s">
        <v>542</v>
      </c>
      <c r="E271" s="113" t="str">
        <f t="shared" si="28"/>
        <v/>
      </c>
      <c r="F271" s="118">
        <v>672.41678999999999</v>
      </c>
      <c r="G271" s="118">
        <v>676.06962999999996</v>
      </c>
      <c r="H271" s="118">
        <v>679.72244999999998</v>
      </c>
      <c r="I271" s="118">
        <v>683.37528999999995</v>
      </c>
      <c r="J271" s="118">
        <v>687.02810999999997</v>
      </c>
      <c r="K271" s="118">
        <v>690.68096000000003</v>
      </c>
      <c r="L271" s="118">
        <v>694.33378000000005</v>
      </c>
      <c r="M271" s="118">
        <v>697.98662999999999</v>
      </c>
      <c r="N271" s="118">
        <v>706.99302999999998</v>
      </c>
      <c r="O271" s="118">
        <v>706.99302999999998</v>
      </c>
      <c r="P271" s="118">
        <v>706.99302999999998</v>
      </c>
      <c r="Q271" s="118">
        <v>706.99302999999998</v>
      </c>
      <c r="R271" s="118">
        <v>706.99302999999998</v>
      </c>
      <c r="S271" s="118">
        <v>706.99302999999998</v>
      </c>
    </row>
    <row r="272" spans="1:19">
      <c r="A272" s="118" t="str">
        <f t="shared" si="26"/>
        <v>LGE</v>
      </c>
      <c r="B272" s="118" t="s">
        <v>545</v>
      </c>
      <c r="C272" s="118" t="str">
        <f t="shared" si="27"/>
        <v>394</v>
      </c>
      <c r="D272" s="113" t="s">
        <v>543</v>
      </c>
      <c r="E272" s="113" t="str">
        <f t="shared" si="28"/>
        <v/>
      </c>
      <c r="F272" s="118">
        <v>2562.8317200000001</v>
      </c>
      <c r="G272" s="118">
        <v>2588.3211099999999</v>
      </c>
      <c r="H272" s="118">
        <v>2614.5343899999998</v>
      </c>
      <c r="I272" s="118">
        <v>2640.9450099999999</v>
      </c>
      <c r="J272" s="118">
        <v>2667.5991399999998</v>
      </c>
      <c r="K272" s="118">
        <v>2448.58725</v>
      </c>
      <c r="L272" s="118">
        <v>2475.15634</v>
      </c>
      <c r="M272" s="118">
        <v>2504.3042300000002</v>
      </c>
      <c r="N272" s="118">
        <v>2530.08153683</v>
      </c>
      <c r="O272" s="118">
        <v>2556.2101632200001</v>
      </c>
      <c r="P272" s="118">
        <v>2582.7352325799998</v>
      </c>
      <c r="Q272" s="118">
        <v>2609.52364485</v>
      </c>
      <c r="R272" s="118">
        <v>2636.3241956500001</v>
      </c>
      <c r="S272" s="118">
        <v>2663.1247464500002</v>
      </c>
    </row>
    <row r="273" spans="1:19">
      <c r="A273" s="118" t="str">
        <f t="shared" si="26"/>
        <v>LGE</v>
      </c>
      <c r="B273" s="118" t="s">
        <v>545</v>
      </c>
      <c r="C273" s="118" t="str">
        <f t="shared" si="27"/>
        <v>396</v>
      </c>
      <c r="D273" s="113" t="s">
        <v>544</v>
      </c>
      <c r="E273" s="113" t="str">
        <f t="shared" si="28"/>
        <v/>
      </c>
      <c r="F273" s="118">
        <v>95.625619999999799</v>
      </c>
      <c r="G273" s="118">
        <v>96.679400000000001</v>
      </c>
      <c r="H273" s="118">
        <v>97.733180000000203</v>
      </c>
      <c r="I273" s="118">
        <v>98.786959999999894</v>
      </c>
      <c r="J273" s="118">
        <v>99.840739999999997</v>
      </c>
      <c r="K273" s="118">
        <v>100.89452</v>
      </c>
      <c r="L273" s="118">
        <v>101.9483</v>
      </c>
      <c r="M273" s="118">
        <v>103.00208000000001</v>
      </c>
      <c r="N273" s="118">
        <v>104.14436186528999</v>
      </c>
      <c r="O273" s="118">
        <v>105.37514375529</v>
      </c>
      <c r="P273" s="118">
        <v>106.60592564529</v>
      </c>
      <c r="Q273" s="118">
        <v>107.83670753529</v>
      </c>
      <c r="R273" s="118">
        <v>109.06748942529001</v>
      </c>
      <c r="S273" s="118">
        <v>110.29827131528999</v>
      </c>
    </row>
    <row r="274" spans="1:19">
      <c r="A274" s="118" t="str">
        <f t="shared" si="26"/>
        <v>LGE</v>
      </c>
      <c r="B274" s="118" t="s">
        <v>545</v>
      </c>
      <c r="C274" s="118" t="str">
        <f t="shared" si="27"/>
        <v>396</v>
      </c>
      <c r="D274" s="113" t="s">
        <v>1328</v>
      </c>
      <c r="E274" s="113" t="str">
        <f t="shared" si="28"/>
        <v/>
      </c>
      <c r="F274" s="118">
        <v>2173.1773600000001</v>
      </c>
      <c r="G274" s="118">
        <v>2160.6796100000001</v>
      </c>
      <c r="H274" s="118">
        <v>2176.33</v>
      </c>
      <c r="I274" s="118">
        <v>2192.99046</v>
      </c>
      <c r="J274" s="118">
        <v>2210.6610099999998</v>
      </c>
      <c r="K274" s="118">
        <v>2229.3434099999999</v>
      </c>
      <c r="L274" s="118">
        <v>2249.3229999999999</v>
      </c>
      <c r="M274" s="118">
        <v>2269.6136200000001</v>
      </c>
      <c r="N274" s="118">
        <v>2311.6712200000002</v>
      </c>
      <c r="O274" s="118">
        <v>2311.6712200000002</v>
      </c>
      <c r="P274" s="118">
        <v>2311.6712200000002</v>
      </c>
      <c r="Q274" s="118">
        <v>2311.6712200000002</v>
      </c>
      <c r="R274" s="118">
        <v>2311.6712200000002</v>
      </c>
      <c r="S274" s="118">
        <v>2311.6712200000002</v>
      </c>
    </row>
    <row r="275" spans="1:19">
      <c r="E275" s="113" t="str">
        <f t="shared" si="28"/>
        <v/>
      </c>
    </row>
    <row r="276" spans="1:19">
      <c r="E276" s="113" t="str">
        <f t="shared" si="28"/>
        <v/>
      </c>
    </row>
    <row r="277" spans="1:19">
      <c r="E277" s="113" t="str">
        <f t="shared" si="28"/>
        <v/>
      </c>
    </row>
    <row r="278" spans="1:19">
      <c r="E278" s="113" t="str">
        <f t="shared" si="28"/>
        <v/>
      </c>
    </row>
    <row r="279" spans="1:19">
      <c r="E279" s="113" t="str">
        <f t="shared" si="28"/>
        <v/>
      </c>
    </row>
    <row r="280" spans="1:19">
      <c r="E280" s="113" t="str">
        <f t="shared" si="28"/>
        <v/>
      </c>
    </row>
    <row r="281" spans="1:19">
      <c r="E281" s="113" t="str">
        <f t="shared" si="28"/>
        <v/>
      </c>
    </row>
    <row r="282" spans="1:19">
      <c r="E282" s="113" t="str">
        <f t="shared" si="28"/>
        <v/>
      </c>
    </row>
    <row r="283" spans="1:19">
      <c r="E283" s="113" t="str">
        <f t="shared" si="28"/>
        <v/>
      </c>
    </row>
    <row r="284" spans="1:19">
      <c r="E284" s="113" t="str">
        <f t="shared" si="28"/>
        <v/>
      </c>
    </row>
    <row r="285" spans="1:19">
      <c r="E285" s="113" t="str">
        <f t="shared" si="28"/>
        <v/>
      </c>
    </row>
    <row r="286" spans="1:19">
      <c r="E286" s="113" t="str">
        <f t="shared" si="28"/>
        <v/>
      </c>
    </row>
    <row r="287" spans="1:19">
      <c r="E287" s="113" t="str">
        <f t="shared" si="28"/>
        <v/>
      </c>
    </row>
    <row r="288" spans="1:19">
      <c r="E288" s="113" t="str">
        <f t="shared" si="28"/>
        <v/>
      </c>
    </row>
    <row r="289" spans="4:5">
      <c r="E289" s="113" t="str">
        <f t="shared" si="28"/>
        <v/>
      </c>
    </row>
    <row r="290" spans="4:5">
      <c r="E290" s="113" t="str">
        <f t="shared" si="28"/>
        <v/>
      </c>
    </row>
    <row r="291" spans="4:5">
      <c r="E291" s="113" t="str">
        <f t="shared" si="28"/>
        <v/>
      </c>
    </row>
    <row r="292" spans="4:5">
      <c r="E292" s="113" t="str">
        <f t="shared" si="28"/>
        <v/>
      </c>
    </row>
    <row r="293" spans="4:5">
      <c r="E293" s="113" t="str">
        <f t="shared" si="28"/>
        <v/>
      </c>
    </row>
    <row r="294" spans="4:5">
      <c r="E294" s="113" t="str">
        <f t="shared" si="28"/>
        <v/>
      </c>
    </row>
    <row r="295" spans="4:5">
      <c r="E295" s="113" t="str">
        <f t="shared" si="28"/>
        <v/>
      </c>
    </row>
    <row r="296" spans="4:5">
      <c r="E296" s="113" t="str">
        <f t="shared" si="28"/>
        <v/>
      </c>
    </row>
    <row r="297" spans="4:5">
      <c r="E297" s="113" t="str">
        <f t="shared" si="28"/>
        <v/>
      </c>
    </row>
    <row r="298" spans="4:5">
      <c r="E298" s="113" t="str">
        <f t="shared" si="28"/>
        <v/>
      </c>
    </row>
    <row r="299" spans="4:5">
      <c r="E299" s="113" t="str">
        <f t="shared" si="28"/>
        <v/>
      </c>
    </row>
    <row r="300" spans="4:5">
      <c r="E300" s="113" t="str">
        <f t="shared" si="28"/>
        <v/>
      </c>
    </row>
    <row r="301" spans="4:5">
      <c r="E301" s="113" t="str">
        <f t="shared" si="28"/>
        <v/>
      </c>
    </row>
    <row r="302" spans="4:5">
      <c r="E302" s="113" t="str">
        <f t="shared" si="28"/>
        <v/>
      </c>
    </row>
    <row r="303" spans="4:5">
      <c r="E303" s="113" t="str">
        <f t="shared" si="28"/>
        <v/>
      </c>
    </row>
    <row r="304" spans="4:5">
      <c r="D304" s="113" t="s">
        <v>450</v>
      </c>
      <c r="E304" s="113" t="str">
        <f t="shared" si="28"/>
        <v/>
      </c>
    </row>
    <row r="305" spans="1:19">
      <c r="A305" s="118" t="str">
        <f t="shared" ref="A305:A320" si="29">MID($D305,4,3)</f>
        <v>LGE</v>
      </c>
      <c r="B305" s="118" t="s">
        <v>452</v>
      </c>
      <c r="C305" s="118" t="str">
        <f t="shared" ref="C305:C320" si="30">MID($D305,9,3)</f>
        <v>121</v>
      </c>
      <c r="D305" s="113" t="s">
        <v>435</v>
      </c>
      <c r="E305" s="113" t="str">
        <f t="shared" si="28"/>
        <v/>
      </c>
      <c r="F305" s="118">
        <v>63.36036</v>
      </c>
      <c r="G305" s="118">
        <v>63.36036</v>
      </c>
      <c r="H305" s="118">
        <v>63.36036</v>
      </c>
      <c r="I305" s="118">
        <v>63.361849999999997</v>
      </c>
      <c r="J305" s="118">
        <v>63.36036</v>
      </c>
      <c r="K305" s="118">
        <v>63.36036</v>
      </c>
      <c r="L305" s="118">
        <v>63.36036</v>
      </c>
      <c r="M305" s="118">
        <v>63.36036</v>
      </c>
      <c r="N305" s="118">
        <v>63.36036</v>
      </c>
      <c r="O305" s="118">
        <v>63.36036</v>
      </c>
      <c r="P305" s="118">
        <v>63.36036</v>
      </c>
      <c r="Q305" s="118">
        <v>63.36036</v>
      </c>
      <c r="R305" s="118">
        <v>63.36036</v>
      </c>
      <c r="S305" s="118">
        <v>63.36036</v>
      </c>
    </row>
    <row r="306" spans="1:19">
      <c r="A306" s="118" t="str">
        <f t="shared" si="29"/>
        <v>LGE</v>
      </c>
      <c r="B306" s="118" t="s">
        <v>452</v>
      </c>
      <c r="C306" s="118" t="str">
        <f t="shared" si="30"/>
        <v>303</v>
      </c>
      <c r="D306" s="113" t="s">
        <v>437</v>
      </c>
      <c r="E306" s="113" t="str">
        <f t="shared" si="28"/>
        <v/>
      </c>
      <c r="F306" s="118">
        <v>18240.40987</v>
      </c>
      <c r="G306" s="118">
        <v>18824.994149999999</v>
      </c>
      <c r="H306" s="118">
        <v>19280.7673599999</v>
      </c>
      <c r="I306" s="118">
        <v>17681.900969999999</v>
      </c>
      <c r="J306" s="118">
        <v>17484.8083999999</v>
      </c>
      <c r="K306" s="118">
        <v>15352.001899999999</v>
      </c>
      <c r="L306" s="118">
        <v>15781.919470000001</v>
      </c>
      <c r="M306" s="118">
        <v>16136.76477</v>
      </c>
      <c r="N306" s="118">
        <v>16695.527202699999</v>
      </c>
      <c r="O306" s="118">
        <v>16612.363757699899</v>
      </c>
      <c r="P306" s="118">
        <v>17139.507118299902</v>
      </c>
      <c r="Q306" s="118">
        <v>17594.924443899901</v>
      </c>
      <c r="R306" s="118">
        <v>18035.167843499901</v>
      </c>
      <c r="S306" s="118">
        <v>18691.5747631999</v>
      </c>
    </row>
    <row r="307" spans="1:19">
      <c r="A307" s="118" t="str">
        <f t="shared" si="29"/>
        <v>LGE</v>
      </c>
      <c r="B307" s="118" t="s">
        <v>452</v>
      </c>
      <c r="C307" s="118" t="str">
        <f t="shared" si="30"/>
        <v>303</v>
      </c>
      <c r="D307" s="113" t="s">
        <v>438</v>
      </c>
      <c r="E307" s="113" t="str">
        <f t="shared" si="28"/>
        <v/>
      </c>
      <c r="F307" s="118">
        <v>29790.591989999899</v>
      </c>
      <c r="G307" s="118">
        <v>30165.48561</v>
      </c>
      <c r="H307" s="118">
        <v>30540.379229999999</v>
      </c>
      <c r="I307" s="118">
        <v>30915.272850000001</v>
      </c>
      <c r="J307" s="118">
        <v>31290.16647</v>
      </c>
      <c r="K307" s="118">
        <v>31665.060089999999</v>
      </c>
      <c r="L307" s="118">
        <v>32039.953710000002</v>
      </c>
      <c r="M307" s="118">
        <v>32414.847330000001</v>
      </c>
      <c r="N307" s="118">
        <v>32789.740954699999</v>
      </c>
      <c r="O307" s="118">
        <v>33164.634579400001</v>
      </c>
      <c r="P307" s="118">
        <v>33539.528204100003</v>
      </c>
      <c r="Q307" s="118">
        <v>33914.849215299997</v>
      </c>
      <c r="R307" s="118">
        <v>34290.597612899997</v>
      </c>
      <c r="S307" s="118">
        <v>34666.346010499998</v>
      </c>
    </row>
    <row r="308" spans="1:19">
      <c r="A308" s="118" t="str">
        <f t="shared" si="29"/>
        <v>LGE</v>
      </c>
      <c r="B308" s="118" t="s">
        <v>452</v>
      </c>
      <c r="C308" s="118" t="str">
        <f t="shared" si="30"/>
        <v>389</v>
      </c>
      <c r="D308" s="113" t="s">
        <v>439</v>
      </c>
      <c r="E308" s="113" t="str">
        <f t="shared" si="28"/>
        <v/>
      </c>
      <c r="F308" s="118">
        <v>140.82857999999999</v>
      </c>
      <c r="G308" s="118">
        <v>140.82857999999999</v>
      </c>
      <c r="H308" s="118">
        <v>140.82857999999999</v>
      </c>
      <c r="I308" s="118">
        <v>140.82857999999999</v>
      </c>
      <c r="J308" s="118">
        <v>140.82857999999999</v>
      </c>
      <c r="K308" s="118">
        <v>140.82857999999999</v>
      </c>
      <c r="L308" s="118">
        <v>140.82857999999999</v>
      </c>
      <c r="M308" s="118">
        <v>140.82857999999999</v>
      </c>
      <c r="N308" s="118">
        <v>140.82857999999999</v>
      </c>
      <c r="O308" s="118">
        <v>140.82857999999999</v>
      </c>
      <c r="P308" s="118">
        <v>140.82857999999999</v>
      </c>
      <c r="Q308" s="118">
        <v>140.82857999999999</v>
      </c>
      <c r="R308" s="118">
        <v>140.82857999999999</v>
      </c>
      <c r="S308" s="118">
        <v>140.82857999999999</v>
      </c>
    </row>
    <row r="309" spans="1:19">
      <c r="A309" s="118" t="str">
        <f t="shared" si="29"/>
        <v>LGE</v>
      </c>
      <c r="B309" s="118" t="s">
        <v>452</v>
      </c>
      <c r="C309" s="118" t="str">
        <f t="shared" si="30"/>
        <v>390</v>
      </c>
      <c r="D309" s="113" t="s">
        <v>440</v>
      </c>
      <c r="E309" s="113" t="str">
        <f t="shared" si="28"/>
        <v/>
      </c>
      <c r="F309" s="118">
        <v>32692.143830000001</v>
      </c>
      <c r="G309" s="118">
        <v>32900.005870000001</v>
      </c>
      <c r="H309" s="118">
        <v>33107.810720000001</v>
      </c>
      <c r="I309" s="118">
        <v>33253.375169999999</v>
      </c>
      <c r="J309" s="118">
        <v>33454.475149999998</v>
      </c>
      <c r="K309" s="118">
        <v>33598.823450000004</v>
      </c>
      <c r="L309" s="118">
        <v>33800.524460000001</v>
      </c>
      <c r="M309" s="118">
        <v>33954.040029999996</v>
      </c>
      <c r="N309" s="118">
        <v>34103.641848995598</v>
      </c>
      <c r="O309" s="118">
        <v>34314.943624594896</v>
      </c>
      <c r="P309" s="118">
        <v>34526.853464919302</v>
      </c>
      <c r="Q309" s="118">
        <v>34738.814501641602</v>
      </c>
      <c r="R309" s="118">
        <v>34953.494983514996</v>
      </c>
      <c r="S309" s="118">
        <v>35168.175465388304</v>
      </c>
    </row>
    <row r="310" spans="1:19">
      <c r="A310" s="118" t="str">
        <f t="shared" si="29"/>
        <v>LGE</v>
      </c>
      <c r="B310" s="118" t="s">
        <v>452</v>
      </c>
      <c r="C310" s="118" t="str">
        <f t="shared" si="30"/>
        <v>391</v>
      </c>
      <c r="D310" s="113" t="s">
        <v>441</v>
      </c>
      <c r="E310" s="113" t="str">
        <f t="shared" si="28"/>
        <v/>
      </c>
      <c r="F310" s="118">
        <v>18571.4552899999</v>
      </c>
      <c r="G310" s="118">
        <v>18729.599180000001</v>
      </c>
      <c r="H310" s="118">
        <v>18371.715830000001</v>
      </c>
      <c r="I310" s="118">
        <v>17829.983349999999</v>
      </c>
      <c r="J310" s="118">
        <v>16447.696489999998</v>
      </c>
      <c r="K310" s="118">
        <v>15584.064399999999</v>
      </c>
      <c r="L310" s="118">
        <v>15869.715039999999</v>
      </c>
      <c r="M310" s="118">
        <v>15931.651320000001</v>
      </c>
      <c r="N310" s="118">
        <v>16051.002768258</v>
      </c>
      <c r="O310" s="118">
        <v>15723.593397596</v>
      </c>
      <c r="P310" s="118">
        <v>15937.777206854</v>
      </c>
      <c r="Q310" s="118">
        <v>16016.711886179901</v>
      </c>
      <c r="R310" s="118">
        <v>15795.354070604</v>
      </c>
      <c r="S310" s="118">
        <v>16142.022232378</v>
      </c>
    </row>
    <row r="311" spans="1:19">
      <c r="A311" s="118" t="str">
        <f t="shared" si="29"/>
        <v>LGE</v>
      </c>
      <c r="B311" s="118" t="s">
        <v>452</v>
      </c>
      <c r="C311" s="118" t="str">
        <f t="shared" si="30"/>
        <v>392</v>
      </c>
      <c r="D311" s="113" t="s">
        <v>1329</v>
      </c>
      <c r="E311" s="113" t="str">
        <f t="shared" si="28"/>
        <v/>
      </c>
      <c r="F311" s="118">
        <v>11.02359</v>
      </c>
      <c r="G311" s="118">
        <v>11.285349999999999</v>
      </c>
      <c r="H311" s="118">
        <v>11.54711</v>
      </c>
      <c r="I311" s="118">
        <v>11.808870000000001</v>
      </c>
      <c r="J311" s="118">
        <v>12.07063</v>
      </c>
      <c r="K311" s="118">
        <v>4.6084699999999996</v>
      </c>
      <c r="L311" s="118">
        <v>4.8295399999999997</v>
      </c>
      <c r="M311" s="118">
        <v>5.0506099999999998</v>
      </c>
      <c r="N311" s="118">
        <v>5.2716788788500004</v>
      </c>
      <c r="O311" s="118">
        <v>5.4927477577000001</v>
      </c>
      <c r="P311" s="118">
        <v>5.7138166365499998</v>
      </c>
      <c r="Q311" s="118">
        <v>5.9348855154000004</v>
      </c>
      <c r="R311" s="118">
        <v>6.1559543942500001</v>
      </c>
      <c r="S311" s="118">
        <v>6.3770232730999998</v>
      </c>
    </row>
    <row r="312" spans="1:19">
      <c r="A312" s="118" t="str">
        <f t="shared" si="29"/>
        <v>LGE</v>
      </c>
      <c r="B312" s="118" t="s">
        <v>452</v>
      </c>
      <c r="C312" s="118" t="str">
        <f t="shared" si="30"/>
        <v>392</v>
      </c>
      <c r="D312" s="113" t="s">
        <v>442</v>
      </c>
      <c r="E312" s="113" t="str">
        <f t="shared" si="28"/>
        <v/>
      </c>
      <c r="F312" s="118">
        <v>171.07757000000001</v>
      </c>
      <c r="G312" s="118">
        <v>173.74742000000001</v>
      </c>
      <c r="H312" s="118">
        <v>176.41728000000001</v>
      </c>
      <c r="I312" s="118">
        <v>179.08712</v>
      </c>
      <c r="J312" s="118">
        <v>181.75699</v>
      </c>
      <c r="K312" s="118">
        <v>184.35253</v>
      </c>
      <c r="L312" s="118">
        <v>186.87378000000001</v>
      </c>
      <c r="M312" s="118">
        <v>189.39503999999999</v>
      </c>
      <c r="N312" s="118">
        <v>193.79504</v>
      </c>
      <c r="O312" s="118">
        <v>193.79504</v>
      </c>
      <c r="P312" s="118">
        <v>193.79504</v>
      </c>
      <c r="Q312" s="118">
        <v>186.19504000000001</v>
      </c>
      <c r="R312" s="118">
        <v>186.19504000000001</v>
      </c>
      <c r="S312" s="118">
        <v>186.19504000000001</v>
      </c>
    </row>
    <row r="313" spans="1:19">
      <c r="A313" s="118" t="str">
        <f t="shared" si="29"/>
        <v>LGE</v>
      </c>
      <c r="B313" s="118" t="s">
        <v>452</v>
      </c>
      <c r="C313" s="118" t="str">
        <f t="shared" si="30"/>
        <v>393</v>
      </c>
      <c r="D313" s="113" t="s">
        <v>443</v>
      </c>
      <c r="E313" s="113" t="str">
        <f t="shared" si="28"/>
        <v/>
      </c>
      <c r="F313" s="118">
        <v>834.94361000000004</v>
      </c>
      <c r="G313" s="118">
        <v>842.19907000000001</v>
      </c>
      <c r="H313" s="118">
        <v>849.46484999999996</v>
      </c>
      <c r="I313" s="118">
        <v>856.73063000000002</v>
      </c>
      <c r="J313" s="118">
        <v>863.99640999999997</v>
      </c>
      <c r="K313" s="118">
        <v>871.26218999999901</v>
      </c>
      <c r="L313" s="118">
        <v>878.46244000000002</v>
      </c>
      <c r="M313" s="118">
        <v>885.59715000000006</v>
      </c>
      <c r="N313" s="118">
        <v>892.731863847</v>
      </c>
      <c r="O313" s="118">
        <v>899.86657769399994</v>
      </c>
      <c r="P313" s="118">
        <v>907.001291541</v>
      </c>
      <c r="Q313" s="118">
        <v>914.13600538799994</v>
      </c>
      <c r="R313" s="118">
        <v>921.270719235</v>
      </c>
      <c r="S313" s="118">
        <v>928.40543308199994</v>
      </c>
    </row>
    <row r="314" spans="1:19">
      <c r="A314" s="118" t="str">
        <f t="shared" si="29"/>
        <v>LGE</v>
      </c>
      <c r="B314" s="118" t="s">
        <v>452</v>
      </c>
      <c r="C314" s="118" t="str">
        <f t="shared" si="30"/>
        <v>394</v>
      </c>
      <c r="D314" s="113" t="s">
        <v>444</v>
      </c>
      <c r="E314" s="113" t="str">
        <f t="shared" si="28"/>
        <v/>
      </c>
      <c r="F314" s="118">
        <v>2022.5938000000001</v>
      </c>
      <c r="G314" s="118">
        <v>2039.3438100000001</v>
      </c>
      <c r="H314" s="118">
        <v>2056.1582899999999</v>
      </c>
      <c r="I314" s="118">
        <v>2073.0571199999999</v>
      </c>
      <c r="J314" s="118">
        <v>2090.0332800000001</v>
      </c>
      <c r="K314" s="118">
        <v>2107.0480200000002</v>
      </c>
      <c r="L314" s="118">
        <v>2123.9733500000002</v>
      </c>
      <c r="M314" s="118">
        <v>2140.8092700000002</v>
      </c>
      <c r="N314" s="118">
        <v>2157.6446464300002</v>
      </c>
      <c r="O314" s="118">
        <v>2174.47947527</v>
      </c>
      <c r="P314" s="118">
        <v>2191.3143041100002</v>
      </c>
      <c r="Q314" s="118">
        <v>2208.14913295</v>
      </c>
      <c r="R314" s="118">
        <v>2224.9839617900002</v>
      </c>
      <c r="S314" s="118">
        <v>2241.81879063</v>
      </c>
    </row>
    <row r="315" spans="1:19">
      <c r="A315" s="118" t="str">
        <f t="shared" si="29"/>
        <v>LGE</v>
      </c>
      <c r="B315" s="118" t="s">
        <v>452</v>
      </c>
      <c r="C315" s="118" t="str">
        <f t="shared" si="30"/>
        <v>396</v>
      </c>
      <c r="D315" s="113" t="s">
        <v>445</v>
      </c>
      <c r="E315" s="113" t="str">
        <f t="shared" si="28"/>
        <v/>
      </c>
      <c r="F315" s="118">
        <v>12.71974</v>
      </c>
      <c r="G315" s="118">
        <v>12.797190000000001</v>
      </c>
      <c r="H315" s="118">
        <v>12.874639999999999</v>
      </c>
      <c r="I315" s="118">
        <v>12.95209</v>
      </c>
      <c r="J315" s="118">
        <v>13.029540000000001</v>
      </c>
      <c r="K315" s="118">
        <v>13.10699</v>
      </c>
      <c r="L315" s="118">
        <v>13.18444</v>
      </c>
      <c r="M315" s="118">
        <v>13.261889999999999</v>
      </c>
      <c r="N315" s="118">
        <v>13.3393452629969</v>
      </c>
      <c r="O315" s="118">
        <v>13.416800525993899</v>
      </c>
      <c r="P315" s="118">
        <v>13.4942557889909</v>
      </c>
      <c r="Q315" s="118">
        <v>13.571711051987901</v>
      </c>
      <c r="R315" s="118">
        <v>13.6491663149849</v>
      </c>
      <c r="S315" s="118">
        <v>13.7266215779819</v>
      </c>
    </row>
    <row r="316" spans="1:19">
      <c r="A316" s="118" t="str">
        <f t="shared" si="29"/>
        <v>LGE</v>
      </c>
      <c r="B316" s="118" t="s">
        <v>452</v>
      </c>
      <c r="C316" s="118" t="str">
        <f t="shared" si="30"/>
        <v>396</v>
      </c>
      <c r="D316" s="113" t="s">
        <v>1330</v>
      </c>
      <c r="E316" s="113" t="str">
        <f t="shared" si="28"/>
        <v/>
      </c>
      <c r="F316" s="118">
        <v>285.64911999999998</v>
      </c>
      <c r="G316" s="118">
        <v>285.86016000000001</v>
      </c>
      <c r="H316" s="118">
        <v>286.07119999999998</v>
      </c>
      <c r="I316" s="118">
        <v>286.28224</v>
      </c>
      <c r="J316" s="118">
        <v>286.49328000000003</v>
      </c>
      <c r="K316" s="118">
        <v>286.70432</v>
      </c>
      <c r="L316" s="118">
        <v>287.14055999999999</v>
      </c>
      <c r="M316" s="118">
        <v>287.80201</v>
      </c>
      <c r="N316" s="118">
        <v>287.80201</v>
      </c>
      <c r="O316" s="118">
        <v>287.80201</v>
      </c>
      <c r="P316" s="118">
        <v>287.80201</v>
      </c>
      <c r="Q316" s="118">
        <v>287.80201</v>
      </c>
      <c r="R316" s="118">
        <v>287.80201</v>
      </c>
      <c r="S316" s="118">
        <v>287.80201</v>
      </c>
    </row>
    <row r="317" spans="1:19">
      <c r="A317" s="118" t="str">
        <f t="shared" si="29"/>
        <v>LGE</v>
      </c>
      <c r="B317" s="118" t="s">
        <v>452</v>
      </c>
      <c r="C317" s="118" t="str">
        <f t="shared" si="30"/>
        <v>397</v>
      </c>
      <c r="D317" s="113" t="s">
        <v>446</v>
      </c>
      <c r="E317" s="113" t="str">
        <f t="shared" si="28"/>
        <v/>
      </c>
      <c r="F317" s="118">
        <v>13263.871660000001</v>
      </c>
      <c r="G317" s="118">
        <v>13336.00208</v>
      </c>
      <c r="H317" s="118">
        <v>13408.105890000001</v>
      </c>
      <c r="I317" s="118">
        <v>13480.17628</v>
      </c>
      <c r="J317" s="118">
        <v>13552.29256</v>
      </c>
      <c r="K317" s="118">
        <v>13624.45888</v>
      </c>
      <c r="L317" s="118">
        <v>13696.6252</v>
      </c>
      <c r="M317" s="118">
        <v>13768.72702</v>
      </c>
      <c r="N317" s="118">
        <v>13841.69100479</v>
      </c>
      <c r="O317" s="118">
        <v>13912.07292047</v>
      </c>
      <c r="P317" s="118">
        <v>13982.45483615</v>
      </c>
      <c r="Q317" s="118">
        <v>14052.223004289999</v>
      </c>
      <c r="R317" s="118">
        <v>14123.3994649</v>
      </c>
      <c r="S317" s="118">
        <v>14194.57592551</v>
      </c>
    </row>
    <row r="318" spans="1:19">
      <c r="A318" s="118" t="str">
        <f t="shared" si="29"/>
        <v>LGE</v>
      </c>
      <c r="B318" s="118" t="s">
        <v>452</v>
      </c>
      <c r="C318" s="118" t="str">
        <f t="shared" si="30"/>
        <v>397</v>
      </c>
      <c r="D318" s="113" t="s">
        <v>447</v>
      </c>
      <c r="E318" s="113" t="str">
        <f t="shared" si="28"/>
        <v/>
      </c>
      <c r="F318" s="118">
        <v>-24.36392</v>
      </c>
      <c r="G318" s="118">
        <v>-23.549299999999999</v>
      </c>
      <c r="H318" s="118">
        <v>-22.734680000000001</v>
      </c>
      <c r="I318" s="118">
        <v>-21.920059999999999</v>
      </c>
      <c r="J318" s="118">
        <v>-21.105439999999899</v>
      </c>
      <c r="K318" s="118">
        <v>-20.29082</v>
      </c>
      <c r="L318" s="118">
        <v>-19.476199999999999</v>
      </c>
      <c r="M318" s="118">
        <v>-18.661580000000001</v>
      </c>
      <c r="N318" s="118">
        <v>-17.846956392500001</v>
      </c>
      <c r="O318" s="118">
        <v>-17.032332785000001</v>
      </c>
      <c r="P318" s="118">
        <v>-16.217709177500002</v>
      </c>
      <c r="Q318" s="118">
        <v>-15.40308557</v>
      </c>
      <c r="R318" s="118">
        <v>-14.5884619625</v>
      </c>
      <c r="S318" s="118">
        <v>-13.773838355000001</v>
      </c>
    </row>
    <row r="319" spans="1:19">
      <c r="A319" s="118" t="str">
        <f t="shared" si="29"/>
        <v>LGE</v>
      </c>
      <c r="B319" s="118" t="s">
        <v>452</v>
      </c>
      <c r="C319" s="118" t="str">
        <f t="shared" si="30"/>
        <v>397</v>
      </c>
      <c r="D319" s="113" t="s">
        <v>448</v>
      </c>
      <c r="E319" s="113" t="str">
        <f t="shared" si="28"/>
        <v/>
      </c>
      <c r="F319" s="118">
        <v>24058.354220000001</v>
      </c>
      <c r="G319" s="118">
        <v>24369.07476</v>
      </c>
      <c r="H319" s="118">
        <v>24679.830679999999</v>
      </c>
      <c r="I319" s="118">
        <v>24990.586599999999</v>
      </c>
      <c r="J319" s="118">
        <v>25235.746649999899</v>
      </c>
      <c r="K319" s="118">
        <v>15652.868549999999</v>
      </c>
      <c r="L319" s="118">
        <v>15855.02324</v>
      </c>
      <c r="M319" s="118">
        <v>16018.87343</v>
      </c>
      <c r="N319" s="118">
        <v>16198.992967299901</v>
      </c>
      <c r="O319" s="118">
        <v>16400.4379177999</v>
      </c>
      <c r="P319" s="118">
        <v>16601.882868299999</v>
      </c>
      <c r="Q319" s="118">
        <v>16831.843958099998</v>
      </c>
      <c r="R319" s="118">
        <v>17090.3211873</v>
      </c>
      <c r="S319" s="118">
        <v>17348.798416500002</v>
      </c>
    </row>
    <row r="320" spans="1:19">
      <c r="A320" s="118" t="str">
        <f t="shared" si="29"/>
        <v>LGE</v>
      </c>
      <c r="B320" s="118" t="s">
        <v>452</v>
      </c>
      <c r="C320" s="118" t="str">
        <f t="shared" si="30"/>
        <v>398</v>
      </c>
      <c r="D320" s="113" t="s">
        <v>449</v>
      </c>
      <c r="E320" s="113" t="str">
        <f t="shared" si="28"/>
        <v/>
      </c>
    </row>
    <row r="321" spans="1:21">
      <c r="E321" s="113" t="str">
        <f t="shared" si="28"/>
        <v/>
      </c>
    </row>
    <row r="322" spans="1:21">
      <c r="D322" s="113" t="s">
        <v>730</v>
      </c>
      <c r="E322" s="113" t="str">
        <f t="shared" si="28"/>
        <v/>
      </c>
      <c r="F322" s="118">
        <v>0</v>
      </c>
      <c r="G322" s="118">
        <v>0</v>
      </c>
      <c r="H322" s="118">
        <v>0</v>
      </c>
      <c r="I322" s="118">
        <v>0</v>
      </c>
      <c r="J322" s="118">
        <v>0</v>
      </c>
      <c r="K322" s="118">
        <v>0</v>
      </c>
      <c r="L322" s="118">
        <v>0</v>
      </c>
      <c r="M322" s="118">
        <v>0</v>
      </c>
      <c r="N322" s="118">
        <v>0</v>
      </c>
      <c r="O322" s="118">
        <v>0</v>
      </c>
      <c r="P322" s="118">
        <v>0</v>
      </c>
      <c r="Q322" s="118">
        <v>0</v>
      </c>
      <c r="R322" s="118">
        <v>0</v>
      </c>
      <c r="S322" s="118">
        <v>0</v>
      </c>
    </row>
    <row r="323" spans="1:21">
      <c r="A323" s="118" t="str">
        <f t="shared" ref="A323:A324" si="31">MID($D323,4,3)</f>
        <v>LGE</v>
      </c>
      <c r="B323" s="118" t="s">
        <v>545</v>
      </c>
      <c r="C323" s="118" t="str">
        <f t="shared" ref="C323:C324" si="32">MID($D323,9,3)</f>
        <v>350</v>
      </c>
      <c r="D323" s="113" t="s">
        <v>506</v>
      </c>
      <c r="E323" s="113" t="str">
        <f t="shared" si="28"/>
        <v/>
      </c>
      <c r="F323" s="118">
        <v>0</v>
      </c>
      <c r="G323" s="118">
        <v>0</v>
      </c>
      <c r="H323" s="118">
        <v>0</v>
      </c>
      <c r="I323" s="118">
        <v>0</v>
      </c>
      <c r="J323" s="118">
        <v>0</v>
      </c>
      <c r="K323" s="118">
        <v>0</v>
      </c>
      <c r="L323" s="118">
        <v>0</v>
      </c>
      <c r="M323" s="118">
        <v>-3.657</v>
      </c>
      <c r="N323" s="118">
        <v>0</v>
      </c>
      <c r="O323" s="118">
        <v>0</v>
      </c>
      <c r="P323" s="118">
        <v>0</v>
      </c>
      <c r="Q323" s="118">
        <v>0</v>
      </c>
      <c r="R323" s="118">
        <v>0</v>
      </c>
      <c r="S323" s="118">
        <v>0</v>
      </c>
      <c r="T323" s="118">
        <f t="shared" ref="T323:T324" si="33">SUM(H323:S323)</f>
        <v>-3.657</v>
      </c>
    </row>
    <row r="324" spans="1:21">
      <c r="A324" s="118" t="str">
        <f t="shared" si="31"/>
        <v>LGE</v>
      </c>
      <c r="B324" s="118" t="s">
        <v>545</v>
      </c>
      <c r="C324" s="118" t="str">
        <f t="shared" si="32"/>
        <v>394</v>
      </c>
      <c r="D324" s="113" t="s">
        <v>543</v>
      </c>
      <c r="E324" s="113" t="str">
        <f t="shared" si="28"/>
        <v/>
      </c>
      <c r="F324" s="118">
        <v>0</v>
      </c>
      <c r="G324" s="118">
        <v>0</v>
      </c>
      <c r="H324" s="118">
        <v>0</v>
      </c>
      <c r="I324" s="118">
        <v>0</v>
      </c>
      <c r="J324" s="118">
        <v>0</v>
      </c>
      <c r="K324" s="118">
        <v>0</v>
      </c>
      <c r="L324" s="118">
        <v>0</v>
      </c>
      <c r="M324" s="118">
        <v>3.657</v>
      </c>
      <c r="N324" s="118">
        <v>0</v>
      </c>
      <c r="O324" s="118">
        <v>0</v>
      </c>
      <c r="P324" s="118">
        <v>0</v>
      </c>
      <c r="Q324" s="118">
        <v>0</v>
      </c>
      <c r="R324" s="118">
        <v>0</v>
      </c>
      <c r="S324" s="118">
        <v>0</v>
      </c>
      <c r="T324" s="118">
        <f t="shared" si="33"/>
        <v>3.657</v>
      </c>
    </row>
    <row r="333" spans="1:21"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113"/>
    </row>
    <row r="334" spans="1:21">
      <c r="U334" s="113"/>
    </row>
  </sheetData>
  <pageMargins left="0.75" right="0.75" top="1" bottom="1" header="0.5" footer="0.5"/>
  <pageSetup scale="53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Q21"/>
  <sheetViews>
    <sheetView zoomScaleNormal="100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B10" sqref="B10"/>
    </sheetView>
  </sheetViews>
  <sheetFormatPr defaultColWidth="7.77734375" defaultRowHeight="15"/>
  <cols>
    <col min="1" max="1" width="11.6640625" style="118" customWidth="1"/>
    <col min="2" max="2" width="32.77734375" style="113" customWidth="1"/>
    <col min="3" max="3" width="9.77734375" style="113" customWidth="1"/>
    <col min="4" max="17" width="9.33203125" style="118" customWidth="1"/>
    <col min="18" max="16384" width="7.77734375" style="118"/>
  </cols>
  <sheetData>
    <row r="1" spans="1:17" s="117" customFormat="1">
      <c r="B1" s="258"/>
      <c r="C1" s="258"/>
    </row>
    <row r="2" spans="1:17" s="117" customFormat="1">
      <c r="A2" s="117" t="s">
        <v>1332</v>
      </c>
      <c r="B2" s="258" t="s">
        <v>1289</v>
      </c>
      <c r="C2" s="258" t="s">
        <v>1311</v>
      </c>
      <c r="D2" s="117" t="s">
        <v>1312</v>
      </c>
      <c r="E2" s="117" t="s">
        <v>1313</v>
      </c>
      <c r="F2" s="117" t="s">
        <v>1314</v>
      </c>
      <c r="G2" s="117" t="s">
        <v>1315</v>
      </c>
      <c r="H2" s="117" t="s">
        <v>1316</v>
      </c>
      <c r="I2" s="117" t="s">
        <v>1317</v>
      </c>
      <c r="J2" s="117" t="s">
        <v>1318</v>
      </c>
      <c r="K2" s="117" t="s">
        <v>1319</v>
      </c>
      <c r="L2" s="117" t="s">
        <v>1320</v>
      </c>
      <c r="M2" s="117" t="s">
        <v>1321</v>
      </c>
      <c r="N2" s="117" t="s">
        <v>1322</v>
      </c>
      <c r="O2" s="117" t="s">
        <v>1323</v>
      </c>
      <c r="P2" s="117" t="s">
        <v>1324</v>
      </c>
      <c r="Q2" s="117" t="s">
        <v>1325</v>
      </c>
    </row>
    <row r="3" spans="1:17" s="117" customFormat="1">
      <c r="B3" s="258"/>
      <c r="C3" s="258"/>
    </row>
    <row r="5" spans="1:17">
      <c r="B5" s="113" t="s">
        <v>326</v>
      </c>
    </row>
    <row r="6" spans="1:17">
      <c r="A6" s="388" t="str">
        <f t="shared" ref="A6:A11" si="0"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IF(ISTEXT(MID($B6,SEARCH("STORAGE",$B6),3)),"STORAGE AND PROCESSING","")))))))</f>
        <v>COMMON</v>
      </c>
      <c r="B6" s="113" t="s">
        <v>327</v>
      </c>
      <c r="C6" s="113" t="str">
        <f t="shared" ref="C6:C21" si="1"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118">
        <v>3784.32377</v>
      </c>
      <c r="E6" s="118">
        <v>4128.4592199999997</v>
      </c>
      <c r="F6" s="118">
        <v>4500.7550300000003</v>
      </c>
      <c r="G6" s="118">
        <v>4934.0507299999999</v>
      </c>
      <c r="H6" s="118">
        <v>5930.0080099999996</v>
      </c>
      <c r="I6" s="118">
        <v>6597.2595300000003</v>
      </c>
      <c r="J6" s="118">
        <v>6923.9725799999997</v>
      </c>
      <c r="K6" s="118">
        <v>7563.8732600000003</v>
      </c>
      <c r="L6" s="118">
        <v>11880.25678</v>
      </c>
      <c r="M6" s="118">
        <v>12496.01412</v>
      </c>
      <c r="N6" s="118">
        <v>12704.552530000001</v>
      </c>
      <c r="O6" s="118">
        <v>723.58132000000001</v>
      </c>
      <c r="P6" s="118">
        <v>830.33286999999996</v>
      </c>
      <c r="Q6" s="118">
        <v>1038.6639600000001</v>
      </c>
    </row>
    <row r="7" spans="1:17">
      <c r="A7" s="388" t="str">
        <f t="shared" si="0"/>
        <v>COMMON</v>
      </c>
      <c r="B7" s="113" t="s">
        <v>328</v>
      </c>
      <c r="C7" s="113" t="str">
        <f t="shared" si="1"/>
        <v/>
      </c>
      <c r="D7" s="118">
        <v>7004.6438900000003</v>
      </c>
      <c r="E7" s="118">
        <v>8081.9819399999997</v>
      </c>
      <c r="F7" s="118">
        <v>10664.24273</v>
      </c>
      <c r="G7" s="118">
        <v>11582.809359999999</v>
      </c>
      <c r="H7" s="118">
        <v>12533.169529999999</v>
      </c>
      <c r="I7" s="118">
        <v>13358.072560000001</v>
      </c>
      <c r="J7" s="118">
        <v>14606.20486</v>
      </c>
      <c r="K7" s="118">
        <v>12218.07562</v>
      </c>
      <c r="L7" s="118">
        <v>14418.947330000001</v>
      </c>
      <c r="M7" s="118">
        <v>16211.587320000001</v>
      </c>
      <c r="N7" s="118">
        <v>17925.677640000002</v>
      </c>
      <c r="O7" s="118">
        <v>10807.97573</v>
      </c>
      <c r="P7" s="118">
        <v>12281.015020000001</v>
      </c>
      <c r="Q7" s="118">
        <v>13717.50842</v>
      </c>
    </row>
    <row r="8" spans="1:17">
      <c r="A8" s="388" t="str">
        <f t="shared" si="0"/>
        <v>DISTRIBUTION</v>
      </c>
      <c r="B8" s="113" t="s">
        <v>329</v>
      </c>
      <c r="C8" s="113" t="str">
        <f t="shared" si="1"/>
        <v/>
      </c>
      <c r="D8" s="118">
        <v>9529.7999400000008</v>
      </c>
      <c r="E8" s="118">
        <v>10072.634459999999</v>
      </c>
      <c r="F8" s="118">
        <v>11387.01044</v>
      </c>
      <c r="G8" s="118">
        <v>11653.23482</v>
      </c>
      <c r="H8" s="118">
        <v>8628.9745199999998</v>
      </c>
      <c r="I8" s="118">
        <v>9040.9089899999999</v>
      </c>
      <c r="J8" s="118">
        <v>8704.04025</v>
      </c>
      <c r="K8" s="118">
        <v>9145.7198900000003</v>
      </c>
      <c r="L8" s="118">
        <v>5313.8234400000001</v>
      </c>
      <c r="M8" s="118">
        <v>2025.0665899999999</v>
      </c>
      <c r="N8" s="118">
        <v>2801.59024</v>
      </c>
      <c r="O8" s="118">
        <v>1793.0730000000001</v>
      </c>
      <c r="P8" s="118">
        <v>1493.7938999999999</v>
      </c>
      <c r="Q8" s="118">
        <v>1391.01776</v>
      </c>
    </row>
    <row r="9" spans="1:17">
      <c r="A9" s="388" t="str">
        <f t="shared" si="0"/>
        <v>DISTRIBUTION</v>
      </c>
      <c r="B9" s="113" t="s">
        <v>330</v>
      </c>
      <c r="C9" s="113" t="str">
        <f t="shared" si="1"/>
        <v>GLT</v>
      </c>
      <c r="D9" s="118">
        <v>0</v>
      </c>
      <c r="E9" s="118">
        <v>0</v>
      </c>
      <c r="F9" s="118">
        <v>0</v>
      </c>
      <c r="G9" s="118">
        <v>0</v>
      </c>
      <c r="H9" s="118">
        <v>0</v>
      </c>
      <c r="I9" s="118">
        <v>0</v>
      </c>
      <c r="J9" s="118">
        <v>2.3261599999999998</v>
      </c>
      <c r="K9" s="118">
        <v>2.3261599999999998</v>
      </c>
      <c r="L9" s="118">
        <v>0</v>
      </c>
      <c r="M9" s="118">
        <v>0</v>
      </c>
      <c r="N9" s="118">
        <v>0</v>
      </c>
      <c r="O9" s="118">
        <v>0</v>
      </c>
    </row>
    <row r="10" spans="1:17">
      <c r="A10" s="388" t="str">
        <f t="shared" si="0"/>
        <v>TRANSMISSION</v>
      </c>
      <c r="B10" s="113" t="s">
        <v>1355</v>
      </c>
      <c r="C10" s="113" t="str">
        <f t="shared" si="1"/>
        <v>GLT</v>
      </c>
      <c r="D10" s="118">
        <v>0</v>
      </c>
      <c r="E10" s="118">
        <v>0</v>
      </c>
      <c r="F10" s="118">
        <v>0</v>
      </c>
      <c r="G10" s="118">
        <v>0</v>
      </c>
      <c r="H10" s="118">
        <v>0</v>
      </c>
      <c r="I10" s="118">
        <v>0</v>
      </c>
      <c r="L10" s="118">
        <v>0</v>
      </c>
      <c r="M10" s="118">
        <v>0</v>
      </c>
      <c r="N10" s="118">
        <v>0</v>
      </c>
      <c r="O10" s="118">
        <v>0</v>
      </c>
      <c r="P10" s="118">
        <v>37.32846</v>
      </c>
      <c r="Q10" s="118">
        <v>87.064250000000001</v>
      </c>
    </row>
    <row r="11" spans="1:17">
      <c r="A11" s="388" t="str">
        <f t="shared" si="0"/>
        <v>GENERAL</v>
      </c>
      <c r="B11" s="113" t="s">
        <v>331</v>
      </c>
      <c r="C11" s="113" t="str">
        <f t="shared" si="1"/>
        <v/>
      </c>
      <c r="D11" s="118">
        <v>315.69956999999999</v>
      </c>
      <c r="E11" s="118">
        <v>315.69956999999999</v>
      </c>
      <c r="F11" s="118">
        <v>308.79951</v>
      </c>
      <c r="G11" s="118">
        <v>283.49408</v>
      </c>
      <c r="H11" s="118">
        <v>299.22160000000002</v>
      </c>
      <c r="I11" s="118">
        <v>303.45884999999998</v>
      </c>
      <c r="J11" s="118">
        <v>514.69011</v>
      </c>
      <c r="K11" s="118">
        <v>582.42376999999999</v>
      </c>
      <c r="L11" s="118">
        <v>134.17797999999999</v>
      </c>
      <c r="M11" s="118">
        <v>162.23066</v>
      </c>
      <c r="N11" s="118">
        <v>70</v>
      </c>
      <c r="O11" s="118">
        <v>70</v>
      </c>
      <c r="P11" s="118">
        <v>70</v>
      </c>
      <c r="Q11" s="118">
        <v>75.7</v>
      </c>
    </row>
    <row r="12" spans="1:17">
      <c r="A12" s="388" t="str">
        <f>IF(ISTEXT(MID($B12,SEARCH("PRODUCTION",$B12),3)),"PRODUCTION",IF(ISTEXT(MID($B12,SEARCH("TRANSMISSION",$B12),3)),"TRANSMISSION",IF(ISTEXT(MID($B12,SEARCH("DISTRIBUTION",$B12),3)),"DISTRIBUTION",IF(ISTEXT(MID($B12,SEARCH("COMMON",$B12),3)),"COMMON",IF(ISTEXT(MID($B12,SEARCH("GENERAL",$B12),3)),"GENERAL",IF(ISTEXT(MID($B12,SEARCH("INTANGIBLE",$B12),3)),"INTANGIBLE",IF(ISTEXT(MID($B12,SEARCH("STORAGE",$B12),3)),"STORAGE AND PROCESSING","")))))))</f>
        <v>STORAGE AND PROCESSING</v>
      </c>
      <c r="B12" s="113" t="s">
        <v>332</v>
      </c>
      <c r="C12" s="113" t="str">
        <f t="shared" si="1"/>
        <v/>
      </c>
      <c r="D12" s="118">
        <v>8356.0416700000005</v>
      </c>
      <c r="E12" s="118">
        <v>7574.8084099999996</v>
      </c>
      <c r="F12" s="118">
        <v>6220.7292500000003</v>
      </c>
      <c r="G12" s="118">
        <v>6026.6970600000004</v>
      </c>
      <c r="H12" s="118">
        <v>5944.0783499999998</v>
      </c>
      <c r="I12" s="118">
        <v>4340.1869800000004</v>
      </c>
      <c r="J12" s="118">
        <v>5282.1806200000001</v>
      </c>
      <c r="K12" s="118">
        <v>5936.3578799999996</v>
      </c>
      <c r="L12" s="118">
        <v>4798.0246699999998</v>
      </c>
      <c r="M12" s="118">
        <v>4075.99683</v>
      </c>
      <c r="N12" s="118">
        <v>843.29111</v>
      </c>
      <c r="O12" s="118">
        <v>497.92516999999998</v>
      </c>
      <c r="P12" s="118">
        <v>529.13706999999999</v>
      </c>
      <c r="Q12" s="118">
        <v>619.35248000000001</v>
      </c>
    </row>
    <row r="13" spans="1:17">
      <c r="A13" s="388" t="str">
        <f>IF(ISTEXT(MID($B13,SEARCH("PRODUCTION",$B13),3)),"PRODUCTION",IF(ISTEXT(MID($B13,SEARCH("TRANSMISSION",$B13),3)),"TRANSMISSION",IF(ISTEXT(MID($B13,SEARCH("DISTRIBUTION",$B13),3)),"DISTRIBUTION",IF(ISTEXT(MID($B13,SEARCH("COMMON",$B13),3)),"COMMON",IF(ISTEXT(MID($B13,SEARCH("GENERAL",$B13),3)),"GENERAL",IF(ISTEXT(MID($B13,SEARCH("INTANGIBLE",$B13),3)),"INTANGIBLE",IF(ISTEXT(MID($B13,SEARCH("STORAGE",$B13),3)),"STORAGE AND PROCESSING","")))))))</f>
        <v>TRANSMISSION</v>
      </c>
      <c r="B13" s="113" t="s">
        <v>333</v>
      </c>
      <c r="C13" s="113" t="str">
        <f t="shared" si="1"/>
        <v/>
      </c>
      <c r="D13" s="118">
        <v>887.98149999999998</v>
      </c>
      <c r="E13" s="118">
        <v>895.38944000000004</v>
      </c>
      <c r="F13" s="118">
        <v>873.95991000000004</v>
      </c>
      <c r="G13" s="118">
        <v>817.29787999999996</v>
      </c>
      <c r="H13" s="118">
        <v>849.59567000000004</v>
      </c>
      <c r="I13" s="118">
        <v>263.67795999999998</v>
      </c>
      <c r="J13" s="118">
        <v>349.44542999999999</v>
      </c>
      <c r="K13" s="118">
        <v>384.93302</v>
      </c>
      <c r="L13" s="118">
        <v>227.32167000000001</v>
      </c>
      <c r="M13" s="118">
        <v>216.18234000000001</v>
      </c>
      <c r="N13" s="118">
        <v>276.14805999999999</v>
      </c>
      <c r="O13" s="118">
        <v>360.47181999999998</v>
      </c>
      <c r="P13" s="118">
        <v>360.47181999999998</v>
      </c>
      <c r="Q13" s="118">
        <v>360.47181999999998</v>
      </c>
    </row>
    <row r="14" spans="1:17">
      <c r="A14" s="388" t="str">
        <f t="shared" ref="A14:A15" si="2">IF(ISTEXT(MID($B14,SEARCH("PRODUCTION",$B14),3)),"PRODUCTION",IF(ISTEXT(MID($B14,SEARCH("TRANSMISSION",$B14),3)),"TRANSMISSION",IF(ISTEXT(MID($B14,SEARCH("DISTRIBUTION",$B14),3)),"DISTRIBUTION",IF(ISTEXT(MID($B14,SEARCH("COMMON",$B14),3)),"COMMON",IF(ISTEXT(MID($B14,SEARCH("GENERAL",$B14),3)),"GENERAL",IF(ISTEXT(MID($B14,SEARCH("INTANGIBLE",$B14),3)),"INTANGIBLE",""))))))</f>
        <v/>
      </c>
      <c r="C14" s="113" t="str">
        <f t="shared" si="1"/>
        <v/>
      </c>
    </row>
    <row r="15" spans="1:17">
      <c r="A15" s="388" t="str">
        <f t="shared" si="2"/>
        <v/>
      </c>
      <c r="B15" s="113" t="s">
        <v>334</v>
      </c>
      <c r="C15" s="113" t="str">
        <f t="shared" si="1"/>
        <v/>
      </c>
    </row>
    <row r="16" spans="1:17">
      <c r="A16" s="388" t="str">
        <f t="shared" ref="A16:A21" si="3">IF(ISTEXT(MID($B16,SEARCH("PRODUCTION",$B16),3)),"PRODUCTION",IF(ISTEXT(MID($B16,SEARCH("TRANSMISSION",$B16),3)),"TRANSMISSION",IF(ISTEXT(MID($B16,SEARCH("DISTRIBUTION",$B16),3)),"DISTRIBUTION",IF(ISTEXT(MID($B16,SEARCH("COMMON",$B16),3)),"COMMON",IF(ISTEXT(MID($B16,SEARCH("GENERAL",$B16),3)),"GENERAL",IF(ISTEXT(MID($B16,SEARCH("INTANGIBLE",$B16),3)),"INTANGIBLE",IF(ISTEXT(MID($B16,SEARCH("STORAGE",$B16),3)),"STORAGE AND PROCESSING","")))))))</f>
        <v>COMMON</v>
      </c>
      <c r="B16" s="113" t="s">
        <v>327</v>
      </c>
      <c r="C16" s="113" t="str">
        <f t="shared" si="1"/>
        <v/>
      </c>
      <c r="D16" s="118">
        <v>117.28337999999999</v>
      </c>
      <c r="E16" s="118">
        <v>119.36341</v>
      </c>
      <c r="F16" s="118">
        <v>118.44185</v>
      </c>
      <c r="G16" s="118">
        <v>88.762789999999995</v>
      </c>
      <c r="H16" s="118">
        <v>95.853660000000005</v>
      </c>
      <c r="I16" s="118">
        <v>107.95193</v>
      </c>
      <c r="J16" s="118">
        <v>107.87676</v>
      </c>
      <c r="K16" s="118">
        <v>84.458129999999997</v>
      </c>
      <c r="L16" s="118">
        <v>202.74528000000001</v>
      </c>
      <c r="M16" s="118">
        <v>202.74528000000001</v>
      </c>
      <c r="N16" s="118">
        <v>202.74528000000001</v>
      </c>
      <c r="O16" s="118">
        <v>0</v>
      </c>
      <c r="P16" s="118">
        <v>0</v>
      </c>
      <c r="Q16" s="118">
        <v>0</v>
      </c>
    </row>
    <row r="17" spans="1:17">
      <c r="A17" s="388" t="str">
        <f t="shared" si="3"/>
        <v>DISTRIBUTION</v>
      </c>
      <c r="B17" s="113" t="s">
        <v>329</v>
      </c>
      <c r="C17" s="113" t="str">
        <f t="shared" si="1"/>
        <v/>
      </c>
      <c r="D17" s="118">
        <v>2510.27151</v>
      </c>
      <c r="E17" s="118">
        <v>2564.1302700000001</v>
      </c>
      <c r="F17" s="118">
        <v>2619.2247200000002</v>
      </c>
      <c r="G17" s="118">
        <v>2719.1027899999999</v>
      </c>
      <c r="H17" s="118">
        <v>2894.9563199999998</v>
      </c>
      <c r="I17" s="118">
        <v>3012.1203399999999</v>
      </c>
      <c r="J17" s="118">
        <v>3066.4641000000001</v>
      </c>
      <c r="K17" s="118">
        <v>1226.30654</v>
      </c>
      <c r="L17" s="118">
        <v>101.24709</v>
      </c>
      <c r="M17" s="118">
        <v>60.968969999999999</v>
      </c>
      <c r="N17" s="118">
        <v>60.968969999999999</v>
      </c>
      <c r="O17" s="118">
        <v>52.01202</v>
      </c>
      <c r="P17" s="118">
        <v>52.01202</v>
      </c>
      <c r="Q17" s="118">
        <v>52.01202</v>
      </c>
    </row>
    <row r="18" spans="1:17">
      <c r="A18" s="388" t="str">
        <f t="shared" si="3"/>
        <v>DISTRIBUTION</v>
      </c>
      <c r="B18" s="113" t="s">
        <v>330</v>
      </c>
      <c r="C18" s="113" t="str">
        <f t="shared" si="1"/>
        <v>GLT</v>
      </c>
      <c r="D18" s="118">
        <v>0</v>
      </c>
      <c r="E18" s="118">
        <v>0</v>
      </c>
      <c r="F18" s="118">
        <v>0</v>
      </c>
      <c r="G18" s="118">
        <v>0</v>
      </c>
      <c r="H18" s="118">
        <v>0</v>
      </c>
      <c r="I18" s="118">
        <v>0</v>
      </c>
      <c r="J18" s="118">
        <v>0</v>
      </c>
      <c r="K18" s="118">
        <v>2021.6488400000001</v>
      </c>
      <c r="L18" s="118">
        <v>0</v>
      </c>
      <c r="M18" s="118">
        <v>0</v>
      </c>
      <c r="N18" s="118">
        <v>0</v>
      </c>
      <c r="O18" s="118">
        <v>0</v>
      </c>
      <c r="P18" s="118">
        <v>0</v>
      </c>
      <c r="Q18" s="118">
        <v>0</v>
      </c>
    </row>
    <row r="19" spans="1:17">
      <c r="A19" s="388" t="str">
        <f t="shared" si="3"/>
        <v>GENERAL</v>
      </c>
      <c r="B19" s="113" t="s">
        <v>331</v>
      </c>
      <c r="C19" s="113" t="str">
        <f t="shared" si="1"/>
        <v/>
      </c>
      <c r="D19" s="118">
        <v>-45.823399999999999</v>
      </c>
      <c r="E19" s="118">
        <v>-45.823399999999999</v>
      </c>
      <c r="F19" s="118">
        <v>-45.823399999999999</v>
      </c>
      <c r="G19" s="118">
        <v>-45.823399999999999</v>
      </c>
      <c r="H19" s="118">
        <v>-45.823399999999999</v>
      </c>
      <c r="I19" s="118">
        <v>-45.823399999999999</v>
      </c>
      <c r="J19" s="118">
        <v>-45.823399999999999</v>
      </c>
      <c r="K19" s="118">
        <v>-58.543399999999998</v>
      </c>
      <c r="L19" s="118">
        <v>0</v>
      </c>
      <c r="M19" s="118">
        <v>0</v>
      </c>
      <c r="N19" s="118">
        <v>0</v>
      </c>
      <c r="O19" s="118">
        <v>0</v>
      </c>
      <c r="P19" s="118">
        <v>0</v>
      </c>
      <c r="Q19" s="118">
        <v>0</v>
      </c>
    </row>
    <row r="20" spans="1:17">
      <c r="A20" s="388" t="str">
        <f t="shared" si="3"/>
        <v>STORAGE AND PROCESSING</v>
      </c>
      <c r="B20" s="113" t="s">
        <v>332</v>
      </c>
      <c r="C20" s="113" t="str">
        <f t="shared" si="1"/>
        <v/>
      </c>
      <c r="D20" s="118">
        <v>1561.8588099999999</v>
      </c>
      <c r="E20" s="118">
        <v>1455.7119</v>
      </c>
      <c r="F20" s="118">
        <v>1468.2161100000001</v>
      </c>
      <c r="G20" s="118">
        <v>1474.4566600000001</v>
      </c>
      <c r="H20" s="118">
        <v>1573.59827</v>
      </c>
      <c r="I20" s="118">
        <v>1290.57159</v>
      </c>
      <c r="J20" s="118">
        <v>1544.4532999999999</v>
      </c>
      <c r="K20" s="118">
        <v>2093.0688799999998</v>
      </c>
      <c r="L20" s="118">
        <v>377.42669999999998</v>
      </c>
      <c r="M20" s="118">
        <v>372.59474999999998</v>
      </c>
      <c r="N20" s="118">
        <v>4.3360799999999999</v>
      </c>
      <c r="O20" s="118">
        <v>0</v>
      </c>
      <c r="P20" s="118">
        <v>0</v>
      </c>
      <c r="Q20" s="118">
        <v>0</v>
      </c>
    </row>
    <row r="21" spans="1:17">
      <c r="A21" s="388" t="str">
        <f t="shared" si="3"/>
        <v>TRANSMISSION</v>
      </c>
      <c r="B21" s="113" t="s">
        <v>333</v>
      </c>
      <c r="C21" s="113" t="str">
        <f t="shared" si="1"/>
        <v/>
      </c>
      <c r="D21" s="118">
        <v>23.564530000000001</v>
      </c>
      <c r="E21" s="118">
        <v>35.022530000000003</v>
      </c>
      <c r="F21" s="118">
        <v>35.022530000000003</v>
      </c>
      <c r="G21" s="118">
        <v>35.022530000000003</v>
      </c>
      <c r="H21" s="118">
        <v>40.687620000000003</v>
      </c>
      <c r="I21" s="118">
        <v>114.91857</v>
      </c>
      <c r="J21" s="118">
        <v>164.00134</v>
      </c>
      <c r="K21" s="118">
        <v>119.60643</v>
      </c>
      <c r="L21" s="118">
        <v>191.29145</v>
      </c>
      <c r="M21" s="118">
        <v>161.05086</v>
      </c>
      <c r="N21" s="118">
        <v>161.05086</v>
      </c>
      <c r="O21" s="118">
        <v>2.6336599999999999</v>
      </c>
      <c r="P21" s="118">
        <v>2.6336599999999999</v>
      </c>
      <c r="Q21" s="118">
        <v>2.6336599999999999</v>
      </c>
    </row>
  </sheetData>
  <pageMargins left="0.75" right="0.75" top="1" bottom="1" header="0.5" footer="0.5"/>
  <pageSetup scale="66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Z121"/>
  <sheetViews>
    <sheetView topLeftCell="A4" zoomScale="85" zoomScaleNormal="85" workbookViewId="0">
      <pane xSplit="3" ySplit="4" topLeftCell="D66" activePane="bottomRight" state="frozen"/>
      <selection activeCell="A24" sqref="A24"/>
      <selection pane="topRight" activeCell="A24" sqref="A24"/>
      <selection pane="bottomLeft" activeCell="A24" sqref="A24"/>
      <selection pane="bottomRight" activeCell="V117" sqref="V117"/>
    </sheetView>
  </sheetViews>
  <sheetFormatPr defaultColWidth="9" defaultRowHeight="12.75"/>
  <cols>
    <col min="1" max="1" width="5.33203125" style="2" customWidth="1"/>
    <col min="2" max="2" width="7.77734375" style="2" customWidth="1"/>
    <col min="3" max="3" width="45" style="2" bestFit="1" customWidth="1"/>
    <col min="4" max="4" width="15.44140625" style="28" customWidth="1"/>
    <col min="5" max="5" width="1.44140625" style="2" customWidth="1"/>
    <col min="6" max="6" width="15.44140625" style="28" customWidth="1"/>
    <col min="7" max="7" width="1.44140625" style="2" customWidth="1"/>
    <col min="8" max="8" width="15.44140625" style="28" customWidth="1"/>
    <col min="9" max="9" width="1.44140625" style="2" customWidth="1"/>
    <col min="10" max="10" width="15.44140625" style="28" customWidth="1"/>
    <col min="11" max="11" width="1.44140625" style="2" customWidth="1"/>
    <col min="12" max="12" width="15.44140625" style="28" customWidth="1"/>
    <col min="13" max="13" width="1.44140625" style="2" customWidth="1"/>
    <col min="14" max="14" width="15.44140625" style="28" customWidth="1"/>
    <col min="15" max="15" width="1.44140625" style="2" customWidth="1"/>
    <col min="16" max="16" width="15.44140625" style="28" customWidth="1"/>
    <col min="17" max="17" width="2.21875" style="28" customWidth="1"/>
    <col min="18" max="18" width="18.6640625" style="2" customWidth="1"/>
    <col min="19" max="19" width="1.44140625" style="2" customWidth="1"/>
    <col min="20" max="20" width="18.6640625" style="2" customWidth="1"/>
    <col min="21" max="21" width="2" style="2" customWidth="1"/>
    <col min="22" max="22" width="15.44140625" style="2" customWidth="1"/>
    <col min="23" max="23" width="1.44140625" style="2" customWidth="1"/>
    <col min="24" max="24" width="18.6640625" style="2" customWidth="1"/>
    <col min="25" max="26" width="15.44140625" style="28" customWidth="1"/>
    <col min="27" max="16384" width="9" style="2"/>
  </cols>
  <sheetData>
    <row r="1" spans="1:26" s="1" customFormat="1" ht="15">
      <c r="C1" s="499" t="s">
        <v>0</v>
      </c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  <c r="O1" s="499"/>
      <c r="P1" s="499"/>
      <c r="Q1" s="499"/>
      <c r="R1" s="499"/>
      <c r="S1" s="499"/>
      <c r="T1" s="499"/>
    </row>
    <row r="2" spans="1:26" s="1" customFormat="1" ht="15">
      <c r="C2" s="499" t="s">
        <v>1</v>
      </c>
      <c r="D2" s="499"/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499"/>
      <c r="S2" s="499"/>
      <c r="T2" s="499"/>
    </row>
    <row r="3" spans="1:26">
      <c r="C3" s="500" t="s">
        <v>2</v>
      </c>
      <c r="D3" s="501"/>
      <c r="E3" s="501"/>
      <c r="F3" s="501"/>
      <c r="G3" s="501"/>
      <c r="H3" s="501"/>
      <c r="I3" s="501"/>
      <c r="J3" s="501"/>
      <c r="K3" s="501"/>
      <c r="L3" s="501"/>
      <c r="M3" s="501"/>
      <c r="N3" s="501"/>
      <c r="O3" s="501"/>
      <c r="P3" s="501"/>
      <c r="Q3" s="501"/>
      <c r="R3" s="501"/>
      <c r="S3" s="501"/>
      <c r="T3" s="501"/>
      <c r="Y3" s="2"/>
      <c r="Z3" s="2"/>
    </row>
    <row r="4" spans="1:26" ht="21" customHeight="1">
      <c r="A4" s="114">
        <v>0.3</v>
      </c>
      <c r="B4" s="115" t="s">
        <v>596</v>
      </c>
      <c r="C4" s="116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3"/>
      <c r="Q4" s="2"/>
      <c r="Y4" s="238" t="s">
        <v>732</v>
      </c>
      <c r="Z4" s="3"/>
    </row>
    <row r="5" spans="1:26" ht="15">
      <c r="C5" s="3"/>
      <c r="D5" s="4" t="s">
        <v>1333</v>
      </c>
      <c r="E5" s="3"/>
      <c r="F5" s="3"/>
      <c r="G5" s="3"/>
      <c r="H5" s="3"/>
      <c r="I5" s="3"/>
      <c r="J5" s="3"/>
      <c r="K5" s="3"/>
      <c r="L5" s="3"/>
      <c r="M5" s="3"/>
      <c r="N5" s="4" t="s">
        <v>1334</v>
      </c>
      <c r="P5" s="4"/>
      <c r="Q5" s="2"/>
      <c r="T5" s="97" t="s">
        <v>731</v>
      </c>
      <c r="V5" s="97" t="s">
        <v>731</v>
      </c>
      <c r="X5" s="97" t="s">
        <v>731</v>
      </c>
      <c r="Y5" s="4" t="str">
        <f>N5</f>
        <v>Jun 30 2018</v>
      </c>
      <c r="Z5" s="5"/>
    </row>
    <row r="6" spans="1:26">
      <c r="C6" s="6"/>
      <c r="D6" s="7" t="s">
        <v>3</v>
      </c>
      <c r="E6" s="6"/>
      <c r="F6" s="8"/>
      <c r="G6" s="6"/>
      <c r="H6" s="8"/>
      <c r="I6" s="6"/>
      <c r="J6" s="7" t="s">
        <v>4</v>
      </c>
      <c r="K6" s="6"/>
      <c r="L6" s="8"/>
      <c r="M6" s="6"/>
      <c r="N6" s="7" t="s">
        <v>5</v>
      </c>
      <c r="O6" s="6"/>
      <c r="P6" s="97" t="s">
        <v>731</v>
      </c>
      <c r="Q6" s="6"/>
      <c r="R6" s="97" t="s">
        <v>731</v>
      </c>
      <c r="S6" s="6"/>
      <c r="T6" s="97" t="s">
        <v>6</v>
      </c>
      <c r="V6" s="97" t="s">
        <v>157</v>
      </c>
      <c r="W6" s="6"/>
      <c r="X6" s="97" t="s">
        <v>12</v>
      </c>
      <c r="Y6" s="7" t="s">
        <v>5</v>
      </c>
      <c r="Z6" s="7"/>
    </row>
    <row r="7" spans="1:26" s="10" customFormat="1">
      <c r="A7" s="350" t="s">
        <v>1287</v>
      </c>
      <c r="B7" s="350" t="s">
        <v>1288</v>
      </c>
      <c r="C7" s="9" t="s">
        <v>1289</v>
      </c>
      <c r="D7" s="11" t="s">
        <v>7</v>
      </c>
      <c r="E7" s="6"/>
      <c r="F7" s="11" t="s">
        <v>8</v>
      </c>
      <c r="G7" s="6"/>
      <c r="H7" s="11" t="s">
        <v>9</v>
      </c>
      <c r="I7" s="6"/>
      <c r="J7" s="11" t="s">
        <v>10</v>
      </c>
      <c r="K7" s="6"/>
      <c r="L7" s="11" t="s">
        <v>11</v>
      </c>
      <c r="M7" s="6"/>
      <c r="N7" s="11" t="s">
        <v>7</v>
      </c>
      <c r="O7" s="6"/>
      <c r="P7" s="239">
        <v>42522</v>
      </c>
      <c r="Q7" s="6"/>
      <c r="R7" s="11" t="s">
        <v>12</v>
      </c>
      <c r="S7" s="6"/>
      <c r="T7" s="11" t="s">
        <v>13</v>
      </c>
      <c r="V7" s="11" t="s">
        <v>158</v>
      </c>
      <c r="W7" s="6"/>
      <c r="X7" s="11" t="s">
        <v>159</v>
      </c>
      <c r="Y7" s="11" t="s">
        <v>7</v>
      </c>
      <c r="Z7" s="11" t="s">
        <v>14</v>
      </c>
    </row>
    <row r="8" spans="1:26" s="10" customFormat="1">
      <c r="C8" s="9" t="s">
        <v>15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12"/>
      <c r="Q8" s="12"/>
      <c r="R8" s="6"/>
      <c r="S8" s="6"/>
      <c r="T8" s="6"/>
      <c r="V8" s="6"/>
      <c r="W8" s="6"/>
      <c r="X8" s="6"/>
      <c r="Y8" s="12"/>
      <c r="Z8" s="12"/>
    </row>
    <row r="9" spans="1:26">
      <c r="C9" s="9" t="s">
        <v>16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8"/>
      <c r="Q9" s="8"/>
      <c r="R9" s="6"/>
      <c r="S9" s="6"/>
      <c r="T9" s="6"/>
      <c r="V9" s="6"/>
      <c r="W9" s="6"/>
      <c r="X9" s="6"/>
      <c r="Y9" s="8"/>
      <c r="Z9" s="8"/>
    </row>
    <row r="10" spans="1:26">
      <c r="C10" s="9" t="s">
        <v>546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8"/>
      <c r="Q10" s="8"/>
      <c r="R10" s="6"/>
      <c r="S10" s="6"/>
      <c r="T10" s="6"/>
      <c r="V10" s="6"/>
      <c r="W10" s="6"/>
      <c r="X10" s="6"/>
      <c r="Y10" s="8"/>
      <c r="Z10" s="8"/>
    </row>
    <row r="11" spans="1:26">
      <c r="C11" s="102" t="s">
        <v>547</v>
      </c>
      <c r="D11" s="17">
        <f>SUMIFS('FCPIS F'!$F$6:$F$110,'FCPIS F'!$B$6:$B$110,'PIS F'!$A11,'FCPIS F'!$C$6:$C$110,'PIS F'!$B11)*1000</f>
        <v>0</v>
      </c>
      <c r="E11" s="21"/>
      <c r="F11" s="17">
        <f>SUMIFS('FCPIS F'!$S$113:$S$184,'FCPIS F'!$B$113:$B$184,'PIS F'!$A11,'FCPIS F'!$C$113:$C$184,'PIS F'!$B11)*1000</f>
        <v>0</v>
      </c>
      <c r="G11" s="21"/>
      <c r="H11" s="17">
        <f>SUMIFS('FCPIS F'!$S$187:$S$231,'FCPIS F'!$B$187:$B$231,'PIS F'!$A11,'FCPIS F'!$C$187:$C$231,'PIS F'!$B11)*-1000</f>
        <v>0</v>
      </c>
      <c r="I11" s="21"/>
      <c r="J11" s="17">
        <f>SUMIFS('FCPIS F'!$S$323:$S$342,'FCPIS F'!$B$323:$B$342,'PIS B'!$A11,'FCPIS F'!$C$323:$C$342,'PIS B'!$B11)*1000</f>
        <v>0</v>
      </c>
      <c r="K11" s="21"/>
      <c r="L11" s="17">
        <f t="shared" ref="L11:L26" si="0">SUM(F11:J11)</f>
        <v>0</v>
      </c>
      <c r="M11" s="21"/>
      <c r="N11" s="17">
        <f t="shared" ref="N11:N26" si="1">D11+L11</f>
        <v>0</v>
      </c>
      <c r="O11" s="21"/>
      <c r="P11" s="17">
        <f>SUMIFS('FCPIS F'!$T$6:$T$110,'FCPIS F'!$B$6:$B$110,'PIS F'!$A11,'FCPIS F'!$C$6:$C$110,'PIS F'!$B11)*1000</f>
        <v>0</v>
      </c>
      <c r="Q11" s="17"/>
      <c r="R11" s="22">
        <f>SUMIFS('FCPIS F'!$T$234:$T$340,'FCPIS F'!$B$234:$B$340,'PIS F'!$A11,'FCPIS F'!$C$234:$C$340,'PIS F'!$B11)*-1000</f>
        <v>0</v>
      </c>
      <c r="S11" s="20"/>
      <c r="T11" s="22">
        <f>P11+R11</f>
        <v>0</v>
      </c>
      <c r="V11" s="13"/>
      <c r="W11" s="21"/>
      <c r="X11" s="22">
        <f t="shared" ref="X11:X27" si="2">R11+V11</f>
        <v>0</v>
      </c>
      <c r="Y11" s="17">
        <f>SUMIFS('FCPIS F'!$R$6:$R$110,'FCPIS F'!$B$6:$B$110,'PIS F'!$A11,'FCPIS F'!$C$6:$C$110,'PIS F'!$B11)*1000</f>
        <v>0</v>
      </c>
      <c r="Z11" s="17">
        <f t="shared" ref="Z11:Z26" si="3">Y11-N11</f>
        <v>0</v>
      </c>
    </row>
    <row r="12" spans="1:26">
      <c r="A12" s="2" t="s">
        <v>545</v>
      </c>
      <c r="B12" s="2" t="str">
        <f>MID(C12,2,3)</f>
        <v>374</v>
      </c>
      <c r="C12" s="100" t="s">
        <v>548</v>
      </c>
      <c r="D12" s="17">
        <f>SUMIFS('FCPIS F'!$F$6:$F$110,'FCPIS F'!$B$6:$B$110,'PIS F'!$A12,'FCPIS F'!$C$6:$C$110,'PIS F'!$B12)*1000</f>
        <v>134496.91</v>
      </c>
      <c r="E12" s="21"/>
      <c r="F12" s="17">
        <f>SUMIFS('FCPIS F'!$S$113:$S$184,'FCPIS F'!$B$113:$B$184,'PIS F'!$A12,'FCPIS F'!$C$113:$C$184,'PIS F'!$B12)*1000</f>
        <v>0</v>
      </c>
      <c r="G12" s="21"/>
      <c r="H12" s="17">
        <f>SUMIFS('FCPIS F'!$S$187:$S$231,'FCPIS F'!$B$187:$B$231,'PIS F'!$A12,'FCPIS F'!$C$187:$C$231,'PIS F'!$B12)*-1000</f>
        <v>0</v>
      </c>
      <c r="I12" s="21"/>
      <c r="J12" s="17">
        <f>SUMIFS('FCPIS F'!$S$323:$S$342,'FCPIS F'!$B$323:$B$342,'PIS B'!$A12,'FCPIS F'!$C$323:$C$342,'PIS B'!$B12)*1000</f>
        <v>0</v>
      </c>
      <c r="K12" s="21"/>
      <c r="L12" s="17">
        <f t="shared" si="0"/>
        <v>0</v>
      </c>
      <c r="M12" s="21"/>
      <c r="N12" s="17">
        <f t="shared" si="1"/>
        <v>134496.91</v>
      </c>
      <c r="O12" s="21"/>
      <c r="P12" s="17">
        <f>SUMIFS('FCPIS F'!$T$6:$T$110,'FCPIS F'!$B$6:$B$110,'PIS F'!$A12,'FCPIS F'!$C$6:$C$110,'PIS F'!$B12)*1000</f>
        <v>134496.91000000003</v>
      </c>
      <c r="Q12" s="17"/>
      <c r="R12" s="22">
        <f>SUMIFS('FCPIS F'!$T$234:$T$340,'FCPIS F'!$B$234:$B$340,'PIS F'!$A12,'FCPIS F'!$C$234:$C$340,'PIS F'!$B12)*-1000</f>
        <v>-77439.690000000017</v>
      </c>
      <c r="S12" s="20"/>
      <c r="T12" s="22">
        <f t="shared" ref="T12:T26" si="4">P12+R12</f>
        <v>57057.220000000016</v>
      </c>
      <c r="V12" s="13">
        <f t="shared" ref="V12:V26" si="5">F12/F$27*V$27</f>
        <v>0</v>
      </c>
      <c r="W12" s="21"/>
      <c r="X12" s="22">
        <f t="shared" si="2"/>
        <v>-77439.690000000017</v>
      </c>
      <c r="Y12" s="17">
        <f>SUMIFS('FCPIS F'!$R$6:$R$110,'FCPIS F'!$B$6:$B$110,'PIS F'!$A12,'FCPIS F'!$C$6:$C$110,'PIS F'!$B12)*1000</f>
        <v>134496.91</v>
      </c>
      <c r="Z12" s="17">
        <f t="shared" si="3"/>
        <v>0</v>
      </c>
    </row>
    <row r="13" spans="1:26">
      <c r="A13" s="2" t="s">
        <v>545</v>
      </c>
      <c r="C13" s="100" t="s">
        <v>549</v>
      </c>
      <c r="D13" s="17">
        <f>SUMIFS('FCPIS F'!$F$6:$F$110,'FCPIS F'!$B$6:$B$110,'PIS F'!$A13,'FCPIS F'!$C$6:$C$110,'PIS F'!$B13)*1000</f>
        <v>0</v>
      </c>
      <c r="E13" s="21"/>
      <c r="F13" s="17">
        <f>SUMIFS('FCPIS F'!$S$113:$S$184,'FCPIS F'!$B$113:$B$184,'PIS F'!$A13,'FCPIS F'!$C$113:$C$184,'PIS F'!$B13)*1000</f>
        <v>0</v>
      </c>
      <c r="G13" s="21"/>
      <c r="H13" s="17">
        <f>SUMIFS('FCPIS F'!$S$187:$S$231,'FCPIS F'!$B$187:$B$231,'PIS F'!$A13,'FCPIS F'!$C$187:$C$231,'PIS F'!$B13)*-1000</f>
        <v>0</v>
      </c>
      <c r="I13" s="21"/>
      <c r="J13" s="17">
        <f>SUMIFS('FCPIS F'!$S$323:$S$342,'FCPIS F'!$B$323:$B$342,'PIS B'!$A13,'FCPIS F'!$C$323:$C$342,'PIS B'!$B13)*1000</f>
        <v>0</v>
      </c>
      <c r="K13" s="21"/>
      <c r="L13" s="17">
        <f t="shared" si="0"/>
        <v>0</v>
      </c>
      <c r="M13" s="21"/>
      <c r="N13" s="17">
        <f t="shared" si="1"/>
        <v>0</v>
      </c>
      <c r="O13" s="21"/>
      <c r="P13" s="17">
        <f>SUMIFS('FCPIS F'!$T$6:$T$110,'FCPIS F'!$B$6:$B$110,'PIS F'!$A13,'FCPIS F'!$C$6:$C$110,'PIS F'!$B13)*1000</f>
        <v>0</v>
      </c>
      <c r="Q13" s="17"/>
      <c r="R13" s="22">
        <f>SUMIFS('FCPIS F'!$T$234:$T$340,'FCPIS F'!$B$234:$B$340,'PIS F'!$A13,'FCPIS F'!$C$234:$C$340,'PIS F'!$B13)*-1000</f>
        <v>0</v>
      </c>
      <c r="S13" s="20"/>
      <c r="T13" s="22">
        <f t="shared" si="4"/>
        <v>0</v>
      </c>
      <c r="V13" s="13">
        <f t="shared" si="5"/>
        <v>0</v>
      </c>
      <c r="W13" s="21"/>
      <c r="X13" s="22">
        <f t="shared" si="2"/>
        <v>0</v>
      </c>
      <c r="Y13" s="17">
        <f>SUMIFS('FCPIS F'!$R$6:$R$110,'FCPIS F'!$B$6:$B$110,'PIS F'!$A13,'FCPIS F'!$C$6:$C$110,'PIS F'!$B13)*1000</f>
        <v>0</v>
      </c>
      <c r="Z13" s="17">
        <f t="shared" si="3"/>
        <v>0</v>
      </c>
    </row>
    <row r="14" spans="1:26">
      <c r="A14" s="2" t="s">
        <v>545</v>
      </c>
      <c r="B14" s="2" t="str">
        <f t="shared" ref="B14:B26" si="6">MID(C14,2,3)</f>
        <v>375</v>
      </c>
      <c r="C14" s="100" t="s">
        <v>550</v>
      </c>
      <c r="D14" s="17">
        <f>SUMIFS('FCPIS F'!$F$6:$F$110,'FCPIS F'!$B$6:$B$110,'PIS F'!$A14,'FCPIS F'!$C$6:$C$110,'PIS F'!$B14)*1000</f>
        <v>1155812.43</v>
      </c>
      <c r="E14" s="21"/>
      <c r="F14" s="17">
        <f>SUMIFS('FCPIS F'!$S$113:$S$184,'FCPIS F'!$B$113:$B$184,'PIS F'!$A14,'FCPIS F'!$C$113:$C$184,'PIS F'!$B14)*1000</f>
        <v>0</v>
      </c>
      <c r="G14" s="21"/>
      <c r="H14" s="17">
        <f>SUMIFS('FCPIS F'!$S$187:$S$231,'FCPIS F'!$B$187:$B$231,'PIS F'!$A14,'FCPIS F'!$C$187:$C$231,'PIS F'!$B14)*-1000</f>
        <v>0</v>
      </c>
      <c r="I14" s="21"/>
      <c r="J14" s="17">
        <f>SUMIFS('FCPIS F'!$S$323:$S$342,'FCPIS F'!$B$323:$B$342,'PIS B'!$A14,'FCPIS F'!$C$323:$C$342,'PIS B'!$B14)*1000</f>
        <v>0</v>
      </c>
      <c r="K14" s="21"/>
      <c r="L14" s="17">
        <f t="shared" si="0"/>
        <v>0</v>
      </c>
      <c r="M14" s="21"/>
      <c r="N14" s="17">
        <f t="shared" si="1"/>
        <v>1155812.43</v>
      </c>
      <c r="O14" s="21"/>
      <c r="P14" s="17">
        <f>SUMIFS('FCPIS F'!$T$6:$T$110,'FCPIS F'!$B$6:$B$110,'PIS F'!$A14,'FCPIS F'!$C$6:$C$110,'PIS F'!$B14)*1000</f>
        <v>1155812.43</v>
      </c>
      <c r="Q14" s="17"/>
      <c r="R14" s="22">
        <f>SUMIFS('FCPIS F'!$T$234:$T$340,'FCPIS F'!$B$234:$B$340,'PIS F'!$A14,'FCPIS F'!$C$234:$C$340,'PIS F'!$B14)*-1000</f>
        <v>-399755.85730669997</v>
      </c>
      <c r="S14" s="20"/>
      <c r="T14" s="22">
        <f t="shared" si="4"/>
        <v>756056.57269329997</v>
      </c>
      <c r="V14" s="13">
        <f t="shared" si="5"/>
        <v>0</v>
      </c>
      <c r="W14" s="21"/>
      <c r="X14" s="22">
        <f t="shared" si="2"/>
        <v>-399755.85730669997</v>
      </c>
      <c r="Y14" s="17">
        <f>SUMIFS('FCPIS F'!$R$6:$R$110,'FCPIS F'!$B$6:$B$110,'PIS F'!$A14,'FCPIS F'!$C$6:$C$110,'PIS F'!$B14)*1000</f>
        <v>1155812.43</v>
      </c>
      <c r="Z14" s="17">
        <f t="shared" si="3"/>
        <v>0</v>
      </c>
    </row>
    <row r="15" spans="1:26">
      <c r="A15" s="2" t="s">
        <v>545</v>
      </c>
      <c r="B15" s="2" t="str">
        <f t="shared" si="6"/>
        <v>376</v>
      </c>
      <c r="C15" s="100" t="s">
        <v>551</v>
      </c>
      <c r="D15" s="17">
        <f>SUMIFS('FCPIS F'!$F$6:$F$110,'FCPIS F'!$B$6:$B$110,'PIS F'!$A15,'FCPIS F'!$C$6:$C$110,'PIS F'!$B15)*1000</f>
        <v>424883483.97999883</v>
      </c>
      <c r="E15" s="21"/>
      <c r="F15" s="17">
        <f>SUMIFS('FCPIS F'!$S$113:$S$184,'FCPIS F'!$B$113:$B$184,'PIS F'!$A15,'FCPIS F'!$C$113:$C$184,'PIS F'!$B15)*1000</f>
        <v>18721447.890000001</v>
      </c>
      <c r="G15" s="21"/>
      <c r="H15" s="17">
        <f>SUMIFS('FCPIS F'!$S$187:$S$231,'FCPIS F'!$B$187:$B$231,'PIS F'!$A15,'FCPIS F'!$C$187:$C$231,'PIS F'!$B15)*-1000</f>
        <v>-2188389</v>
      </c>
      <c r="I15" s="21"/>
      <c r="J15" s="17">
        <f>SUMIFS('FCPIS F'!$S$323:$S$342,'FCPIS F'!$B$323:$B$342,'PIS B'!$A15,'FCPIS F'!$C$323:$C$342,'PIS B'!$B15)*1000</f>
        <v>0</v>
      </c>
      <c r="K15" s="21"/>
      <c r="L15" s="17">
        <f t="shared" si="0"/>
        <v>16533058.890000001</v>
      </c>
      <c r="M15" s="21"/>
      <c r="N15" s="17">
        <f t="shared" si="1"/>
        <v>441416542.86999881</v>
      </c>
      <c r="O15" s="21"/>
      <c r="P15" s="17">
        <f>SUMIFS('FCPIS F'!$T$6:$T$110,'FCPIS F'!$B$6:$B$110,'PIS F'!$A15,'FCPIS F'!$C$6:$C$110,'PIS F'!$B15)*1000</f>
        <v>433952491.66153789</v>
      </c>
      <c r="Q15" s="17"/>
      <c r="R15" s="22">
        <f>SUMIFS('FCPIS F'!$T$234:$T$340,'FCPIS F'!$B$234:$B$340,'PIS F'!$A15,'FCPIS F'!$C$234:$C$340,'PIS F'!$B15)*-1000</f>
        <v>-132728708.77467044</v>
      </c>
      <c r="S15" s="20"/>
      <c r="T15" s="22">
        <f t="shared" si="4"/>
        <v>301223782.88686746</v>
      </c>
      <c r="V15" s="13">
        <f t="shared" si="5"/>
        <v>15186.458190755558</v>
      </c>
      <c r="W15" s="21"/>
      <c r="X15" s="22">
        <f t="shared" si="2"/>
        <v>-132713522.31647968</v>
      </c>
      <c r="Y15" s="17">
        <f>SUMIFS('FCPIS F'!$R$6:$R$110,'FCPIS F'!$B$6:$B$110,'PIS F'!$A15,'FCPIS F'!$C$6:$C$110,'PIS F'!$B15)*1000</f>
        <v>441416542.86999887</v>
      </c>
      <c r="Z15" s="17">
        <f t="shared" si="3"/>
        <v>0</v>
      </c>
    </row>
    <row r="16" spans="1:26">
      <c r="A16" s="2" t="s">
        <v>545</v>
      </c>
      <c r="C16" s="100" t="s">
        <v>552</v>
      </c>
      <c r="D16" s="17">
        <f>SUMIFS('FCPIS F'!$F$6:$F$110,'FCPIS F'!$B$6:$B$110,'PIS F'!$A16,'FCPIS F'!$C$6:$C$110,'PIS F'!$B16)*1000</f>
        <v>0</v>
      </c>
      <c r="E16" s="21"/>
      <c r="F16" s="17">
        <f>SUMIFS('FCPIS F'!$S$113:$S$184,'FCPIS F'!$B$113:$B$184,'PIS F'!$A16,'FCPIS F'!$C$113:$C$184,'PIS F'!$B16)*1000</f>
        <v>0</v>
      </c>
      <c r="G16" s="21"/>
      <c r="H16" s="17">
        <f>SUMIFS('FCPIS F'!$S$187:$S$231,'FCPIS F'!$B$187:$B$231,'PIS F'!$A16,'FCPIS F'!$C$187:$C$231,'PIS F'!$B16)*-1000</f>
        <v>0</v>
      </c>
      <c r="I16" s="21"/>
      <c r="J16" s="17">
        <f>SUMIFS('FCPIS F'!$S$323:$S$342,'FCPIS F'!$B$323:$B$342,'PIS B'!$A16,'FCPIS F'!$C$323:$C$342,'PIS B'!$B16)*1000</f>
        <v>0</v>
      </c>
      <c r="K16" s="21"/>
      <c r="L16" s="17">
        <f t="shared" si="0"/>
        <v>0</v>
      </c>
      <c r="M16" s="21"/>
      <c r="N16" s="17">
        <f t="shared" si="1"/>
        <v>0</v>
      </c>
      <c r="O16" s="21"/>
      <c r="P16" s="17">
        <f>SUMIFS('FCPIS F'!$T$6:$T$110,'FCPIS F'!$B$6:$B$110,'PIS F'!$A16,'FCPIS F'!$C$6:$C$110,'PIS F'!$B16)*1000</f>
        <v>0</v>
      </c>
      <c r="Q16" s="17"/>
      <c r="R16" s="22">
        <f>SUMIFS('FCPIS F'!$T$234:$T$340,'FCPIS F'!$B$234:$B$340,'PIS F'!$A16,'FCPIS F'!$C$234:$C$340,'PIS F'!$B16)*-1000</f>
        <v>0</v>
      </c>
      <c r="S16" s="20"/>
      <c r="T16" s="22">
        <f t="shared" si="4"/>
        <v>0</v>
      </c>
      <c r="V16" s="13">
        <f t="shared" si="5"/>
        <v>0</v>
      </c>
      <c r="W16" s="21"/>
      <c r="X16" s="22">
        <f t="shared" si="2"/>
        <v>0</v>
      </c>
      <c r="Y16" s="17">
        <f>SUMIFS('FCPIS F'!$R$6:$R$110,'FCPIS F'!$B$6:$B$110,'PIS F'!$A16,'FCPIS F'!$C$6:$C$110,'PIS F'!$B16)*1000</f>
        <v>0</v>
      </c>
      <c r="Z16" s="17">
        <f t="shared" si="3"/>
        <v>0</v>
      </c>
    </row>
    <row r="17" spans="1:26">
      <c r="A17" s="2" t="s">
        <v>545</v>
      </c>
      <c r="B17" s="2" t="str">
        <f t="shared" si="6"/>
        <v>378</v>
      </c>
      <c r="C17" s="100" t="s">
        <v>553</v>
      </c>
      <c r="D17" s="17">
        <f>SUMIFS('FCPIS F'!$F$6:$F$110,'FCPIS F'!$B$6:$B$110,'PIS F'!$A17,'FCPIS F'!$C$6:$C$110,'PIS F'!$B17)*1000</f>
        <v>23221099.669999998</v>
      </c>
      <c r="E17" s="21"/>
      <c r="F17" s="17">
        <f>SUMIFS('FCPIS F'!$S$113:$S$184,'FCPIS F'!$B$113:$B$184,'PIS F'!$A17,'FCPIS F'!$C$113:$C$184,'PIS F'!$B17)*1000</f>
        <v>1238297.78</v>
      </c>
      <c r="G17" s="21"/>
      <c r="H17" s="17">
        <f>SUMIFS('FCPIS F'!$S$187:$S$231,'FCPIS F'!$B$187:$B$231,'PIS F'!$A17,'FCPIS F'!$C$187:$C$231,'PIS F'!$B17)*-1000</f>
        <v>0</v>
      </c>
      <c r="I17" s="21"/>
      <c r="J17" s="17">
        <f>SUMIFS('FCPIS F'!$S$323:$S$342,'FCPIS F'!$B$323:$B$342,'PIS B'!$A17,'FCPIS F'!$C$323:$C$342,'PIS B'!$B17)*1000</f>
        <v>0</v>
      </c>
      <c r="K17" s="21"/>
      <c r="L17" s="17">
        <f t="shared" si="0"/>
        <v>1238297.78</v>
      </c>
      <c r="M17" s="21"/>
      <c r="N17" s="17">
        <f t="shared" si="1"/>
        <v>24459397.449999999</v>
      </c>
      <c r="O17" s="21"/>
      <c r="P17" s="17">
        <f>SUMIFS('FCPIS F'!$T$6:$T$110,'FCPIS F'!$B$6:$B$110,'PIS F'!$A17,'FCPIS F'!$C$6:$C$110,'PIS F'!$B17)*1000</f>
        <v>23937001.877692293</v>
      </c>
      <c r="Q17" s="17"/>
      <c r="R17" s="22">
        <f>SUMIFS('FCPIS F'!$T$234:$T$340,'FCPIS F'!$B$234:$B$340,'PIS F'!$A17,'FCPIS F'!$C$234:$C$340,'PIS F'!$B17)*-1000</f>
        <v>-2938682.5772010759</v>
      </c>
      <c r="S17" s="20"/>
      <c r="T17" s="22">
        <f t="shared" si="4"/>
        <v>20998319.300491218</v>
      </c>
      <c r="V17" s="13">
        <f t="shared" si="5"/>
        <v>1004.4820023626617</v>
      </c>
      <c r="W17" s="21"/>
      <c r="X17" s="22">
        <f t="shared" si="2"/>
        <v>-2937678.0951987132</v>
      </c>
      <c r="Y17" s="17">
        <f>SUMIFS('FCPIS F'!$R$6:$R$110,'FCPIS F'!$B$6:$B$110,'PIS F'!$A17,'FCPIS F'!$C$6:$C$110,'PIS F'!$B17)*1000</f>
        <v>24459397.449999999</v>
      </c>
      <c r="Z17" s="17">
        <f t="shared" si="3"/>
        <v>0</v>
      </c>
    </row>
    <row r="18" spans="1:26">
      <c r="A18" s="2" t="s">
        <v>545</v>
      </c>
      <c r="B18" s="2" t="str">
        <f t="shared" si="6"/>
        <v>379</v>
      </c>
      <c r="C18" s="100" t="s">
        <v>554</v>
      </c>
      <c r="D18" s="17">
        <f>SUMIFS('FCPIS F'!$F$6:$F$110,'FCPIS F'!$B$6:$B$110,'PIS F'!$A18,'FCPIS F'!$C$6:$C$110,'PIS F'!$B18)*1000</f>
        <v>12163394.8799999</v>
      </c>
      <c r="E18" s="21"/>
      <c r="F18" s="17">
        <f>SUMIFS('FCPIS F'!$S$113:$S$184,'FCPIS F'!$B$113:$B$184,'PIS F'!$A18,'FCPIS F'!$C$113:$C$184,'PIS F'!$B18)*1000</f>
        <v>344416.22000000003</v>
      </c>
      <c r="G18" s="21"/>
      <c r="H18" s="17">
        <f>SUMIFS('FCPIS F'!$S$187:$S$231,'FCPIS F'!$B$187:$B$231,'PIS F'!$A18,'FCPIS F'!$C$187:$C$231,'PIS F'!$B18)*-1000</f>
        <v>0</v>
      </c>
      <c r="I18" s="21"/>
      <c r="J18" s="17">
        <f>SUMIFS('FCPIS F'!$S$323:$S$342,'FCPIS F'!$B$323:$B$342,'PIS B'!$A18,'FCPIS F'!$C$323:$C$342,'PIS B'!$B18)*1000</f>
        <v>0</v>
      </c>
      <c r="K18" s="21"/>
      <c r="L18" s="17">
        <f t="shared" si="0"/>
        <v>344416.22000000003</v>
      </c>
      <c r="M18" s="21"/>
      <c r="N18" s="17">
        <f t="shared" si="1"/>
        <v>12507811.099999901</v>
      </c>
      <c r="O18" s="21"/>
      <c r="P18" s="17">
        <f>SUMIFS('FCPIS F'!$T$6:$T$110,'FCPIS F'!$B$6:$B$110,'PIS F'!$A18,'FCPIS F'!$C$6:$C$110,'PIS F'!$B18)*1000</f>
        <v>12352332.667692207</v>
      </c>
      <c r="Q18" s="17"/>
      <c r="R18" s="22">
        <f>SUMIFS('FCPIS F'!$T$234:$T$340,'FCPIS F'!$B$234:$B$340,'PIS F'!$A18,'FCPIS F'!$C$234:$C$340,'PIS F'!$B18)*-1000</f>
        <v>-1605332.9729076673</v>
      </c>
      <c r="S18" s="20"/>
      <c r="T18" s="22">
        <f t="shared" si="4"/>
        <v>10746999.694784539</v>
      </c>
      <c r="V18" s="13">
        <f t="shared" si="5"/>
        <v>279.38344063879288</v>
      </c>
      <c r="W18" s="21"/>
      <c r="X18" s="22">
        <f t="shared" si="2"/>
        <v>-1605053.5894670284</v>
      </c>
      <c r="Y18" s="17">
        <f>SUMIFS('FCPIS F'!$R$6:$R$110,'FCPIS F'!$B$6:$B$110,'PIS F'!$A18,'FCPIS F'!$C$6:$C$110,'PIS F'!$B18)*1000</f>
        <v>12507811.099999901</v>
      </c>
      <c r="Z18" s="17">
        <f t="shared" si="3"/>
        <v>0</v>
      </c>
    </row>
    <row r="19" spans="1:26">
      <c r="A19" s="2" t="s">
        <v>545</v>
      </c>
      <c r="B19" s="2" t="str">
        <f t="shared" si="6"/>
        <v>380</v>
      </c>
      <c r="C19" s="100" t="s">
        <v>555</v>
      </c>
      <c r="D19" s="17">
        <f>SUMIFS('FCPIS F'!$F$6:$F$110,'FCPIS F'!$B$6:$B$110,'PIS F'!$A19,'FCPIS F'!$C$6:$C$110,'PIS F'!$B19)*1000</f>
        <v>373592408.90999901</v>
      </c>
      <c r="E19" s="21"/>
      <c r="F19" s="17">
        <f>SUMIFS('FCPIS F'!$S$113:$S$184,'FCPIS F'!$B$113:$B$184,'PIS F'!$A19,'FCPIS F'!$C$113:$C$184,'PIS F'!$B19)*1000</f>
        <v>26740623.099999968</v>
      </c>
      <c r="G19" s="21"/>
      <c r="H19" s="17">
        <f>SUMIFS('FCPIS F'!$S$187:$S$231,'FCPIS F'!$B$187:$B$231,'PIS F'!$A19,'FCPIS F'!$C$187:$C$231,'PIS F'!$B19)*-1000</f>
        <v>-3375560.46</v>
      </c>
      <c r="I19" s="21"/>
      <c r="J19" s="17">
        <f>SUMIFS('FCPIS F'!$S$323:$S$342,'FCPIS F'!$B$323:$B$342,'PIS B'!$A19,'FCPIS F'!$C$323:$C$342,'PIS B'!$B19)*1000</f>
        <v>0</v>
      </c>
      <c r="K19" s="21"/>
      <c r="L19" s="17">
        <f t="shared" si="0"/>
        <v>23365062.639999967</v>
      </c>
      <c r="M19" s="21"/>
      <c r="N19" s="17">
        <f t="shared" si="1"/>
        <v>396957471.549999</v>
      </c>
      <c r="O19" s="21"/>
      <c r="P19" s="17">
        <f>SUMIFS('FCPIS F'!$T$6:$T$110,'FCPIS F'!$B$6:$B$110,'PIS F'!$A19,'FCPIS F'!$C$6:$C$110,'PIS F'!$B19)*1000</f>
        <v>388885418.28153831</v>
      </c>
      <c r="Q19" s="17"/>
      <c r="R19" s="22">
        <f>SUMIFS('FCPIS F'!$T$234:$T$340,'FCPIS F'!$B$234:$B$340,'PIS F'!$A19,'FCPIS F'!$C$234:$C$340,'PIS F'!$B19)*-1000</f>
        <v>-111954870.20069699</v>
      </c>
      <c r="S19" s="20"/>
      <c r="T19" s="22">
        <f t="shared" si="4"/>
        <v>276930548.0808413</v>
      </c>
      <c r="V19" s="13">
        <f t="shared" si="5"/>
        <v>21691.450206680667</v>
      </c>
      <c r="W19" s="21"/>
      <c r="X19" s="22">
        <f t="shared" si="2"/>
        <v>-111933178.75049031</v>
      </c>
      <c r="Y19" s="17">
        <f>SUMIFS('FCPIS F'!$R$6:$R$110,'FCPIS F'!$B$6:$B$110,'PIS F'!$A19,'FCPIS F'!$C$6:$C$110,'PIS F'!$B19)*1000</f>
        <v>396957471.55000001</v>
      </c>
      <c r="Z19" s="17">
        <f t="shared" si="3"/>
        <v>1.0132789611816406E-6</v>
      </c>
    </row>
    <row r="20" spans="1:26">
      <c r="A20" s="2" t="s">
        <v>545</v>
      </c>
      <c r="C20" s="100" t="s">
        <v>556</v>
      </c>
      <c r="D20" s="17">
        <f>SUMIFS('FCPIS F'!$F$6:$F$110,'FCPIS F'!$B$6:$B$110,'PIS F'!$A20,'FCPIS F'!$C$6:$C$110,'PIS F'!$B20)*1000</f>
        <v>0</v>
      </c>
      <c r="E20" s="21"/>
      <c r="F20" s="17">
        <f>SUMIFS('FCPIS F'!$S$113:$S$184,'FCPIS F'!$B$113:$B$184,'PIS F'!$A20,'FCPIS F'!$C$113:$C$184,'PIS F'!$B20)*1000</f>
        <v>0</v>
      </c>
      <c r="G20" s="21"/>
      <c r="H20" s="17">
        <f>SUMIFS('FCPIS F'!$S$187:$S$231,'FCPIS F'!$B$187:$B$231,'PIS F'!$A20,'FCPIS F'!$C$187:$C$231,'PIS F'!$B20)*-1000</f>
        <v>0</v>
      </c>
      <c r="I20" s="21"/>
      <c r="J20" s="17">
        <f>SUMIFS('FCPIS F'!$S$323:$S$342,'FCPIS F'!$B$323:$B$342,'PIS B'!$A20,'FCPIS F'!$C$323:$C$342,'PIS B'!$B20)*1000</f>
        <v>0</v>
      </c>
      <c r="K20" s="21"/>
      <c r="L20" s="17">
        <f t="shared" si="0"/>
        <v>0</v>
      </c>
      <c r="M20" s="21"/>
      <c r="N20" s="17">
        <f t="shared" si="1"/>
        <v>0</v>
      </c>
      <c r="O20" s="21"/>
      <c r="P20" s="17">
        <f>SUMIFS('FCPIS F'!$T$6:$T$110,'FCPIS F'!$B$6:$B$110,'PIS F'!$A20,'FCPIS F'!$C$6:$C$110,'PIS F'!$B20)*1000</f>
        <v>0</v>
      </c>
      <c r="Q20" s="17"/>
      <c r="R20" s="22">
        <f>SUMIFS('FCPIS F'!$T$234:$T$340,'FCPIS F'!$B$234:$B$340,'PIS F'!$A20,'FCPIS F'!$C$234:$C$340,'PIS F'!$B20)*-1000</f>
        <v>0</v>
      </c>
      <c r="S20" s="20"/>
      <c r="T20" s="22">
        <f t="shared" si="4"/>
        <v>0</v>
      </c>
      <c r="V20" s="13">
        <f t="shared" si="5"/>
        <v>0</v>
      </c>
      <c r="W20" s="21"/>
      <c r="X20" s="22">
        <f t="shared" si="2"/>
        <v>0</v>
      </c>
      <c r="Y20" s="17">
        <f>SUMIFS('FCPIS F'!$R$6:$R$110,'FCPIS F'!$B$6:$B$110,'PIS F'!$A20,'FCPIS F'!$C$6:$C$110,'PIS F'!$B20)*1000</f>
        <v>0</v>
      </c>
      <c r="Z20" s="17">
        <f t="shared" si="3"/>
        <v>0</v>
      </c>
    </row>
    <row r="21" spans="1:26">
      <c r="A21" s="2" t="s">
        <v>545</v>
      </c>
      <c r="B21" s="2" t="str">
        <f t="shared" si="6"/>
        <v>381</v>
      </c>
      <c r="C21" s="100" t="s">
        <v>557</v>
      </c>
      <c r="D21" s="17">
        <f>SUMIFS('FCPIS F'!$F$6:$F$110,'FCPIS F'!$B$6:$B$110,'PIS F'!$A21,'FCPIS F'!$C$6:$C$110,'PIS F'!$B21)*1000</f>
        <v>52284127.509999894</v>
      </c>
      <c r="E21" s="21"/>
      <c r="F21" s="17">
        <f>SUMIFS('FCPIS F'!$S$113:$S$184,'FCPIS F'!$B$113:$B$184,'PIS F'!$A21,'FCPIS F'!$C$113:$C$184,'PIS F'!$B21)*1000</f>
        <v>12200094.82</v>
      </c>
      <c r="G21" s="21"/>
      <c r="H21" s="17">
        <f>SUMIFS('FCPIS F'!$S$187:$S$231,'FCPIS F'!$B$187:$B$231,'PIS F'!$A21,'FCPIS F'!$C$187:$C$231,'PIS F'!$B21)*-1000</f>
        <v>0</v>
      </c>
      <c r="I21" s="21"/>
      <c r="J21" s="17">
        <f>SUMIFS('FCPIS F'!$S$323:$S$342,'FCPIS F'!$B$323:$B$342,'PIS B'!$A21,'FCPIS F'!$C$323:$C$342,'PIS B'!$B21)*1000</f>
        <v>0</v>
      </c>
      <c r="K21" s="21"/>
      <c r="L21" s="17">
        <f t="shared" si="0"/>
        <v>12200094.82</v>
      </c>
      <c r="M21" s="21"/>
      <c r="N21" s="17">
        <f t="shared" si="1"/>
        <v>64484222.329999894</v>
      </c>
      <c r="O21" s="21"/>
      <c r="P21" s="17">
        <f>SUMIFS('FCPIS F'!$T$6:$T$110,'FCPIS F'!$B$6:$B$110,'PIS F'!$A21,'FCPIS F'!$C$6:$C$110,'PIS F'!$B21)*1000</f>
        <v>57176384.306923017</v>
      </c>
      <c r="Q21" s="17"/>
      <c r="R21" s="22">
        <f>SUMIFS('FCPIS F'!$T$234:$T$340,'FCPIS F'!$B$234:$B$340,'PIS F'!$A21,'FCPIS F'!$C$234:$C$340,'PIS F'!$B21)*-1000</f>
        <v>-15770872.147777693</v>
      </c>
      <c r="S21" s="20"/>
      <c r="T21" s="22">
        <f t="shared" si="4"/>
        <v>41405512.159145325</v>
      </c>
      <c r="V21" s="13">
        <f t="shared" si="5"/>
        <v>9896.4690656297025</v>
      </c>
      <c r="W21" s="21"/>
      <c r="X21" s="22">
        <f t="shared" si="2"/>
        <v>-15760975.678712064</v>
      </c>
      <c r="Y21" s="17">
        <f>SUMIFS('FCPIS F'!$R$6:$R$110,'FCPIS F'!$B$6:$B$110,'PIS F'!$A21,'FCPIS F'!$C$6:$C$110,'PIS F'!$B21)*1000</f>
        <v>64484222.329999998</v>
      </c>
      <c r="Z21" s="17">
        <f t="shared" si="3"/>
        <v>1.0430812835693359E-7</v>
      </c>
    </row>
    <row r="22" spans="1:26">
      <c r="A22" s="2" t="s">
        <v>545</v>
      </c>
      <c r="B22" s="2" t="str">
        <f t="shared" si="6"/>
        <v>383</v>
      </c>
      <c r="C22" s="100" t="s">
        <v>558</v>
      </c>
      <c r="D22" s="17">
        <f>SUMIFS('FCPIS F'!$F$6:$F$110,'FCPIS F'!$B$6:$B$110,'PIS F'!$A22,'FCPIS F'!$C$6:$C$110,'PIS F'!$B22)*1000</f>
        <v>25550379.959999997</v>
      </c>
      <c r="E22" s="21"/>
      <c r="F22" s="17">
        <f>SUMIFS('FCPIS F'!$S$113:$S$184,'FCPIS F'!$B$113:$B$184,'PIS F'!$A22,'FCPIS F'!$C$113:$C$184,'PIS F'!$B22)*1000</f>
        <v>0</v>
      </c>
      <c r="G22" s="21"/>
      <c r="H22" s="17">
        <f>SUMIFS('FCPIS F'!$S$187:$S$231,'FCPIS F'!$B$187:$B$231,'PIS F'!$A22,'FCPIS F'!$C$187:$C$231,'PIS F'!$B22)*-1000</f>
        <v>0</v>
      </c>
      <c r="I22" s="21"/>
      <c r="J22" s="17">
        <f>SUMIFS('FCPIS F'!$S$323:$S$342,'FCPIS F'!$B$323:$B$342,'PIS B'!$A22,'FCPIS F'!$C$323:$C$342,'PIS B'!$B22)*1000</f>
        <v>0</v>
      </c>
      <c r="K22" s="21"/>
      <c r="L22" s="17">
        <f t="shared" si="0"/>
        <v>0</v>
      </c>
      <c r="M22" s="21"/>
      <c r="N22" s="17">
        <f t="shared" si="1"/>
        <v>25550379.959999997</v>
      </c>
      <c r="O22" s="21"/>
      <c r="P22" s="17">
        <f>SUMIFS('FCPIS F'!$T$6:$T$110,'FCPIS F'!$B$6:$B$110,'PIS F'!$A22,'FCPIS F'!$C$6:$C$110,'PIS F'!$B22)*1000</f>
        <v>25550379.959999993</v>
      </c>
      <c r="Q22" s="17"/>
      <c r="R22" s="22">
        <f>SUMIFS('FCPIS F'!$T$234:$T$340,'FCPIS F'!$B$234:$B$340,'PIS F'!$A22,'FCPIS F'!$C$234:$C$340,'PIS F'!$B22)*-1000</f>
        <v>-5646485.5953399986</v>
      </c>
      <c r="S22" s="20"/>
      <c r="T22" s="22">
        <f t="shared" si="4"/>
        <v>19903894.364659995</v>
      </c>
      <c r="V22" s="13">
        <f t="shared" si="5"/>
        <v>0</v>
      </c>
      <c r="W22" s="21"/>
      <c r="X22" s="22">
        <f t="shared" si="2"/>
        <v>-5646485.5953399986</v>
      </c>
      <c r="Y22" s="17">
        <f>SUMIFS('FCPIS F'!$R$6:$R$110,'FCPIS F'!$B$6:$B$110,'PIS F'!$A22,'FCPIS F'!$C$6:$C$110,'PIS F'!$B22)*1000</f>
        <v>25550379.959999997</v>
      </c>
      <c r="Z22" s="17">
        <f t="shared" si="3"/>
        <v>0</v>
      </c>
    </row>
    <row r="23" spans="1:26">
      <c r="A23" s="2" t="s">
        <v>545</v>
      </c>
      <c r="B23" s="2" t="str">
        <f t="shared" si="6"/>
        <v>385</v>
      </c>
      <c r="C23" s="100" t="s">
        <v>559</v>
      </c>
      <c r="D23" s="17">
        <f>SUMIFS('FCPIS F'!$F$6:$F$110,'FCPIS F'!$B$6:$B$110,'PIS F'!$A23,'FCPIS F'!$C$6:$C$110,'PIS F'!$B23)*1000</f>
        <v>1776737.5899999999</v>
      </c>
      <c r="E23" s="21"/>
      <c r="F23" s="17">
        <f>SUMIFS('FCPIS F'!$S$113:$S$184,'FCPIS F'!$B$113:$B$184,'PIS F'!$A23,'FCPIS F'!$C$113:$C$184,'PIS F'!$B23)*1000</f>
        <v>823873.96</v>
      </c>
      <c r="G23" s="21"/>
      <c r="H23" s="17">
        <f>SUMIFS('FCPIS F'!$S$187:$S$231,'FCPIS F'!$B$187:$B$231,'PIS F'!$A23,'FCPIS F'!$C$187:$C$231,'PIS F'!$B23)*-1000</f>
        <v>0</v>
      </c>
      <c r="I23" s="21"/>
      <c r="J23" s="17">
        <f>SUMIFS('FCPIS F'!$S$323:$S$342,'FCPIS F'!$B$323:$B$342,'PIS B'!$A23,'FCPIS F'!$C$323:$C$342,'PIS B'!$B23)*1000</f>
        <v>0</v>
      </c>
      <c r="K23" s="21"/>
      <c r="L23" s="17">
        <f t="shared" si="0"/>
        <v>823873.96</v>
      </c>
      <c r="M23" s="21"/>
      <c r="N23" s="17">
        <f t="shared" si="1"/>
        <v>2600611.5499999998</v>
      </c>
      <c r="O23" s="21"/>
      <c r="P23" s="17">
        <f>SUMIFS('FCPIS F'!$T$6:$T$110,'FCPIS F'!$B$6:$B$110,'PIS F'!$A23,'FCPIS F'!$C$6:$C$110,'PIS F'!$B23)*1000</f>
        <v>2260538.1176923015</v>
      </c>
      <c r="Q23" s="17"/>
      <c r="R23" s="22">
        <f>SUMIFS('FCPIS F'!$T$234:$T$340,'FCPIS F'!$B$234:$B$340,'PIS F'!$A23,'FCPIS F'!$C$234:$C$340,'PIS F'!$B23)*-1000</f>
        <v>-155279.37169709333</v>
      </c>
      <c r="S23" s="20"/>
      <c r="T23" s="22">
        <f t="shared" si="4"/>
        <v>2105258.7459952082</v>
      </c>
      <c r="V23" s="13">
        <f t="shared" si="5"/>
        <v>668.30981885088681</v>
      </c>
      <c r="W23" s="21"/>
      <c r="X23" s="22">
        <f t="shared" si="2"/>
        <v>-154611.06187824244</v>
      </c>
      <c r="Y23" s="17">
        <f>SUMIFS('FCPIS F'!$R$6:$R$110,'FCPIS F'!$B$6:$B$110,'PIS F'!$A23,'FCPIS F'!$C$6:$C$110,'PIS F'!$B23)*1000</f>
        <v>2600611.54999999</v>
      </c>
      <c r="Z23" s="17">
        <f t="shared" si="3"/>
        <v>-9.7788870334625244E-9</v>
      </c>
    </row>
    <row r="24" spans="1:26">
      <c r="A24" s="2" t="s">
        <v>545</v>
      </c>
      <c r="B24" s="2" t="str">
        <f t="shared" si="6"/>
        <v>387</v>
      </c>
      <c r="C24" s="100" t="s">
        <v>560</v>
      </c>
      <c r="D24" s="17">
        <f>SUMIFS('FCPIS F'!$F$6:$F$110,'FCPIS F'!$B$6:$B$110,'PIS F'!$A24,'FCPIS F'!$C$6:$C$110,'PIS F'!$B24)*1000</f>
        <v>458432.67</v>
      </c>
      <c r="E24" s="21"/>
      <c r="F24" s="17">
        <f>SUMIFS('FCPIS F'!$S$113:$S$184,'FCPIS F'!$B$113:$B$184,'PIS F'!$A24,'FCPIS F'!$C$113:$C$184,'PIS F'!$B24)*1000</f>
        <v>2129549.48</v>
      </c>
      <c r="G24" s="21"/>
      <c r="H24" s="17">
        <f>SUMIFS('FCPIS F'!$S$187:$S$231,'FCPIS F'!$B$187:$B$231,'PIS F'!$A24,'FCPIS F'!$C$187:$C$231,'PIS F'!$B24)*-1000</f>
        <v>0</v>
      </c>
      <c r="I24" s="21"/>
      <c r="J24" s="17">
        <f>SUMIFS('FCPIS F'!$S$323:$S$342,'FCPIS F'!$B$323:$B$342,'PIS B'!$A24,'FCPIS F'!$C$323:$C$342,'PIS B'!$B24)*1000</f>
        <v>0</v>
      </c>
      <c r="K24" s="21"/>
      <c r="L24" s="17">
        <f t="shared" si="0"/>
        <v>2129549.48</v>
      </c>
      <c r="M24" s="21"/>
      <c r="N24" s="17">
        <f t="shared" si="1"/>
        <v>2587982.15</v>
      </c>
      <c r="O24" s="21"/>
      <c r="P24" s="17">
        <f>SUMIFS('FCPIS F'!$T$6:$T$110,'FCPIS F'!$B$6:$B$110,'PIS F'!$A24,'FCPIS F'!$C$6:$C$110,'PIS F'!$B24)*1000</f>
        <v>1928759.3623076924</v>
      </c>
      <c r="Q24" s="17"/>
      <c r="R24" s="22">
        <f>SUMIFS('FCPIS F'!$T$234:$T$340,'FCPIS F'!$B$234:$B$340,'PIS F'!$A24,'FCPIS F'!$C$234:$C$340,'PIS F'!$B24)*-1000</f>
        <v>-48749.165752523091</v>
      </c>
      <c r="S24" s="20"/>
      <c r="T24" s="22">
        <f t="shared" si="4"/>
        <v>1880010.1965551693</v>
      </c>
      <c r="V24" s="13">
        <f t="shared" si="5"/>
        <v>1727.4472750817374</v>
      </c>
      <c r="W24" s="21"/>
      <c r="X24" s="22">
        <f t="shared" si="2"/>
        <v>-47021.718477441354</v>
      </c>
      <c r="Y24" s="17">
        <f>SUMIFS('FCPIS F'!$R$6:$R$110,'FCPIS F'!$B$6:$B$110,'PIS F'!$A24,'FCPIS F'!$C$6:$C$110,'PIS F'!$B24)*1000</f>
        <v>2587982.15</v>
      </c>
      <c r="Z24" s="17">
        <f t="shared" si="3"/>
        <v>0</v>
      </c>
    </row>
    <row r="25" spans="1:26" s="10" customFormat="1">
      <c r="A25" s="2" t="s">
        <v>545</v>
      </c>
      <c r="B25" s="2"/>
      <c r="C25" s="100" t="s">
        <v>561</v>
      </c>
      <c r="D25" s="17">
        <f>SUMIFS('FCPIS F'!$F$6:$F$110,'FCPIS F'!$B$6:$B$110,'PIS F'!$A25,'FCPIS F'!$C$6:$C$110,'PIS F'!$B25)*1000</f>
        <v>0</v>
      </c>
      <c r="E25" s="21"/>
      <c r="F25" s="17">
        <f>SUMIFS('FCPIS F'!$S$113:$S$184,'FCPIS F'!$B$113:$B$184,'PIS F'!$A25,'FCPIS F'!$C$113:$C$184,'PIS F'!$B25)*1000</f>
        <v>0</v>
      </c>
      <c r="G25" s="21"/>
      <c r="H25" s="17">
        <f>SUMIFS('FCPIS F'!$S$187:$S$231,'FCPIS F'!$B$187:$B$231,'PIS F'!$A25,'FCPIS F'!$C$187:$C$231,'PIS F'!$B25)*-1000</f>
        <v>0</v>
      </c>
      <c r="I25" s="21"/>
      <c r="J25" s="17">
        <f>SUMIFS('FCPIS F'!$S$323:$S$342,'FCPIS F'!$B$323:$B$342,'PIS B'!$A25,'FCPIS F'!$C$323:$C$342,'PIS B'!$B25)*1000</f>
        <v>0</v>
      </c>
      <c r="K25" s="21"/>
      <c r="L25" s="17">
        <f t="shared" si="0"/>
        <v>0</v>
      </c>
      <c r="M25" s="21"/>
      <c r="N25" s="17">
        <f t="shared" si="1"/>
        <v>0</v>
      </c>
      <c r="O25" s="21"/>
      <c r="P25" s="17">
        <f>SUMIFS('FCPIS F'!$T$6:$T$110,'FCPIS F'!$B$6:$B$110,'PIS F'!$A25,'FCPIS F'!$C$6:$C$110,'PIS F'!$B25)*1000</f>
        <v>0</v>
      </c>
      <c r="Q25" s="17"/>
      <c r="R25" s="22">
        <f>SUMIFS('FCPIS F'!$T$234:$T$340,'FCPIS F'!$B$234:$B$340,'PIS F'!$A25,'FCPIS F'!$C$234:$C$340,'PIS F'!$B25)*-1000</f>
        <v>0</v>
      </c>
      <c r="S25" s="20"/>
      <c r="T25" s="22">
        <f t="shared" si="4"/>
        <v>0</v>
      </c>
      <c r="U25" s="2"/>
      <c r="V25" s="13">
        <f t="shared" si="5"/>
        <v>0</v>
      </c>
      <c r="W25" s="21"/>
      <c r="X25" s="22">
        <f t="shared" si="2"/>
        <v>0</v>
      </c>
      <c r="Y25" s="17">
        <f>SUMIFS('FCPIS F'!$R$6:$R$110,'FCPIS F'!$B$6:$B$110,'PIS F'!$A25,'FCPIS F'!$C$6:$C$110,'PIS F'!$B25)*1000</f>
        <v>0</v>
      </c>
      <c r="Z25" s="17">
        <f t="shared" si="3"/>
        <v>0</v>
      </c>
    </row>
    <row r="26" spans="1:26">
      <c r="A26" s="2" t="s">
        <v>545</v>
      </c>
      <c r="B26" s="2" t="str">
        <f t="shared" si="6"/>
        <v>388</v>
      </c>
      <c r="C26" s="100" t="s">
        <v>562</v>
      </c>
      <c r="D26" s="17">
        <f>SUMIFS('FCPIS F'!$F$6:$F$110,'FCPIS F'!$B$6:$B$110,'PIS F'!$A26,'FCPIS F'!$C$6:$C$110,'PIS F'!$B26)*1000</f>
        <v>10475152.66</v>
      </c>
      <c r="E26" s="21"/>
      <c r="F26" s="17">
        <f>SUMIFS('FCPIS F'!$S$113:$S$184,'FCPIS F'!$B$113:$B$184,'PIS F'!$A26,'FCPIS F'!$C$113:$C$184,'PIS F'!$B26)*1000</f>
        <v>0</v>
      </c>
      <c r="G26" s="21"/>
      <c r="H26" s="17">
        <f>SUMIFS('FCPIS F'!$S$187:$S$231,'FCPIS F'!$B$187:$B$231,'PIS F'!$A26,'FCPIS F'!$C$187:$C$231,'PIS F'!$B26)*-1000</f>
        <v>0</v>
      </c>
      <c r="I26" s="21"/>
      <c r="J26" s="17">
        <f>SUMIFS('FCPIS F'!$S$323:$S$342,'FCPIS F'!$B$323:$B$342,'PIS B'!$A26,'FCPIS F'!$C$323:$C$342,'PIS B'!$B26)*1000</f>
        <v>0</v>
      </c>
      <c r="K26" s="21"/>
      <c r="L26" s="17">
        <f t="shared" si="0"/>
        <v>0</v>
      </c>
      <c r="M26" s="21"/>
      <c r="N26" s="17">
        <f t="shared" si="1"/>
        <v>10475152.66</v>
      </c>
      <c r="O26" s="21"/>
      <c r="P26" s="17">
        <f>SUMIFS('FCPIS F'!$T$6:$T$110,'FCPIS F'!$B$6:$B$110,'PIS F'!$A26,'FCPIS F'!$C$6:$C$110,'PIS F'!$B26)*1000</f>
        <v>10475152.659999996</v>
      </c>
      <c r="Q26" s="17"/>
      <c r="R26" s="22">
        <f>SUMIFS('FCPIS F'!$T$234:$T$340,'FCPIS F'!$B$234:$B$340,'PIS F'!$A26,'FCPIS F'!$C$234:$C$340,'PIS F'!$B26)*-1000</f>
        <v>-1579078.5654399903</v>
      </c>
      <c r="S26" s="20"/>
      <c r="T26" s="22">
        <f t="shared" si="4"/>
        <v>8896074.0945600066</v>
      </c>
      <c r="V26" s="13">
        <f t="shared" si="5"/>
        <v>0</v>
      </c>
      <c r="W26" s="21"/>
      <c r="X26" s="22">
        <f t="shared" si="2"/>
        <v>-1579078.5654399903</v>
      </c>
      <c r="Y26" s="17">
        <f>SUMIFS('FCPIS F'!$R$6:$R$110,'FCPIS F'!$B$6:$B$110,'PIS F'!$A26,'FCPIS F'!$C$6:$C$110,'PIS F'!$B26)*1000</f>
        <v>10475152.66</v>
      </c>
      <c r="Z26" s="17">
        <f t="shared" si="3"/>
        <v>0</v>
      </c>
    </row>
    <row r="27" spans="1:26">
      <c r="A27" s="2" t="s">
        <v>545</v>
      </c>
      <c r="C27" s="100"/>
      <c r="D27" s="26">
        <f>SUM(D11:D26)</f>
        <v>925695527.16999757</v>
      </c>
      <c r="E27" s="25"/>
      <c r="F27" s="26">
        <f>SUM(F11:F26)</f>
        <v>62198303.249999963</v>
      </c>
      <c r="G27" s="25"/>
      <c r="H27" s="26">
        <f>SUM(H11:H26)</f>
        <v>-5563949.46</v>
      </c>
      <c r="I27" s="25"/>
      <c r="J27" s="26">
        <f>SUM(J11:J26)</f>
        <v>0</v>
      </c>
      <c r="K27" s="25"/>
      <c r="L27" s="26">
        <f>SUM(L11:L26)</f>
        <v>56634353.789999969</v>
      </c>
      <c r="M27" s="25"/>
      <c r="N27" s="26">
        <f>SUM(N11:N26)</f>
        <v>982329880.95999753</v>
      </c>
      <c r="O27" s="100"/>
      <c r="P27" s="26">
        <f>SUM(P11:P26)</f>
        <v>957808768.23538375</v>
      </c>
      <c r="Q27" s="8"/>
      <c r="R27" s="26">
        <f>SUM(R11:R26)</f>
        <v>-272905254.91879016</v>
      </c>
      <c r="S27" s="100"/>
      <c r="T27" s="26">
        <f>SUM(T11:T26)</f>
        <v>684903513.31659353</v>
      </c>
      <c r="U27" s="100"/>
      <c r="V27" s="26">
        <f>SUM('FC CWIP &amp; RWIP F'!Q17:Q18)*1000</f>
        <v>50454</v>
      </c>
      <c r="W27" s="6"/>
      <c r="X27" s="26">
        <f t="shared" si="2"/>
        <v>-272854800.91879016</v>
      </c>
      <c r="Y27" s="8"/>
      <c r="Z27" s="8"/>
    </row>
    <row r="28" spans="1:26">
      <c r="A28" s="2" t="s">
        <v>545</v>
      </c>
      <c r="B28" s="2" t="str">
        <f>MID(C28,2,3)</f>
        <v/>
      </c>
      <c r="C28" s="100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100"/>
      <c r="P28" s="25"/>
      <c r="Q28" s="8"/>
      <c r="R28" s="100"/>
      <c r="S28" s="100"/>
      <c r="T28" s="100"/>
      <c r="U28" s="100"/>
      <c r="V28" s="13"/>
      <c r="W28" s="6"/>
      <c r="X28" s="13"/>
      <c r="Y28" s="8"/>
      <c r="Z28" s="8"/>
    </row>
    <row r="29" spans="1:26">
      <c r="A29" s="2" t="s">
        <v>545</v>
      </c>
      <c r="C29" s="101" t="s">
        <v>456</v>
      </c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100"/>
      <c r="P29" s="25"/>
      <c r="Q29" s="8"/>
      <c r="R29" s="100"/>
      <c r="S29" s="100"/>
      <c r="T29" s="100"/>
      <c r="U29" s="100"/>
      <c r="V29" s="13"/>
      <c r="W29" s="6"/>
      <c r="X29" s="13"/>
      <c r="Y29" s="8"/>
      <c r="Z29" s="8"/>
    </row>
    <row r="30" spans="1:26">
      <c r="A30" s="2" t="s">
        <v>545</v>
      </c>
      <c r="B30" s="2" t="str">
        <f t="shared" ref="B30:B38" si="7">MID(C30,2,3)</f>
        <v>392</v>
      </c>
      <c r="C30" s="100" t="s">
        <v>564</v>
      </c>
      <c r="D30" s="25">
        <f>SUMIFS('FCPIS F'!$F$6:$F$110,'FCPIS F'!$B$6:$B$110,'PIS F'!$A30,'FCPIS F'!$C$6:$C$110,'PIS F'!$B30)*1000</f>
        <v>2310139.34</v>
      </c>
      <c r="E30" s="25"/>
      <c r="F30" s="25">
        <f>SUMIFS('FCPIS F'!$S$113:$S$184,'FCPIS F'!$B$113:$B$184,'PIS F'!$A30,'FCPIS F'!$C$113:$C$184,'PIS F'!$B30)*1000</f>
        <v>426820.1</v>
      </c>
      <c r="G30" s="25"/>
      <c r="H30" s="25">
        <f>SUMIFS('FCPIS F'!$S$187:$S$231,'FCPIS F'!$B$187:$B$231,'PIS F'!$A30,'FCPIS F'!$C$187:$C$231,'PIS F'!$B30)*-1000</f>
        <v>0</v>
      </c>
      <c r="I30" s="25"/>
      <c r="J30" s="25">
        <f>SUMIFS('FCPIS F'!$S$323:$S$342,'FCPIS F'!$B$323:$B$342,'PIS B'!$A30,'FCPIS F'!$C$323:$C$342,'PIS B'!$B30)*1000</f>
        <v>0</v>
      </c>
      <c r="K30" s="25"/>
      <c r="L30" s="25">
        <f t="shared" ref="L30:L36" si="8">SUM(F30:J30)</f>
        <v>426820.1</v>
      </c>
      <c r="M30" s="25"/>
      <c r="N30" s="23">
        <f t="shared" ref="N30:N36" si="9">D30+L30</f>
        <v>2736959.44</v>
      </c>
      <c r="O30" s="100"/>
      <c r="P30" s="23">
        <f>SUMIFS('FCPIS F'!$T$6:$T$110,'FCPIS F'!$B$6:$B$110,'PIS F'!$A30,'FCPIS F'!$C$6:$C$110,'PIS F'!$B30)*1000</f>
        <v>2457097.8938461449</v>
      </c>
      <c r="Q30" s="8"/>
      <c r="R30" s="103">
        <f>SUMIFS('FCPIS F'!$T$234:$T$340,'FCPIS F'!$B$234:$B$340,'PIS F'!$A30,'FCPIS F'!$C$234:$C$340,'PIS F'!$B30)*-1000</f>
        <v>-946327.96579907462</v>
      </c>
      <c r="S30" s="100"/>
      <c r="T30" s="103">
        <f t="shared" ref="T30:T36" si="10">P30+R30</f>
        <v>1510769.9280470703</v>
      </c>
      <c r="U30" s="100"/>
      <c r="V30" s="13"/>
      <c r="W30" s="6"/>
      <c r="X30" s="13">
        <f t="shared" ref="X30:X37" si="11">R30+V30</f>
        <v>-946327.96579907462</v>
      </c>
      <c r="Y30" s="8">
        <f>SUMIFS('FCPIS F'!$R$6:$R$110,'FCPIS F'!$B$6:$B$110,'PIS F'!$A30,'FCPIS F'!$C$6:$C$110,'PIS F'!$B30)*1000</f>
        <v>2736959.4399999902</v>
      </c>
      <c r="Z30" s="8">
        <f t="shared" ref="Z30:Z61" si="12">Y30-N30</f>
        <v>-9.7788870334625244E-9</v>
      </c>
    </row>
    <row r="31" spans="1:26">
      <c r="A31" s="2" t="s">
        <v>545</v>
      </c>
      <c r="C31" s="100" t="s">
        <v>565</v>
      </c>
      <c r="D31" s="25">
        <f>SUMIFS('FCPIS F'!$F$6:$F$110,'FCPIS F'!$B$6:$B$110,'PIS F'!$A31,'FCPIS F'!$C$6:$C$110,'PIS F'!$B31)*1000</f>
        <v>0</v>
      </c>
      <c r="E31" s="25"/>
      <c r="F31" s="25">
        <f>SUMIFS('FCPIS F'!$S$113:$S$184,'FCPIS F'!$B$113:$B$184,'PIS F'!$A31,'FCPIS F'!$C$113:$C$184,'PIS F'!$B31)*1000</f>
        <v>0</v>
      </c>
      <c r="G31" s="25"/>
      <c r="H31" s="25">
        <f>SUMIFS('FCPIS F'!$S$187:$S$231,'FCPIS F'!$B$187:$B$231,'PIS F'!$A31,'FCPIS F'!$C$187:$C$231,'PIS F'!$B31)*-1000</f>
        <v>0</v>
      </c>
      <c r="I31" s="25"/>
      <c r="J31" s="25">
        <f>SUMIFS('FCPIS F'!$S$323:$S$342,'FCPIS F'!$B$323:$B$342,'PIS B'!$A31,'FCPIS F'!$C$323:$C$342,'PIS B'!$B31)*1000</f>
        <v>0</v>
      </c>
      <c r="K31" s="25"/>
      <c r="L31" s="25">
        <f t="shared" si="8"/>
        <v>0</v>
      </c>
      <c r="M31" s="25"/>
      <c r="N31" s="23">
        <f t="shared" si="9"/>
        <v>0</v>
      </c>
      <c r="O31" s="100"/>
      <c r="P31" s="23">
        <f>SUMIFS('FCPIS F'!$T$6:$T$110,'FCPIS F'!$B$6:$B$110,'PIS F'!$A31,'FCPIS F'!$C$6:$C$110,'PIS F'!$B31)*1000</f>
        <v>0</v>
      </c>
      <c r="Q31" s="8"/>
      <c r="R31" s="103">
        <f>SUMIFS('FCPIS F'!$T$234:$T$340,'FCPIS F'!$B$234:$B$340,'PIS F'!$A31,'FCPIS F'!$C$234:$C$340,'PIS F'!$B31)*-1000</f>
        <v>0</v>
      </c>
      <c r="S31" s="100"/>
      <c r="T31" s="103">
        <f t="shared" si="10"/>
        <v>0</v>
      </c>
      <c r="U31" s="100"/>
      <c r="V31" s="13"/>
      <c r="W31" s="6"/>
      <c r="X31" s="13">
        <f t="shared" si="11"/>
        <v>0</v>
      </c>
      <c r="Y31" s="8">
        <f>SUMIFS('FCPIS F'!$R$6:$R$110,'FCPIS F'!$B$6:$B$110,'PIS F'!$A31,'FCPIS F'!$C$6:$C$110,'PIS F'!$B31)*1000</f>
        <v>0</v>
      </c>
      <c r="Z31" s="8">
        <f t="shared" si="12"/>
        <v>0</v>
      </c>
    </row>
    <row r="32" spans="1:26">
      <c r="A32" s="2" t="s">
        <v>545</v>
      </c>
      <c r="B32" s="2" t="str">
        <f t="shared" si="7"/>
        <v>394</v>
      </c>
      <c r="C32" s="100" t="s">
        <v>566</v>
      </c>
      <c r="D32" s="25">
        <f>SUMIFS('FCPIS F'!$F$6:$F$110,'FCPIS F'!$B$6:$B$110,'PIS F'!$A32,'FCPIS F'!$C$6:$C$110,'PIS F'!$B32)*1000</f>
        <v>6791696.3899999997</v>
      </c>
      <c r="E32" s="25"/>
      <c r="F32" s="25">
        <f>SUMIFS('FCPIS F'!$S$113:$S$184,'FCPIS F'!$B$113:$B$184,'PIS F'!$A32,'FCPIS F'!$C$113:$C$184,'PIS F'!$B32)*1000</f>
        <v>311220</v>
      </c>
      <c r="G32" s="25"/>
      <c r="H32" s="25">
        <f>SUMIFS('FCPIS F'!$S$187:$S$231,'FCPIS F'!$B$187:$B$231,'PIS F'!$A32,'FCPIS F'!$C$187:$C$231,'PIS F'!$B32)*-1000</f>
        <v>-201687</v>
      </c>
      <c r="I32" s="25"/>
      <c r="J32" s="25">
        <f>SUMIFS('FCPIS F'!$S$323:$S$342,'FCPIS F'!$B$323:$B$342,'PIS B'!$A32,'FCPIS F'!$C$323:$C$342,'PIS B'!$B32)*1000</f>
        <v>0</v>
      </c>
      <c r="K32" s="25"/>
      <c r="L32" s="25">
        <f t="shared" si="8"/>
        <v>109533</v>
      </c>
      <c r="M32" s="25"/>
      <c r="N32" s="23">
        <f t="shared" si="9"/>
        <v>6901229.3899999997</v>
      </c>
      <c r="O32" s="100"/>
      <c r="P32" s="23">
        <f>SUMIFS('FCPIS F'!$T$6:$T$110,'FCPIS F'!$B$6:$B$110,'PIS F'!$A32,'FCPIS F'!$C$6:$C$110,'PIS F'!$B32)*1000</f>
        <v>6940429.6976923067</v>
      </c>
      <c r="Q32" s="8"/>
      <c r="R32" s="103">
        <f>SUMIFS('FCPIS F'!$T$234:$T$340,'FCPIS F'!$B$234:$B$340,'PIS F'!$A32,'FCPIS F'!$C$234:$C$340,'PIS F'!$B32)*-1000</f>
        <v>-2567643.7189523075</v>
      </c>
      <c r="S32" s="100"/>
      <c r="T32" s="103">
        <f t="shared" si="10"/>
        <v>4372785.9787399992</v>
      </c>
      <c r="U32" s="100"/>
      <c r="V32" s="13"/>
      <c r="W32" s="6"/>
      <c r="X32" s="13">
        <f t="shared" si="11"/>
        <v>-2567643.7189523075</v>
      </c>
      <c r="Y32" s="8">
        <f>SUMIFS('FCPIS F'!$R$6:$R$110,'FCPIS F'!$B$6:$B$110,'PIS F'!$A32,'FCPIS F'!$C$6:$C$110,'PIS F'!$B32)*1000</f>
        <v>6901229.3900000006</v>
      </c>
      <c r="Z32" s="8">
        <f t="shared" si="12"/>
        <v>0</v>
      </c>
    </row>
    <row r="33" spans="1:26">
      <c r="A33" s="2" t="s">
        <v>545</v>
      </c>
      <c r="B33" s="2" t="str">
        <f t="shared" si="7"/>
        <v>395</v>
      </c>
      <c r="C33" s="100" t="s">
        <v>567</v>
      </c>
      <c r="D33" s="25">
        <f>SUMIFS('FCPIS F'!$F$6:$F$110,'FCPIS F'!$B$6:$B$110,'PIS F'!$A33,'FCPIS F'!$C$6:$C$110,'PIS F'!$B33)*1000</f>
        <v>0</v>
      </c>
      <c r="E33" s="25"/>
      <c r="F33" s="25">
        <f>SUMIFS('FCPIS F'!$S$113:$S$184,'FCPIS F'!$B$113:$B$184,'PIS F'!$A33,'FCPIS F'!$C$113:$C$184,'PIS F'!$B33)*1000</f>
        <v>0</v>
      </c>
      <c r="G33" s="25"/>
      <c r="H33" s="25">
        <f>SUMIFS('FCPIS F'!$S$187:$S$231,'FCPIS F'!$B$187:$B$231,'PIS F'!$A33,'FCPIS F'!$C$187:$C$231,'PIS F'!$B33)*-1000</f>
        <v>0</v>
      </c>
      <c r="I33" s="25"/>
      <c r="J33" s="25">
        <f>SUMIFS('FCPIS F'!$S$323:$S$342,'FCPIS F'!$B$323:$B$342,'PIS B'!$A33,'FCPIS F'!$C$323:$C$342,'PIS B'!$B33)*1000</f>
        <v>0</v>
      </c>
      <c r="K33" s="25"/>
      <c r="L33" s="25">
        <f t="shared" si="8"/>
        <v>0</v>
      </c>
      <c r="M33" s="25"/>
      <c r="N33" s="23">
        <f t="shared" si="9"/>
        <v>0</v>
      </c>
      <c r="O33" s="100"/>
      <c r="P33" s="23">
        <f>SUMIFS('FCPIS F'!$T$6:$T$110,'FCPIS F'!$B$6:$B$110,'PIS F'!$A33,'FCPIS F'!$C$6:$C$110,'PIS F'!$B33)*1000</f>
        <v>0</v>
      </c>
      <c r="Q33" s="8"/>
      <c r="R33" s="103">
        <f>SUMIFS('FCPIS F'!$T$234:$T$340,'FCPIS F'!$B$234:$B$340,'PIS F'!$A33,'FCPIS F'!$C$234:$C$340,'PIS F'!$B33)*-1000</f>
        <v>0</v>
      </c>
      <c r="S33" s="100"/>
      <c r="T33" s="103">
        <f t="shared" si="10"/>
        <v>0</v>
      </c>
      <c r="U33" s="100"/>
      <c r="V33" s="13"/>
      <c r="W33" s="6"/>
      <c r="X33" s="13">
        <f t="shared" si="11"/>
        <v>0</v>
      </c>
      <c r="Y33" s="8">
        <f>SUMIFS('FCPIS F'!$R$6:$R$110,'FCPIS F'!$B$6:$B$110,'PIS F'!$A33,'FCPIS F'!$C$6:$C$110,'PIS F'!$B33)*1000</f>
        <v>0</v>
      </c>
      <c r="Z33" s="8">
        <f t="shared" si="12"/>
        <v>0</v>
      </c>
    </row>
    <row r="34" spans="1:26">
      <c r="A34" s="2" t="s">
        <v>545</v>
      </c>
      <c r="B34" s="2" t="str">
        <f t="shared" si="7"/>
        <v>396</v>
      </c>
      <c r="C34" s="100" t="s">
        <v>568</v>
      </c>
      <c r="D34" s="25">
        <f>SUMIFS('FCPIS F'!$F$6:$F$110,'FCPIS F'!$B$6:$B$110,'PIS F'!$A34,'FCPIS F'!$C$6:$C$110,'PIS F'!$B34)*1000</f>
        <v>3771229.42</v>
      </c>
      <c r="E34" s="25"/>
      <c r="F34" s="25">
        <f>SUMIFS('FCPIS F'!$S$113:$S$184,'FCPIS F'!$B$113:$B$184,'PIS F'!$A34,'FCPIS F'!$C$113:$C$184,'PIS F'!$B34)*1000</f>
        <v>0</v>
      </c>
      <c r="G34" s="25"/>
      <c r="H34" s="25">
        <f>SUMIFS('FCPIS F'!$S$187:$S$231,'FCPIS F'!$B$187:$B$231,'PIS F'!$A34,'FCPIS F'!$C$187:$C$231,'PIS F'!$B34)*-1000</f>
        <v>0</v>
      </c>
      <c r="I34" s="25"/>
      <c r="J34" s="25">
        <f>SUMIFS('FCPIS F'!$S$323:$S$342,'FCPIS F'!$B$323:$B$342,'PIS B'!$A34,'FCPIS F'!$C$323:$C$342,'PIS B'!$B34)*1000</f>
        <v>0</v>
      </c>
      <c r="K34" s="25"/>
      <c r="L34" s="25">
        <f t="shared" si="8"/>
        <v>0</v>
      </c>
      <c r="M34" s="25"/>
      <c r="N34" s="23">
        <f t="shared" si="9"/>
        <v>3771229.42</v>
      </c>
      <c r="O34" s="100"/>
      <c r="P34" s="23">
        <f>SUMIFS('FCPIS F'!$T$6:$T$110,'FCPIS F'!$B$6:$B$110,'PIS F'!$A34,'FCPIS F'!$C$6:$C$110,'PIS F'!$B34)*1000</f>
        <v>3771229.42</v>
      </c>
      <c r="Q34" s="8"/>
      <c r="R34" s="103">
        <f>SUMIFS('FCPIS F'!$T$234:$T$340,'FCPIS F'!$B$234:$B$340,'PIS F'!$A34,'FCPIS F'!$C$234:$C$340,'PIS F'!$B34)*-1000</f>
        <v>-2470849.8064030902</v>
      </c>
      <c r="S34" s="100"/>
      <c r="T34" s="103">
        <f t="shared" si="10"/>
        <v>1300379.6135969097</v>
      </c>
      <c r="U34" s="100"/>
      <c r="V34" s="13"/>
      <c r="W34" s="6"/>
      <c r="X34" s="13">
        <f t="shared" si="11"/>
        <v>-2470849.8064030902</v>
      </c>
      <c r="Y34" s="8">
        <f>SUMIFS('FCPIS F'!$R$6:$R$110,'FCPIS F'!$B$6:$B$110,'PIS F'!$A34,'FCPIS F'!$C$6:$C$110,'PIS F'!$B34)*1000</f>
        <v>3771229.42</v>
      </c>
      <c r="Z34" s="8">
        <f t="shared" si="12"/>
        <v>0</v>
      </c>
    </row>
    <row r="35" spans="1:26">
      <c r="A35" s="2" t="s">
        <v>545</v>
      </c>
      <c r="C35" s="100" t="s">
        <v>569</v>
      </c>
      <c r="D35" s="25">
        <f>SUMIFS('FCPIS F'!$F$6:$F$110,'FCPIS F'!$B$6:$B$110,'PIS F'!$A35,'FCPIS F'!$C$6:$C$110,'PIS F'!$B35)*1000</f>
        <v>0</v>
      </c>
      <c r="E35" s="25"/>
      <c r="F35" s="25">
        <f>SUMIFS('FCPIS F'!$S$113:$S$184,'FCPIS F'!$B$113:$B$184,'PIS F'!$A35,'FCPIS F'!$C$113:$C$184,'PIS F'!$B35)*1000</f>
        <v>0</v>
      </c>
      <c r="G35" s="25"/>
      <c r="H35" s="25">
        <f>SUMIFS('FCPIS F'!$S$187:$S$231,'FCPIS F'!$B$187:$B$231,'PIS F'!$A35,'FCPIS F'!$C$187:$C$231,'PIS F'!$B35)*-1000</f>
        <v>0</v>
      </c>
      <c r="I35" s="25"/>
      <c r="J35" s="25">
        <f>SUMIFS('FCPIS F'!$S$323:$S$342,'FCPIS F'!$B$323:$B$342,'PIS B'!$A35,'FCPIS F'!$C$323:$C$342,'PIS B'!$B35)*1000</f>
        <v>0</v>
      </c>
      <c r="K35" s="25"/>
      <c r="L35" s="25">
        <f t="shared" si="8"/>
        <v>0</v>
      </c>
      <c r="M35" s="25"/>
      <c r="N35" s="25">
        <f t="shared" si="9"/>
        <v>0</v>
      </c>
      <c r="O35" s="105"/>
      <c r="P35" s="25">
        <f>SUMIFS('FCPIS F'!$T$6:$T$110,'FCPIS F'!$B$6:$B$110,'PIS F'!$A35,'FCPIS F'!$C$6:$C$110,'PIS F'!$B35)*1000</f>
        <v>0</v>
      </c>
      <c r="Q35" s="8"/>
      <c r="R35" s="106">
        <f>SUMIFS('FCPIS F'!$T$234:$T$340,'FCPIS F'!$B$234:$B$340,'PIS F'!$A35,'FCPIS F'!$C$234:$C$340,'PIS F'!$B35)*-1000</f>
        <v>0</v>
      </c>
      <c r="S35" s="105"/>
      <c r="T35" s="106">
        <f t="shared" si="10"/>
        <v>0</v>
      </c>
      <c r="U35" s="100"/>
      <c r="V35" s="13"/>
      <c r="W35" s="6"/>
      <c r="X35" s="13">
        <f t="shared" si="11"/>
        <v>0</v>
      </c>
      <c r="Y35" s="8">
        <f>SUMIFS('FCPIS F'!$R$6:$R$110,'FCPIS F'!$B$6:$B$110,'PIS F'!$A35,'FCPIS F'!$C$6:$C$110,'PIS F'!$B35)*1000</f>
        <v>0</v>
      </c>
      <c r="Z35" s="8">
        <f t="shared" si="12"/>
        <v>0</v>
      </c>
    </row>
    <row r="36" spans="1:26">
      <c r="A36" s="2" t="s">
        <v>545</v>
      </c>
      <c r="B36" s="2" t="str">
        <f t="shared" si="7"/>
        <v>397</v>
      </c>
      <c r="C36" s="102" t="s">
        <v>570</v>
      </c>
      <c r="D36" s="25">
        <f>SUMIFS('FCPIS F'!$F$6:$F$110,'FCPIS F'!$B$6:$B$110,'PIS F'!$A36,'FCPIS F'!$C$6:$C$110,'PIS F'!$B36)*1000</f>
        <v>0</v>
      </c>
      <c r="E36" s="25"/>
      <c r="F36" s="25">
        <f>SUMIFS('FCPIS F'!$S$113:$S$184,'FCPIS F'!$B$113:$B$184,'PIS F'!$A36,'FCPIS F'!$C$113:$C$184,'PIS F'!$B36)*1000</f>
        <v>0</v>
      </c>
      <c r="G36" s="25"/>
      <c r="H36" s="25">
        <f>SUMIFS('FCPIS F'!$S$187:$S$231,'FCPIS F'!$B$187:$B$231,'PIS F'!$A36,'FCPIS F'!$C$187:$C$231,'PIS F'!$B36)*-1000</f>
        <v>0</v>
      </c>
      <c r="I36" s="25"/>
      <c r="J36" s="25">
        <f>SUMIFS('FCPIS F'!$S$323:$S$342,'FCPIS F'!$B$323:$B$342,'PIS B'!$A36,'FCPIS F'!$C$323:$C$342,'PIS B'!$B36)*1000</f>
        <v>0</v>
      </c>
      <c r="K36" s="25"/>
      <c r="L36" s="25">
        <f t="shared" si="8"/>
        <v>0</v>
      </c>
      <c r="M36" s="25"/>
      <c r="N36" s="25">
        <f t="shared" si="9"/>
        <v>0</v>
      </c>
      <c r="O36" s="100"/>
      <c r="P36" s="25">
        <f>SUMIFS('FCPIS F'!$T$6:$T$110,'FCPIS F'!$B$6:$B$110,'PIS F'!$A36,'FCPIS F'!$C$6:$C$110,'PIS F'!$B36)*1000</f>
        <v>0</v>
      </c>
      <c r="Q36" s="8"/>
      <c r="R36" s="106">
        <f>SUMIFS('FCPIS F'!$T$234:$T$340,'FCPIS F'!$B$234:$B$340,'PIS F'!$A36,'FCPIS F'!$C$234:$C$340,'PIS F'!$B36)*-1000</f>
        <v>0</v>
      </c>
      <c r="S36" s="100"/>
      <c r="T36" s="106">
        <f t="shared" si="10"/>
        <v>0</v>
      </c>
      <c r="U36" s="100"/>
      <c r="V36" s="13"/>
      <c r="W36" s="6"/>
      <c r="X36" s="13">
        <f t="shared" si="11"/>
        <v>0</v>
      </c>
      <c r="Y36" s="8">
        <f>SUMIFS('FCPIS F'!$R$6:$R$110,'FCPIS F'!$B$6:$B$110,'PIS F'!$A36,'FCPIS F'!$C$6:$C$110,'PIS F'!$B36)*1000</f>
        <v>0</v>
      </c>
      <c r="Z36" s="8">
        <f t="shared" si="12"/>
        <v>0</v>
      </c>
    </row>
    <row r="37" spans="1:26">
      <c r="A37" s="2" t="s">
        <v>545</v>
      </c>
      <c r="B37" s="2" t="str">
        <f t="shared" si="7"/>
        <v/>
      </c>
      <c r="C37" s="100"/>
      <c r="D37" s="26">
        <f>SUM(D30:D36)</f>
        <v>12873065.15</v>
      </c>
      <c r="E37" s="25"/>
      <c r="F37" s="26">
        <f>SUM(F30:F36)</f>
        <v>738040.1</v>
      </c>
      <c r="G37" s="25"/>
      <c r="H37" s="26">
        <f>SUM(H30:H36)</f>
        <v>-201687</v>
      </c>
      <c r="I37" s="25"/>
      <c r="J37" s="26">
        <f>SUM(J30:J36)</f>
        <v>0</v>
      </c>
      <c r="K37" s="25"/>
      <c r="L37" s="26">
        <f>SUM(L30:L36)</f>
        <v>536353.1</v>
      </c>
      <c r="M37" s="25"/>
      <c r="N37" s="26">
        <f>SUM(N30:N36)</f>
        <v>13409418.25</v>
      </c>
      <c r="O37" s="100"/>
      <c r="P37" s="26">
        <f>SUM(P30:P36)</f>
        <v>13168757.011538452</v>
      </c>
      <c r="Q37" s="8"/>
      <c r="R37" s="26">
        <f>SUM(R30:R36)</f>
        <v>-5984821.4911544723</v>
      </c>
      <c r="S37" s="100"/>
      <c r="T37" s="26">
        <f>SUM(T30:T36)</f>
        <v>7183935.5203839792</v>
      </c>
      <c r="U37" s="100"/>
      <c r="V37" s="26">
        <f>SUM('FC CWIP &amp; RWIP F'!Q20)*1000</f>
        <v>0</v>
      </c>
      <c r="W37" s="6"/>
      <c r="X37" s="26">
        <f t="shared" si="11"/>
        <v>-5984821.4911544723</v>
      </c>
      <c r="Y37" s="8"/>
      <c r="Z37" s="8"/>
    </row>
    <row r="38" spans="1:26">
      <c r="A38" s="2" t="s">
        <v>545</v>
      </c>
      <c r="B38" s="2" t="str">
        <f t="shared" si="7"/>
        <v/>
      </c>
      <c r="C38" s="100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100"/>
      <c r="P38" s="25"/>
      <c r="Q38" s="8"/>
      <c r="R38" s="100"/>
      <c r="S38" s="100"/>
      <c r="T38" s="100"/>
      <c r="U38" s="100"/>
      <c r="V38" s="13"/>
      <c r="W38" s="6"/>
      <c r="X38" s="13"/>
      <c r="Y38" s="8"/>
      <c r="Z38" s="8"/>
    </row>
    <row r="39" spans="1:26">
      <c r="A39" s="2" t="s">
        <v>545</v>
      </c>
      <c r="C39" s="108" t="s">
        <v>457</v>
      </c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100"/>
      <c r="P39" s="25"/>
      <c r="Q39" s="16"/>
      <c r="R39" s="100"/>
      <c r="S39" s="100"/>
      <c r="T39" s="100"/>
      <c r="U39" s="100"/>
      <c r="V39" s="13"/>
      <c r="W39" s="6"/>
      <c r="X39" s="13"/>
      <c r="Y39" s="16"/>
      <c r="Z39" s="16"/>
    </row>
    <row r="40" spans="1:26">
      <c r="A40" s="2" t="s">
        <v>545</v>
      </c>
      <c r="B40" s="2" t="str">
        <f t="shared" ref="B40:B42" si="13">MID(C40,2,3)</f>
        <v>302</v>
      </c>
      <c r="C40" s="102" t="s">
        <v>17</v>
      </c>
      <c r="D40" s="25">
        <f>SUMIFS('FCPIS F'!$F$6:$F$110,'FCPIS F'!$B$6:$B$110,'PIS F'!$A40,'FCPIS F'!$C$6:$C$110,'PIS F'!$B40)*1000</f>
        <v>387.49</v>
      </c>
      <c r="E40" s="25"/>
      <c r="F40" s="25">
        <f>SUMIFS('FCPIS F'!$S$113:$S$184,'FCPIS F'!$B$113:$B$184,'PIS F'!$A40,'FCPIS F'!$C$113:$C$184,'PIS F'!$B40)*1000</f>
        <v>0</v>
      </c>
      <c r="G40" s="25"/>
      <c r="H40" s="25">
        <f>SUMIFS('FCPIS F'!$S$187:$S$231,'FCPIS F'!$B$187:$B$231,'PIS F'!$A40,'FCPIS F'!$C$187:$C$231,'PIS F'!$B40)*-1000</f>
        <v>0</v>
      </c>
      <c r="I40" s="25"/>
      <c r="J40" s="25">
        <f>SUMIFS('FCPIS F'!$S$323:$S$342,'FCPIS F'!$B$323:$B$342,'PIS B'!$A40,'FCPIS F'!$C$323:$C$342,'PIS B'!$B40)*1000</f>
        <v>0</v>
      </c>
      <c r="K40" s="25"/>
      <c r="L40" s="25">
        <f t="shared" ref="L40" si="14">SUM(F40:J40)</f>
        <v>0</v>
      </c>
      <c r="M40" s="25"/>
      <c r="N40" s="25">
        <f t="shared" ref="N40" si="15">D40+L40</f>
        <v>387.49</v>
      </c>
      <c r="O40" s="100"/>
      <c r="P40" s="25">
        <f>SUMIFS('FCPIS F'!$T$6:$T$110,'FCPIS F'!$B$6:$B$110,'PIS F'!$A40,'FCPIS F'!$C$6:$C$110,'PIS F'!$B40)*1000</f>
        <v>387.49</v>
      </c>
      <c r="Q40" s="8"/>
      <c r="R40" s="106">
        <f>SUMIFS('FCPIS F'!$T$234:$T$340,'FCPIS F'!$B$234:$B$340,'PIS F'!$A40,'FCPIS F'!$C$234:$C$340,'PIS F'!$B40)*-1000</f>
        <v>-208.64370166999996</v>
      </c>
      <c r="S40" s="100"/>
      <c r="T40" s="106">
        <f t="shared" ref="T40" si="16">P40+R40</f>
        <v>178.84629833000005</v>
      </c>
      <c r="U40" s="100"/>
      <c r="V40" s="13"/>
      <c r="W40" s="6"/>
      <c r="X40" s="13">
        <f t="shared" ref="X40:X41" si="17">R40+V40</f>
        <v>-208.64370166999996</v>
      </c>
      <c r="Y40" s="8">
        <f>SUMIFS('FCPIS F'!$R$6:$R$110,'FCPIS F'!$B$6:$B$110,'PIS F'!$A40,'FCPIS F'!$C$6:$C$110,'PIS F'!$B40)*1000</f>
        <v>387.49</v>
      </c>
      <c r="Z40" s="8">
        <f t="shared" si="12"/>
        <v>0</v>
      </c>
    </row>
    <row r="41" spans="1:26">
      <c r="A41" s="2" t="s">
        <v>545</v>
      </c>
      <c r="B41" s="2" t="str">
        <f t="shared" si="13"/>
        <v/>
      </c>
      <c r="C41" s="100"/>
      <c r="D41" s="26">
        <f>SUM(D40:D40)</f>
        <v>387.49</v>
      </c>
      <c r="E41" s="25"/>
      <c r="F41" s="26">
        <f>SUM(F40:F40)</f>
        <v>0</v>
      </c>
      <c r="G41" s="25"/>
      <c r="H41" s="26">
        <f>SUM(H40:H40)</f>
        <v>0</v>
      </c>
      <c r="I41" s="25"/>
      <c r="J41" s="26">
        <f>SUM(J40:J40)</f>
        <v>0</v>
      </c>
      <c r="K41" s="25"/>
      <c r="L41" s="26">
        <f>SUM(L40:L40)</f>
        <v>0</v>
      </c>
      <c r="M41" s="25"/>
      <c r="N41" s="26">
        <f>SUM(N40:N40)</f>
        <v>387.49</v>
      </c>
      <c r="O41" s="100"/>
      <c r="P41" s="26">
        <f>SUM(P40:P40)</f>
        <v>387.49</v>
      </c>
      <c r="Q41" s="8"/>
      <c r="R41" s="26">
        <f>SUM(R40:R40)</f>
        <v>-208.64370166999996</v>
      </c>
      <c r="S41" s="100"/>
      <c r="T41" s="26">
        <f>SUM(T40:T40)</f>
        <v>178.84629833000005</v>
      </c>
      <c r="U41" s="100"/>
      <c r="V41" s="26">
        <v>0</v>
      </c>
      <c r="W41" s="6"/>
      <c r="X41" s="26">
        <f t="shared" si="17"/>
        <v>-208.64370166999996</v>
      </c>
      <c r="Y41" s="8"/>
      <c r="Z41" s="8"/>
    </row>
    <row r="42" spans="1:26">
      <c r="A42" s="2" t="s">
        <v>545</v>
      </c>
      <c r="B42" s="2" t="str">
        <f t="shared" si="13"/>
        <v/>
      </c>
      <c r="C42" s="100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100"/>
      <c r="P42" s="25"/>
      <c r="Q42" s="16"/>
      <c r="R42" s="100"/>
      <c r="S42" s="100"/>
      <c r="T42" s="100"/>
      <c r="U42" s="100"/>
      <c r="V42" s="15"/>
      <c r="W42" s="14"/>
      <c r="X42" s="15"/>
      <c r="Y42" s="16"/>
      <c r="Z42" s="16"/>
    </row>
    <row r="43" spans="1:26">
      <c r="A43" s="2" t="s">
        <v>545</v>
      </c>
      <c r="C43" s="108" t="s">
        <v>572</v>
      </c>
      <c r="D43" s="107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100"/>
      <c r="P43" s="25"/>
      <c r="Q43" s="16"/>
      <c r="R43" s="100"/>
      <c r="S43" s="100"/>
      <c r="T43" s="100"/>
      <c r="U43" s="100"/>
      <c r="V43" s="13"/>
      <c r="W43" s="6"/>
      <c r="X43" s="13"/>
      <c r="Y43" s="16"/>
      <c r="Z43" s="16"/>
    </row>
    <row r="44" spans="1:26">
      <c r="A44" s="2" t="s">
        <v>545</v>
      </c>
      <c r="B44" s="2" t="str">
        <f t="shared" ref="B44:B63" si="18">MID(C44,2,3)</f>
        <v>350</v>
      </c>
      <c r="C44" s="100" t="s">
        <v>573</v>
      </c>
      <c r="D44" s="17">
        <f>SUMIFS('FCPIS F'!$F$6:$F$110,'FCPIS F'!$B$6:$B$110,'PIS F'!$A44,'FCPIS F'!$C$6:$C$110,'PIS F'!$B44)*1000</f>
        <v>134076.56</v>
      </c>
      <c r="E44" s="21"/>
      <c r="F44" s="17">
        <f>SUMIFS('FCPIS F'!$S$113:$S$184,'FCPIS F'!$B$113:$B$184,'PIS F'!$A44,'FCPIS F'!$C$113:$C$184,'PIS F'!$B44)*1000</f>
        <v>0</v>
      </c>
      <c r="G44" s="21"/>
      <c r="H44" s="17">
        <f>SUMIFS('FCPIS F'!$S$187:$S$231,'FCPIS F'!$B$187:$B$231,'PIS F'!$A44,'FCPIS F'!$C$187:$C$231,'PIS F'!$B44)*-1000</f>
        <v>0</v>
      </c>
      <c r="I44" s="21"/>
      <c r="J44" s="17">
        <f>SUMIFS('FCPIS F'!$S$323:$S$342,'FCPIS F'!$B$323:$B$342,'PIS B'!$A44,'FCPIS F'!$C$323:$C$342,'PIS B'!$B44)*1000</f>
        <v>0</v>
      </c>
      <c r="K44" s="21"/>
      <c r="L44" s="17">
        <f t="shared" ref="L44:L61" si="19">SUM(F44:J44)</f>
        <v>0</v>
      </c>
      <c r="M44" s="21"/>
      <c r="N44" s="17">
        <f t="shared" ref="N44:N61" si="20">D44+L44</f>
        <v>134076.56</v>
      </c>
      <c r="O44" s="21"/>
      <c r="P44" s="17">
        <f>SUMIFS('FCPIS F'!$T$6:$T$110,'FCPIS F'!$B$6:$B$110,'PIS F'!$A44,'FCPIS F'!$C$6:$C$110,'PIS F'!$B44)*1000</f>
        <v>134076.55999999997</v>
      </c>
      <c r="Q44" s="17"/>
      <c r="R44" s="22">
        <f>SUMIFS('FCPIS F'!$T$234:$T$340,'FCPIS F'!$B$234:$B$340,'PIS F'!$A44,'FCPIS F'!$C$234:$C$340,'PIS F'!$B44)*-1000</f>
        <v>-70357.820953279894</v>
      </c>
      <c r="S44" s="20"/>
      <c r="T44" s="22">
        <f t="shared" ref="T44:T61" si="21">P44+R44</f>
        <v>63718.739046720075</v>
      </c>
      <c r="V44" s="13">
        <f t="shared" ref="V44:V61" si="22">F44/F$62*V$62</f>
        <v>0</v>
      </c>
      <c r="W44" s="21"/>
      <c r="X44" s="22">
        <f t="shared" ref="X44:X62" si="23">R44+V44</f>
        <v>-70357.820953279894</v>
      </c>
      <c r="Y44" s="17">
        <f>SUMIFS('FCPIS F'!$R$6:$R$110,'FCPIS F'!$B$6:$B$110,'PIS F'!$A44,'FCPIS F'!$C$6:$C$110,'PIS F'!$B44)*1000</f>
        <v>134076.56</v>
      </c>
      <c r="Z44" s="17">
        <f t="shared" si="12"/>
        <v>0</v>
      </c>
    </row>
    <row r="45" spans="1:26">
      <c r="A45" s="2" t="s">
        <v>545</v>
      </c>
      <c r="C45" s="100" t="s">
        <v>574</v>
      </c>
      <c r="D45" s="17">
        <f>SUMIFS('FCPIS F'!$F$6:$F$110,'FCPIS F'!$B$6:$B$110,'PIS F'!$A45,'FCPIS F'!$C$6:$C$110,'PIS F'!$B45)*1000</f>
        <v>0</v>
      </c>
      <c r="E45" s="21"/>
      <c r="F45" s="17">
        <f>SUMIFS('FCPIS F'!$S$113:$S$184,'FCPIS F'!$B$113:$B$184,'PIS F'!$A45,'FCPIS F'!$C$113:$C$184,'PIS F'!$B45)*1000</f>
        <v>0</v>
      </c>
      <c r="G45" s="21"/>
      <c r="H45" s="17">
        <f>SUMIFS('FCPIS F'!$S$187:$S$231,'FCPIS F'!$B$187:$B$231,'PIS F'!$A45,'FCPIS F'!$C$187:$C$231,'PIS F'!$B45)*-1000</f>
        <v>0</v>
      </c>
      <c r="I45" s="21"/>
      <c r="J45" s="17">
        <f>SUMIFS('FCPIS F'!$S$323:$S$342,'FCPIS F'!$B$323:$B$342,'PIS B'!$A45,'FCPIS F'!$C$323:$C$342,'PIS B'!$B45)*1000</f>
        <v>0</v>
      </c>
      <c r="K45" s="21"/>
      <c r="L45" s="17">
        <f t="shared" si="19"/>
        <v>0</v>
      </c>
      <c r="M45" s="21"/>
      <c r="N45" s="17">
        <f t="shared" si="20"/>
        <v>0</v>
      </c>
      <c r="O45" s="21"/>
      <c r="P45" s="17">
        <f>SUMIFS('FCPIS F'!$T$6:$T$110,'FCPIS F'!$B$6:$B$110,'PIS F'!$A45,'FCPIS F'!$C$6:$C$110,'PIS F'!$B45)*1000</f>
        <v>0</v>
      </c>
      <c r="Q45" s="17"/>
      <c r="R45" s="22">
        <f>SUMIFS('FCPIS F'!$T$234:$T$340,'FCPIS F'!$B$234:$B$340,'PIS F'!$A45,'FCPIS F'!$C$234:$C$340,'PIS F'!$B45)*-1000</f>
        <v>0</v>
      </c>
      <c r="S45" s="20"/>
      <c r="T45" s="22">
        <f t="shared" si="21"/>
        <v>0</v>
      </c>
      <c r="V45" s="13">
        <f t="shared" si="22"/>
        <v>0</v>
      </c>
      <c r="W45" s="21"/>
      <c r="X45" s="22">
        <f t="shared" si="23"/>
        <v>0</v>
      </c>
      <c r="Y45" s="17">
        <f>SUMIFS('FCPIS F'!$R$6:$R$110,'FCPIS F'!$B$6:$B$110,'PIS F'!$A45,'FCPIS F'!$C$6:$C$110,'PIS F'!$B45)*1000</f>
        <v>0</v>
      </c>
      <c r="Z45" s="17">
        <f t="shared" si="12"/>
        <v>0</v>
      </c>
    </row>
    <row r="46" spans="1:26">
      <c r="A46" s="2" t="s">
        <v>545</v>
      </c>
      <c r="C46" s="100" t="s">
        <v>575</v>
      </c>
      <c r="D46" s="17">
        <f>SUMIFS('FCPIS F'!$F$6:$F$110,'FCPIS F'!$B$6:$B$110,'PIS F'!$A46,'FCPIS F'!$C$6:$C$110,'PIS F'!$B46)*1000</f>
        <v>0</v>
      </c>
      <c r="E46" s="21"/>
      <c r="F46" s="17">
        <f>SUMIFS('FCPIS F'!$S$113:$S$184,'FCPIS F'!$B$113:$B$184,'PIS F'!$A46,'FCPIS F'!$C$113:$C$184,'PIS F'!$B46)*1000</f>
        <v>0</v>
      </c>
      <c r="G46" s="21"/>
      <c r="H46" s="17">
        <f>SUMIFS('FCPIS F'!$S$187:$S$231,'FCPIS F'!$B$187:$B$231,'PIS F'!$A46,'FCPIS F'!$C$187:$C$231,'PIS F'!$B46)*-1000</f>
        <v>0</v>
      </c>
      <c r="I46" s="21"/>
      <c r="J46" s="17">
        <f>SUMIFS('FCPIS F'!$S$323:$S$342,'FCPIS F'!$B$323:$B$342,'PIS B'!$A46,'FCPIS F'!$C$323:$C$342,'PIS B'!$B46)*1000</f>
        <v>0</v>
      </c>
      <c r="K46" s="21"/>
      <c r="L46" s="17">
        <f t="shared" si="19"/>
        <v>0</v>
      </c>
      <c r="M46" s="21"/>
      <c r="N46" s="17">
        <f t="shared" si="20"/>
        <v>0</v>
      </c>
      <c r="O46" s="21"/>
      <c r="P46" s="17">
        <f>SUMIFS('FCPIS F'!$T$6:$T$110,'FCPIS F'!$B$6:$B$110,'PIS F'!$A46,'FCPIS F'!$C$6:$C$110,'PIS F'!$B46)*1000</f>
        <v>0</v>
      </c>
      <c r="Q46" s="17"/>
      <c r="R46" s="22">
        <f>SUMIFS('FCPIS F'!$T$234:$T$340,'FCPIS F'!$B$234:$B$340,'PIS F'!$A46,'FCPIS F'!$C$234:$C$340,'PIS F'!$B46)*-1000</f>
        <v>0</v>
      </c>
      <c r="S46" s="20"/>
      <c r="T46" s="22">
        <f t="shared" si="21"/>
        <v>0</v>
      </c>
      <c r="V46" s="13">
        <f t="shared" si="22"/>
        <v>0</v>
      </c>
      <c r="W46" s="21"/>
      <c r="X46" s="22">
        <f t="shared" si="23"/>
        <v>0</v>
      </c>
      <c r="Y46" s="17">
        <f>SUMIFS('FCPIS F'!$R$6:$R$110,'FCPIS F'!$B$6:$B$110,'PIS F'!$A46,'FCPIS F'!$C$6:$C$110,'PIS F'!$B46)*1000</f>
        <v>0</v>
      </c>
      <c r="Z46" s="17">
        <f t="shared" si="12"/>
        <v>0</v>
      </c>
    </row>
    <row r="47" spans="1:26">
      <c r="A47" s="2" t="s">
        <v>545</v>
      </c>
      <c r="B47" s="2" t="str">
        <f t="shared" si="18"/>
        <v>351</v>
      </c>
      <c r="C47" s="100" t="s">
        <v>576</v>
      </c>
      <c r="D47" s="17">
        <f>SUMIFS('FCPIS F'!$F$6:$F$110,'FCPIS F'!$B$6:$B$110,'PIS F'!$A47,'FCPIS F'!$C$6:$C$110,'PIS F'!$B47)*1000</f>
        <v>15767126.41</v>
      </c>
      <c r="E47" s="21"/>
      <c r="F47" s="17">
        <f>SUMIFS('FCPIS F'!$S$113:$S$184,'FCPIS F'!$B$113:$B$184,'PIS F'!$A47,'FCPIS F'!$C$113:$C$184,'PIS F'!$B47)*1000</f>
        <v>17000</v>
      </c>
      <c r="G47" s="21"/>
      <c r="H47" s="17">
        <f>SUMIFS('FCPIS F'!$S$187:$S$231,'FCPIS F'!$B$187:$B$231,'PIS F'!$A47,'FCPIS F'!$C$187:$C$231,'PIS F'!$B47)*-1000</f>
        <v>0</v>
      </c>
      <c r="I47" s="21"/>
      <c r="J47" s="17">
        <f>SUMIFS('FCPIS F'!$S$323:$S$342,'FCPIS F'!$B$323:$B$342,'PIS B'!$A47,'FCPIS F'!$C$323:$C$342,'PIS B'!$B47)*1000</f>
        <v>0</v>
      </c>
      <c r="K47" s="21"/>
      <c r="L47" s="17">
        <f t="shared" si="19"/>
        <v>17000</v>
      </c>
      <c r="M47" s="21"/>
      <c r="N47" s="17">
        <f t="shared" si="20"/>
        <v>15784126.41</v>
      </c>
      <c r="O47" s="21"/>
      <c r="P47" s="17">
        <f>SUMIFS('FCPIS F'!$T$6:$T$110,'FCPIS F'!$B$6:$B$110,'PIS F'!$A47,'FCPIS F'!$C$6:$C$110,'PIS F'!$B47)*1000</f>
        <v>15781511.025384616</v>
      </c>
      <c r="Q47" s="17"/>
      <c r="R47" s="22">
        <f>SUMIFS('FCPIS F'!$T$234:$T$340,'FCPIS F'!$B$234:$B$340,'PIS F'!$A47,'FCPIS F'!$C$234:$C$340,'PIS F'!$B47)*-1000</f>
        <v>-2645529.9102620301</v>
      </c>
      <c r="S47" s="20"/>
      <c r="T47" s="22">
        <f t="shared" si="21"/>
        <v>13135981.115122586</v>
      </c>
      <c r="V47" s="13">
        <f t="shared" si="22"/>
        <v>143.74028747558035</v>
      </c>
      <c r="W47" s="21"/>
      <c r="X47" s="22">
        <f t="shared" si="23"/>
        <v>-2645386.1699745543</v>
      </c>
      <c r="Y47" s="17">
        <f>SUMIFS('FCPIS F'!$R$6:$R$110,'FCPIS F'!$B$6:$B$110,'PIS F'!$A47,'FCPIS F'!$C$6:$C$110,'PIS F'!$B47)*1000</f>
        <v>15784126.41</v>
      </c>
      <c r="Z47" s="17">
        <f t="shared" si="12"/>
        <v>0</v>
      </c>
    </row>
    <row r="48" spans="1:26">
      <c r="A48" s="2" t="s">
        <v>545</v>
      </c>
      <c r="C48" s="100" t="s">
        <v>577</v>
      </c>
      <c r="D48" s="17">
        <f>SUMIFS('FCPIS F'!$F$6:$F$110,'FCPIS F'!$B$6:$B$110,'PIS F'!$A48,'FCPIS F'!$C$6:$C$110,'PIS F'!$B48)*1000</f>
        <v>0</v>
      </c>
      <c r="E48" s="21"/>
      <c r="F48" s="17">
        <f>SUMIFS('FCPIS F'!$S$113:$S$184,'FCPIS F'!$B$113:$B$184,'PIS F'!$A48,'FCPIS F'!$C$113:$C$184,'PIS F'!$B48)*1000</f>
        <v>0</v>
      </c>
      <c r="G48" s="21"/>
      <c r="H48" s="17">
        <f>SUMIFS('FCPIS F'!$S$187:$S$231,'FCPIS F'!$B$187:$B$231,'PIS F'!$A48,'FCPIS F'!$C$187:$C$231,'PIS F'!$B48)*-1000</f>
        <v>0</v>
      </c>
      <c r="I48" s="21"/>
      <c r="J48" s="17">
        <f>SUMIFS('FCPIS F'!$S$323:$S$342,'FCPIS F'!$B$323:$B$342,'PIS B'!$A48,'FCPIS F'!$C$323:$C$342,'PIS B'!$B48)*1000</f>
        <v>0</v>
      </c>
      <c r="K48" s="21"/>
      <c r="L48" s="17">
        <f t="shared" si="19"/>
        <v>0</v>
      </c>
      <c r="M48" s="21"/>
      <c r="N48" s="17">
        <f t="shared" si="20"/>
        <v>0</v>
      </c>
      <c r="O48" s="21"/>
      <c r="P48" s="17">
        <f>SUMIFS('FCPIS F'!$T$6:$T$110,'FCPIS F'!$B$6:$B$110,'PIS F'!$A48,'FCPIS F'!$C$6:$C$110,'PIS F'!$B48)*1000</f>
        <v>0</v>
      </c>
      <c r="Q48" s="17"/>
      <c r="R48" s="22">
        <f>SUMIFS('FCPIS F'!$T$234:$T$340,'FCPIS F'!$B$234:$B$340,'PIS F'!$A48,'FCPIS F'!$C$234:$C$340,'PIS F'!$B48)*-1000</f>
        <v>0</v>
      </c>
      <c r="S48" s="20"/>
      <c r="T48" s="22">
        <f t="shared" si="21"/>
        <v>0</v>
      </c>
      <c r="V48" s="13">
        <f t="shared" si="22"/>
        <v>0</v>
      </c>
      <c r="W48" s="21"/>
      <c r="X48" s="22">
        <f t="shared" si="23"/>
        <v>0</v>
      </c>
      <c r="Y48" s="17">
        <f>SUMIFS('FCPIS F'!$R$6:$R$110,'FCPIS F'!$B$6:$B$110,'PIS F'!$A48,'FCPIS F'!$C$6:$C$110,'PIS F'!$B48)*1000</f>
        <v>0</v>
      </c>
      <c r="Z48" s="17">
        <f t="shared" si="12"/>
        <v>0</v>
      </c>
    </row>
    <row r="49" spans="1:26">
      <c r="A49" s="2" t="s">
        <v>545</v>
      </c>
      <c r="B49" s="96">
        <v>352.1</v>
      </c>
      <c r="C49" s="100" t="s">
        <v>578</v>
      </c>
      <c r="D49" s="17">
        <f>SUMIFS('FCPIS F'!$F$6:$F$110,'FCPIS F'!$B$6:$B$110,'PIS F'!$A49,'FCPIS F'!$C$6:$C$110,'PIS F'!$B49)*1000</f>
        <v>548241.14</v>
      </c>
      <c r="E49" s="21"/>
      <c r="F49" s="17">
        <f>SUMIFS('FCPIS F'!$S$113:$S$184,'FCPIS F'!$B$113:$B$184,'PIS F'!$A49,'FCPIS F'!$C$113:$C$184,'PIS F'!$B49)*1000</f>
        <v>0</v>
      </c>
      <c r="G49" s="21"/>
      <c r="H49" s="17">
        <f>SUMIFS('FCPIS F'!$S$187:$S$231,'FCPIS F'!$B$187:$B$231,'PIS F'!$A49,'FCPIS F'!$C$187:$C$231,'PIS F'!$B49)*-1000</f>
        <v>0</v>
      </c>
      <c r="I49" s="21"/>
      <c r="J49" s="17">
        <f>SUMIFS('FCPIS F'!$S$323:$S$342,'FCPIS F'!$B$323:$B$342,'PIS B'!$A49,'FCPIS F'!$C$323:$C$342,'PIS B'!$B49)*1000</f>
        <v>0</v>
      </c>
      <c r="K49" s="21"/>
      <c r="L49" s="17">
        <f t="shared" si="19"/>
        <v>0</v>
      </c>
      <c r="M49" s="21"/>
      <c r="N49" s="17">
        <f t="shared" si="20"/>
        <v>548241.14</v>
      </c>
      <c r="O49" s="21"/>
      <c r="P49" s="17">
        <f>SUMIFS('FCPIS F'!$T$6:$T$110,'FCPIS F'!$B$6:$B$110,'PIS F'!$A49,'FCPIS F'!$C$6:$C$110,'PIS F'!$B49)*1000</f>
        <v>548241.14</v>
      </c>
      <c r="Q49" s="17"/>
      <c r="R49" s="22">
        <f>SUMIFS('FCPIS F'!$T$234:$T$340,'FCPIS F'!$B$234:$B$340,'PIS F'!$A49,'FCPIS F'!$C$234:$C$340,'PIS F'!$B49)*-1000</f>
        <v>-569589.96000000008</v>
      </c>
      <c r="S49" s="20"/>
      <c r="T49" s="22">
        <f t="shared" si="21"/>
        <v>-21348.820000000065</v>
      </c>
      <c r="V49" s="13">
        <f t="shared" si="22"/>
        <v>0</v>
      </c>
      <c r="W49" s="21"/>
      <c r="X49" s="22">
        <f t="shared" si="23"/>
        <v>-569589.96000000008</v>
      </c>
      <c r="Y49" s="17">
        <f>SUMIFS('FCPIS F'!$R$6:$R$110,'FCPIS F'!$B$6:$B$110,'PIS F'!$A49,'FCPIS F'!$C$6:$C$110,'PIS F'!$B49)*1000</f>
        <v>548241.14</v>
      </c>
      <c r="Z49" s="17">
        <f t="shared" si="12"/>
        <v>0</v>
      </c>
    </row>
    <row r="50" spans="1:26">
      <c r="A50" s="2" t="s">
        <v>545</v>
      </c>
      <c r="B50" s="96" t="s">
        <v>607</v>
      </c>
      <c r="C50" s="100" t="s">
        <v>579</v>
      </c>
      <c r="D50" s="17">
        <f>SUMIFS('FCPIS F'!$F$6:$F$110,'FCPIS F'!$B$6:$B$110,'PIS F'!$A50,'FCPIS F'!$C$6:$C$110,'PIS F'!$B50)*1000</f>
        <v>400511.39999999997</v>
      </c>
      <c r="E50" s="21"/>
      <c r="F50" s="17">
        <f>SUMIFS('FCPIS F'!$S$113:$S$184,'FCPIS F'!$B$113:$B$184,'PIS F'!$A50,'FCPIS F'!$C$113:$C$184,'PIS F'!$B50)*1000</f>
        <v>0</v>
      </c>
      <c r="G50" s="21"/>
      <c r="H50" s="17">
        <f>SUMIFS('FCPIS F'!$S$187:$S$231,'FCPIS F'!$B$187:$B$231,'PIS F'!$A50,'FCPIS F'!$C$187:$C$231,'PIS F'!$B50)*-1000</f>
        <v>0</v>
      </c>
      <c r="I50" s="21"/>
      <c r="J50" s="17">
        <f>SUMIFS('FCPIS F'!$S$323:$S$342,'FCPIS F'!$B$323:$B$342,'PIS B'!$A50,'FCPIS F'!$C$323:$C$342,'PIS B'!$B50)*1000</f>
        <v>0</v>
      </c>
      <c r="K50" s="21"/>
      <c r="L50" s="17">
        <f t="shared" si="19"/>
        <v>0</v>
      </c>
      <c r="M50" s="21"/>
      <c r="N50" s="17">
        <f t="shared" si="20"/>
        <v>400511.39999999997</v>
      </c>
      <c r="O50" s="21"/>
      <c r="P50" s="17">
        <f>SUMIFS('FCPIS F'!$T$6:$T$110,'FCPIS F'!$B$6:$B$110,'PIS F'!$A50,'FCPIS F'!$C$6:$C$110,'PIS F'!$B50)*1000</f>
        <v>400511.39999999997</v>
      </c>
      <c r="Q50" s="17"/>
      <c r="R50" s="22">
        <f>SUMIFS('FCPIS F'!$T$234:$T$340,'FCPIS F'!$B$234:$B$340,'PIS F'!$A50,'FCPIS F'!$C$234:$C$340,'PIS F'!$B50)*-1000</f>
        <v>-452027.29</v>
      </c>
      <c r="S50" s="20"/>
      <c r="T50" s="22">
        <f t="shared" si="21"/>
        <v>-51515.890000000014</v>
      </c>
      <c r="V50" s="13">
        <f t="shared" si="22"/>
        <v>0</v>
      </c>
      <c r="W50" s="21"/>
      <c r="X50" s="22">
        <f t="shared" si="23"/>
        <v>-452027.29</v>
      </c>
      <c r="Y50" s="17">
        <f>SUMIFS('FCPIS F'!$R$6:$R$110,'FCPIS F'!$B$6:$B$110,'PIS F'!$A50,'FCPIS F'!$C$6:$C$110,'PIS F'!$B50)*1000</f>
        <v>400511.39999999997</v>
      </c>
      <c r="Z50" s="17">
        <f t="shared" si="12"/>
        <v>0</v>
      </c>
    </row>
    <row r="51" spans="1:26">
      <c r="A51" s="2" t="s">
        <v>545</v>
      </c>
      <c r="B51" s="96" t="s">
        <v>1104</v>
      </c>
      <c r="C51" s="100" t="s">
        <v>580</v>
      </c>
      <c r="D51" s="17">
        <f>SUMIFS('FCPIS F'!$F$6:$F$110,'FCPIS F'!$B$6:$B$110,'PIS F'!$A51,'FCPIS F'!$C$6:$C$110,'PIS F'!$B51)*1000</f>
        <v>11788845</v>
      </c>
      <c r="E51" s="21"/>
      <c r="F51" s="17">
        <f>SUMIFS('FCPIS F'!$S$113:$S$184,'FCPIS F'!$B$113:$B$184,'PIS F'!$A51,'FCPIS F'!$C$113:$C$184,'PIS F'!$B51)*1000</f>
        <v>0</v>
      </c>
      <c r="G51" s="21"/>
      <c r="H51" s="17">
        <f>SUMIFS('FCPIS F'!$S$187:$S$231,'FCPIS F'!$B$187:$B$231,'PIS F'!$A51,'FCPIS F'!$C$187:$C$231,'PIS F'!$B51)*-1000</f>
        <v>0</v>
      </c>
      <c r="I51" s="21"/>
      <c r="J51" s="17">
        <f>SUMIFS('FCPIS F'!$S$323:$S$342,'FCPIS F'!$B$323:$B$342,'PIS B'!$A51,'FCPIS F'!$C$323:$C$342,'PIS B'!$B51)*1000</f>
        <v>0</v>
      </c>
      <c r="K51" s="21"/>
      <c r="L51" s="17">
        <f t="shared" si="19"/>
        <v>0</v>
      </c>
      <c r="M51" s="21"/>
      <c r="N51" s="17">
        <f t="shared" si="20"/>
        <v>11788845</v>
      </c>
      <c r="O51" s="21"/>
      <c r="P51" s="17">
        <f>SUMIFS('FCPIS F'!$T$6:$T$110,'FCPIS F'!$B$6:$B$110,'PIS F'!$A51,'FCPIS F'!$C$6:$C$110,'PIS F'!$B51)*1000</f>
        <v>11788844.999999998</v>
      </c>
      <c r="Q51" s="17"/>
      <c r="R51" s="22">
        <f>SUMIFS('FCPIS F'!$T$234:$T$340,'FCPIS F'!$B$234:$B$340,'PIS F'!$A51,'FCPIS F'!$C$234:$C$340,'PIS F'!$B51)*-1000</f>
        <v>-8261237.313749996</v>
      </c>
      <c r="S51" s="20"/>
      <c r="T51" s="22">
        <f t="shared" si="21"/>
        <v>3527607.6862500021</v>
      </c>
      <c r="V51" s="13">
        <f t="shared" si="22"/>
        <v>0</v>
      </c>
      <c r="W51" s="21"/>
      <c r="X51" s="22">
        <f t="shared" si="23"/>
        <v>-8261237.313749996</v>
      </c>
      <c r="Y51" s="17">
        <f>SUMIFS('FCPIS F'!$R$6:$R$110,'FCPIS F'!$B$6:$B$110,'PIS F'!$A51,'FCPIS F'!$C$6:$C$110,'PIS F'!$B51)*1000</f>
        <v>11788845</v>
      </c>
      <c r="Z51" s="17">
        <f t="shared" si="12"/>
        <v>0</v>
      </c>
    </row>
    <row r="52" spans="1:26">
      <c r="A52" s="2" t="s">
        <v>545</v>
      </c>
      <c r="C52" s="100" t="s">
        <v>581</v>
      </c>
      <c r="D52" s="17">
        <f>SUMIFS('FCPIS F'!$F$6:$F$110,'FCPIS F'!$B$6:$B$110,'PIS F'!$A52,'FCPIS F'!$C$6:$C$110,'PIS F'!$B52)*1000</f>
        <v>0</v>
      </c>
      <c r="E52" s="21"/>
      <c r="F52" s="17">
        <f>SUMIFS('FCPIS F'!$S$113:$S$184,'FCPIS F'!$B$113:$B$184,'PIS F'!$A52,'FCPIS F'!$C$113:$C$184,'PIS F'!$B52)*1000</f>
        <v>0</v>
      </c>
      <c r="G52" s="21"/>
      <c r="H52" s="17">
        <f>SUMIFS('FCPIS F'!$S$187:$S$231,'FCPIS F'!$B$187:$B$231,'PIS F'!$A52,'FCPIS F'!$C$187:$C$231,'PIS F'!$B52)*-1000</f>
        <v>0</v>
      </c>
      <c r="I52" s="21"/>
      <c r="J52" s="17">
        <f>SUMIFS('FCPIS F'!$S$323:$S$342,'FCPIS F'!$B$323:$B$342,'PIS B'!$A52,'FCPIS F'!$C$323:$C$342,'PIS B'!$B52)*1000</f>
        <v>0</v>
      </c>
      <c r="K52" s="21"/>
      <c r="L52" s="17">
        <f t="shared" si="19"/>
        <v>0</v>
      </c>
      <c r="M52" s="21"/>
      <c r="N52" s="17">
        <f t="shared" si="20"/>
        <v>0</v>
      </c>
      <c r="O52" s="21"/>
      <c r="P52" s="17">
        <f>SUMIFS('FCPIS F'!$T$6:$T$110,'FCPIS F'!$B$6:$B$110,'PIS F'!$A52,'FCPIS F'!$C$6:$C$110,'PIS F'!$B52)*1000</f>
        <v>0</v>
      </c>
      <c r="Q52" s="17"/>
      <c r="R52" s="22">
        <f>SUMIFS('FCPIS F'!$T$234:$T$340,'FCPIS F'!$B$234:$B$340,'PIS F'!$A52,'FCPIS F'!$C$234:$C$340,'PIS F'!$B52)*-1000</f>
        <v>0</v>
      </c>
      <c r="S52" s="20"/>
      <c r="T52" s="22">
        <f t="shared" si="21"/>
        <v>0</v>
      </c>
      <c r="V52" s="13">
        <f t="shared" si="22"/>
        <v>0</v>
      </c>
      <c r="W52" s="21"/>
      <c r="X52" s="22">
        <f t="shared" si="23"/>
        <v>0</v>
      </c>
      <c r="Y52" s="17">
        <f>SUMIFS('FCPIS F'!$R$6:$R$110,'FCPIS F'!$B$6:$B$110,'PIS F'!$A52,'FCPIS F'!$C$6:$C$110,'PIS F'!$B52)*1000</f>
        <v>0</v>
      </c>
      <c r="Z52" s="17">
        <f t="shared" si="12"/>
        <v>0</v>
      </c>
    </row>
    <row r="53" spans="1:26">
      <c r="A53" s="2" t="s">
        <v>545</v>
      </c>
      <c r="C53" s="100" t="s">
        <v>582</v>
      </c>
      <c r="D53" s="17">
        <f>SUMIFS('FCPIS F'!$F$6:$F$110,'FCPIS F'!$B$6:$B$110,'PIS F'!$A53,'FCPIS F'!$C$6:$C$110,'PIS F'!$B53)*1000</f>
        <v>0</v>
      </c>
      <c r="E53" s="21"/>
      <c r="F53" s="17">
        <f>SUMIFS('FCPIS F'!$S$113:$S$184,'FCPIS F'!$B$113:$B$184,'PIS F'!$A53,'FCPIS F'!$C$113:$C$184,'PIS F'!$B53)*1000</f>
        <v>0</v>
      </c>
      <c r="G53" s="21"/>
      <c r="H53" s="17">
        <f>SUMIFS('FCPIS F'!$S$187:$S$231,'FCPIS F'!$B$187:$B$231,'PIS F'!$A53,'FCPIS F'!$C$187:$C$231,'PIS F'!$B53)*-1000</f>
        <v>0</v>
      </c>
      <c r="I53" s="21"/>
      <c r="J53" s="17">
        <f>SUMIFS('FCPIS F'!$S$323:$S$342,'FCPIS F'!$B$323:$B$342,'PIS B'!$A53,'FCPIS F'!$C$323:$C$342,'PIS B'!$B53)*1000</f>
        <v>0</v>
      </c>
      <c r="K53" s="21"/>
      <c r="L53" s="17">
        <f t="shared" si="19"/>
        <v>0</v>
      </c>
      <c r="M53" s="21"/>
      <c r="N53" s="17">
        <f t="shared" si="20"/>
        <v>0</v>
      </c>
      <c r="O53" s="21"/>
      <c r="P53" s="17">
        <f>SUMIFS('FCPIS F'!$T$6:$T$110,'FCPIS F'!$B$6:$B$110,'PIS F'!$A53,'FCPIS F'!$C$6:$C$110,'PIS F'!$B53)*1000</f>
        <v>0</v>
      </c>
      <c r="Q53" s="17"/>
      <c r="R53" s="22">
        <f>SUMIFS('FCPIS F'!$T$234:$T$340,'FCPIS F'!$B$234:$B$340,'PIS F'!$A53,'FCPIS F'!$C$234:$C$340,'PIS F'!$B53)*-1000</f>
        <v>0</v>
      </c>
      <c r="S53" s="20"/>
      <c r="T53" s="22">
        <f t="shared" si="21"/>
        <v>0</v>
      </c>
      <c r="V53" s="13">
        <f t="shared" si="22"/>
        <v>0</v>
      </c>
      <c r="W53" s="21"/>
      <c r="X53" s="22">
        <f t="shared" si="23"/>
        <v>0</v>
      </c>
      <c r="Y53" s="17">
        <f>SUMIFS('FCPIS F'!$R$6:$R$110,'FCPIS F'!$B$6:$B$110,'PIS F'!$A53,'FCPIS F'!$C$6:$C$110,'PIS F'!$B53)*1000</f>
        <v>0</v>
      </c>
      <c r="Z53" s="17">
        <f t="shared" si="12"/>
        <v>0</v>
      </c>
    </row>
    <row r="54" spans="1:26">
      <c r="A54" s="2" t="s">
        <v>545</v>
      </c>
      <c r="B54" s="2" t="str">
        <f t="shared" si="18"/>
        <v>352</v>
      </c>
      <c r="C54" s="100" t="s">
        <v>583</v>
      </c>
      <c r="D54" s="17">
        <f>SUMIFS('FCPIS F'!$F$6:$F$110,'FCPIS F'!$B$6:$B$110,'PIS F'!$A54,'FCPIS F'!$C$6:$C$110,'PIS F'!$B54)*1000</f>
        <v>20845489.609999996</v>
      </c>
      <c r="E54" s="21"/>
      <c r="F54" s="17">
        <f>SUMIFS('FCPIS F'!$S$113:$S$184,'FCPIS F'!$B$113:$B$184,'PIS F'!$A54,'FCPIS F'!$C$113:$C$184,'PIS F'!$B54)*1000</f>
        <v>1107618.68</v>
      </c>
      <c r="G54" s="21"/>
      <c r="H54" s="17">
        <f>SUMIFS('FCPIS F'!$S$187:$S$231,'FCPIS F'!$B$187:$B$231,'PIS F'!$A54,'FCPIS F'!$C$187:$C$231,'PIS F'!$B54)*-1000</f>
        <v>0</v>
      </c>
      <c r="I54" s="21"/>
      <c r="J54" s="17">
        <f>SUMIFS('FCPIS F'!$S$323:$S$342,'FCPIS F'!$B$323:$B$342,'PIS B'!$A54,'FCPIS F'!$C$323:$C$342,'PIS B'!$B54)*1000</f>
        <v>0</v>
      </c>
      <c r="K54" s="21"/>
      <c r="L54" s="17">
        <f t="shared" si="19"/>
        <v>1107618.68</v>
      </c>
      <c r="M54" s="21"/>
      <c r="N54" s="17">
        <f t="shared" si="20"/>
        <v>21953108.289999995</v>
      </c>
      <c r="O54" s="21"/>
      <c r="P54" s="17">
        <f>SUMIFS('FCPIS F'!$T$6:$T$110,'FCPIS F'!$B$6:$B$110,'PIS F'!$A54,'FCPIS F'!$C$6:$C$110,'PIS F'!$B54)*1000</f>
        <v>21807057.703076929</v>
      </c>
      <c r="Q54" s="17"/>
      <c r="R54" s="22">
        <f>SUMIFS('FCPIS F'!$T$234:$T$340,'FCPIS F'!$B$234:$B$340,'PIS F'!$A54,'FCPIS F'!$C$234:$C$340,'PIS F'!$B54)*-1000</f>
        <v>-2777361.7156510935</v>
      </c>
      <c r="S54" s="20"/>
      <c r="T54" s="22">
        <f t="shared" si="21"/>
        <v>19029695.987425834</v>
      </c>
      <c r="V54" s="13">
        <f t="shared" si="22"/>
        <v>9365.2604397954583</v>
      </c>
      <c r="W54" s="21"/>
      <c r="X54" s="22">
        <f t="shared" si="23"/>
        <v>-2767996.4552112981</v>
      </c>
      <c r="Y54" s="17">
        <f>SUMIFS('FCPIS F'!$R$6:$R$110,'FCPIS F'!$B$6:$B$110,'PIS F'!$A54,'FCPIS F'!$C$6:$C$110,'PIS F'!$B54)*1000</f>
        <v>21953108.290000003</v>
      </c>
      <c r="Z54" s="17">
        <f t="shared" si="12"/>
        <v>0</v>
      </c>
    </row>
    <row r="55" spans="1:26">
      <c r="A55" s="2" t="s">
        <v>545</v>
      </c>
      <c r="B55" s="2" t="str">
        <f t="shared" si="18"/>
        <v>353</v>
      </c>
      <c r="C55" s="100" t="s">
        <v>584</v>
      </c>
      <c r="D55" s="17">
        <f>SUMIFS('FCPIS F'!$F$6:$F$110,'FCPIS F'!$B$6:$B$110,'PIS F'!$A55,'FCPIS F'!$C$6:$C$110,'PIS F'!$B55)*1000</f>
        <v>23080886.599999998</v>
      </c>
      <c r="E55" s="21"/>
      <c r="F55" s="17">
        <f>SUMIFS('FCPIS F'!$S$113:$S$184,'FCPIS F'!$B$113:$B$184,'PIS F'!$A55,'FCPIS F'!$C$113:$C$184,'PIS F'!$B55)*1000</f>
        <v>0</v>
      </c>
      <c r="G55" s="21"/>
      <c r="H55" s="17">
        <f>SUMIFS('FCPIS F'!$S$187:$S$231,'FCPIS F'!$B$187:$B$231,'PIS F'!$A55,'FCPIS F'!$C$187:$C$231,'PIS F'!$B55)*-1000</f>
        <v>0</v>
      </c>
      <c r="I55" s="21"/>
      <c r="J55" s="17">
        <f>SUMIFS('FCPIS F'!$S$323:$S$342,'FCPIS F'!$B$323:$B$342,'PIS B'!$A55,'FCPIS F'!$C$323:$C$342,'PIS B'!$B55)*1000</f>
        <v>0</v>
      </c>
      <c r="K55" s="21"/>
      <c r="L55" s="17">
        <f t="shared" si="19"/>
        <v>0</v>
      </c>
      <c r="M55" s="21"/>
      <c r="N55" s="17">
        <f t="shared" si="20"/>
        <v>23080886.599999998</v>
      </c>
      <c r="O55" s="21"/>
      <c r="P55" s="17">
        <f>SUMIFS('FCPIS F'!$T$6:$T$110,'FCPIS F'!$B$6:$B$110,'PIS F'!$A55,'FCPIS F'!$C$6:$C$110,'PIS F'!$B55)*1000</f>
        <v>23080886.59999999</v>
      </c>
      <c r="Q55" s="17"/>
      <c r="R55" s="22">
        <f>SUMIFS('FCPIS F'!$T$234:$T$340,'FCPIS F'!$B$234:$B$340,'PIS F'!$A55,'FCPIS F'!$C$234:$C$340,'PIS F'!$B55)*-1000</f>
        <v>-9145236.5484904721</v>
      </c>
      <c r="S55" s="20"/>
      <c r="T55" s="22">
        <f t="shared" si="21"/>
        <v>13935650.051509518</v>
      </c>
      <c r="V55" s="13">
        <f t="shared" si="22"/>
        <v>0</v>
      </c>
      <c r="W55" s="21"/>
      <c r="X55" s="22">
        <f t="shared" si="23"/>
        <v>-9145236.5484904721</v>
      </c>
      <c r="Y55" s="17">
        <f>SUMIFS('FCPIS F'!$R$6:$R$110,'FCPIS F'!$B$6:$B$110,'PIS F'!$A55,'FCPIS F'!$C$6:$C$110,'PIS F'!$B55)*1000</f>
        <v>23080886.599999998</v>
      </c>
      <c r="Z55" s="17">
        <f t="shared" si="12"/>
        <v>0</v>
      </c>
    </row>
    <row r="56" spans="1:26">
      <c r="A56" s="2" t="s">
        <v>545</v>
      </c>
      <c r="B56" s="2" t="str">
        <f t="shared" si="18"/>
        <v>354</v>
      </c>
      <c r="C56" s="100" t="s">
        <v>585</v>
      </c>
      <c r="D56" s="17">
        <f>SUMIFS('FCPIS F'!$F$6:$F$110,'FCPIS F'!$B$6:$B$110,'PIS F'!$A56,'FCPIS F'!$C$6:$C$110,'PIS F'!$B56)*1000</f>
        <v>56967504.82</v>
      </c>
      <c r="E56" s="21"/>
      <c r="F56" s="17">
        <f>SUMIFS('FCPIS F'!$S$113:$S$184,'FCPIS F'!$B$113:$B$184,'PIS F'!$A56,'FCPIS F'!$C$113:$C$184,'PIS F'!$B56)*1000</f>
        <v>2192481.5499999993</v>
      </c>
      <c r="G56" s="21"/>
      <c r="H56" s="17">
        <f>SUMIFS('FCPIS F'!$S$187:$S$231,'FCPIS F'!$B$187:$B$231,'PIS F'!$A56,'FCPIS F'!$C$187:$C$231,'PIS F'!$B56)*-1000</f>
        <v>0</v>
      </c>
      <c r="I56" s="21"/>
      <c r="J56" s="17">
        <f>SUMIFS('FCPIS F'!$S$323:$S$342,'FCPIS F'!$B$323:$B$342,'PIS B'!$A56,'FCPIS F'!$C$323:$C$342,'PIS B'!$B56)*1000</f>
        <v>0</v>
      </c>
      <c r="K56" s="21"/>
      <c r="L56" s="17">
        <f t="shared" si="19"/>
        <v>2192481.5499999993</v>
      </c>
      <c r="M56" s="21"/>
      <c r="N56" s="17">
        <f t="shared" si="20"/>
        <v>59159986.369999997</v>
      </c>
      <c r="O56" s="21"/>
      <c r="P56" s="17">
        <f>SUMIFS('FCPIS F'!$T$6:$T$110,'FCPIS F'!$B$6:$B$110,'PIS F'!$A56,'FCPIS F'!$C$6:$C$110,'PIS F'!$B56)*1000</f>
        <v>58234397.566923089</v>
      </c>
      <c r="Q56" s="17"/>
      <c r="R56" s="22">
        <f>SUMIFS('FCPIS F'!$T$234:$T$340,'FCPIS F'!$B$234:$B$340,'PIS F'!$A56,'FCPIS F'!$C$234:$C$340,'PIS F'!$B56)*-1000</f>
        <v>-8264064.6952278586</v>
      </c>
      <c r="S56" s="20"/>
      <c r="T56" s="22">
        <f t="shared" si="21"/>
        <v>49970332.871695228</v>
      </c>
      <c r="V56" s="13">
        <f t="shared" si="22"/>
        <v>18538.113428347402</v>
      </c>
      <c r="W56" s="21"/>
      <c r="X56" s="22">
        <f t="shared" si="23"/>
        <v>-8245526.5817995109</v>
      </c>
      <c r="Y56" s="17">
        <f>SUMIFS('FCPIS F'!$R$6:$R$110,'FCPIS F'!$B$6:$B$110,'PIS F'!$A56,'FCPIS F'!$C$6:$C$110,'PIS F'!$B56)*1000</f>
        <v>59159986.369999997</v>
      </c>
      <c r="Z56" s="17">
        <f t="shared" si="12"/>
        <v>0</v>
      </c>
    </row>
    <row r="57" spans="1:26">
      <c r="A57" s="2" t="s">
        <v>545</v>
      </c>
      <c r="B57" s="2" t="str">
        <f t="shared" si="18"/>
        <v>355</v>
      </c>
      <c r="C57" s="100" t="s">
        <v>586</v>
      </c>
      <c r="D57" s="17">
        <f>SUMIFS('FCPIS F'!$F$6:$F$110,'FCPIS F'!$B$6:$B$110,'PIS F'!$A57,'FCPIS F'!$C$6:$C$110,'PIS F'!$B57)*1000</f>
        <v>2274976.42</v>
      </c>
      <c r="E57" s="21"/>
      <c r="F57" s="17">
        <f>SUMIFS('FCPIS F'!$S$113:$S$184,'FCPIS F'!$B$113:$B$184,'PIS F'!$A57,'FCPIS F'!$C$113:$C$184,'PIS F'!$B57)*1000</f>
        <v>0</v>
      </c>
      <c r="G57" s="21"/>
      <c r="H57" s="17">
        <f>SUMIFS('FCPIS F'!$S$187:$S$231,'FCPIS F'!$B$187:$B$231,'PIS F'!$A57,'FCPIS F'!$C$187:$C$231,'PIS F'!$B57)*-1000</f>
        <v>0</v>
      </c>
      <c r="I57" s="21"/>
      <c r="J57" s="17">
        <f>SUMIFS('FCPIS F'!$S$323:$S$342,'FCPIS F'!$B$323:$B$342,'PIS B'!$A57,'FCPIS F'!$C$323:$C$342,'PIS B'!$B57)*1000</f>
        <v>0</v>
      </c>
      <c r="K57" s="21"/>
      <c r="L57" s="17">
        <f t="shared" si="19"/>
        <v>0</v>
      </c>
      <c r="M57" s="21"/>
      <c r="N57" s="17">
        <f t="shared" si="20"/>
        <v>2274976.42</v>
      </c>
      <c r="O57" s="21"/>
      <c r="P57" s="17">
        <f>SUMIFS('FCPIS F'!$T$6:$T$110,'FCPIS F'!$B$6:$B$110,'PIS F'!$A57,'FCPIS F'!$C$6:$C$110,'PIS F'!$B57)*1000</f>
        <v>2274976.4199999995</v>
      </c>
      <c r="Q57" s="17"/>
      <c r="R57" s="22">
        <f>SUMIFS('FCPIS F'!$T$234:$T$340,'FCPIS F'!$B$234:$B$340,'PIS F'!$A57,'FCPIS F'!$C$234:$C$340,'PIS F'!$B57)*-1000</f>
        <v>-305538.36716637999</v>
      </c>
      <c r="S57" s="20"/>
      <c r="T57" s="22">
        <f t="shared" si="21"/>
        <v>1969438.0528336195</v>
      </c>
      <c r="V57" s="13">
        <f t="shared" si="22"/>
        <v>0</v>
      </c>
      <c r="W57" s="21"/>
      <c r="X57" s="22">
        <f t="shared" si="23"/>
        <v>-305538.36716637999</v>
      </c>
      <c r="Y57" s="17">
        <f>SUMIFS('FCPIS F'!$R$6:$R$110,'FCPIS F'!$B$6:$B$110,'PIS F'!$A57,'FCPIS F'!$C$6:$C$110,'PIS F'!$B57)*1000</f>
        <v>2274976.42</v>
      </c>
      <c r="Z57" s="17">
        <f t="shared" si="12"/>
        <v>0</v>
      </c>
    </row>
    <row r="58" spans="1:26">
      <c r="A58" s="2" t="s">
        <v>545</v>
      </c>
      <c r="B58" s="2" t="str">
        <f t="shared" si="18"/>
        <v>356</v>
      </c>
      <c r="C58" s="100" t="s">
        <v>587</v>
      </c>
      <c r="D58" s="17">
        <f>SUMIFS('FCPIS F'!$F$6:$F$110,'FCPIS F'!$B$6:$B$110,'PIS F'!$A58,'FCPIS F'!$C$6:$C$110,'PIS F'!$B58)*1000</f>
        <v>23025971.409999996</v>
      </c>
      <c r="E58" s="21"/>
      <c r="F58" s="17">
        <f>SUMIFS('FCPIS F'!$S$113:$S$184,'FCPIS F'!$B$113:$B$184,'PIS F'!$A58,'FCPIS F'!$C$113:$C$184,'PIS F'!$B58)*1000</f>
        <v>1472293.11</v>
      </c>
      <c r="G58" s="21"/>
      <c r="H58" s="17">
        <f>SUMIFS('FCPIS F'!$S$187:$S$231,'FCPIS F'!$B$187:$B$231,'PIS F'!$A58,'FCPIS F'!$C$187:$C$231,'PIS F'!$B58)*-1000</f>
        <v>0</v>
      </c>
      <c r="I58" s="21"/>
      <c r="J58" s="17">
        <f>SUMIFS('FCPIS F'!$S$323:$S$342,'FCPIS F'!$B$323:$B$342,'PIS B'!$A58,'FCPIS F'!$C$323:$C$342,'PIS B'!$B58)*1000</f>
        <v>0</v>
      </c>
      <c r="K58" s="21"/>
      <c r="L58" s="17">
        <f t="shared" si="19"/>
        <v>1472293.11</v>
      </c>
      <c r="M58" s="21"/>
      <c r="N58" s="17">
        <f t="shared" si="20"/>
        <v>24498264.519999996</v>
      </c>
      <c r="O58" s="21"/>
      <c r="P58" s="17">
        <f>SUMIFS('FCPIS F'!$T$6:$T$110,'FCPIS F'!$B$6:$B$110,'PIS F'!$A58,'FCPIS F'!$C$6:$C$110,'PIS F'!$B58)*1000</f>
        <v>23951812.295384623</v>
      </c>
      <c r="Q58" s="17"/>
      <c r="R58" s="22">
        <f>SUMIFS('FCPIS F'!$T$234:$T$340,'FCPIS F'!$B$234:$B$340,'PIS F'!$A58,'FCPIS F'!$C$234:$C$340,'PIS F'!$B58)*-1000</f>
        <v>-6193602.1928084558</v>
      </c>
      <c r="S58" s="20"/>
      <c r="T58" s="22">
        <f t="shared" si="21"/>
        <v>17758210.102576166</v>
      </c>
      <c r="V58" s="13">
        <f t="shared" si="22"/>
        <v>12448.696169395073</v>
      </c>
      <c r="W58" s="21"/>
      <c r="X58" s="22">
        <f t="shared" si="23"/>
        <v>-6181153.4966390608</v>
      </c>
      <c r="Y58" s="17">
        <f>SUMIFS('FCPIS F'!$R$6:$R$110,'FCPIS F'!$B$6:$B$110,'PIS F'!$A58,'FCPIS F'!$C$6:$C$110,'PIS F'!$B58)*1000</f>
        <v>24498264.52</v>
      </c>
      <c r="Z58" s="17">
        <f t="shared" si="12"/>
        <v>0</v>
      </c>
    </row>
    <row r="59" spans="1:26">
      <c r="A59" s="2" t="s">
        <v>545</v>
      </c>
      <c r="B59" s="2" t="str">
        <f t="shared" si="18"/>
        <v>357</v>
      </c>
      <c r="C59" s="100" t="s">
        <v>588</v>
      </c>
      <c r="D59" s="17">
        <f>SUMIFS('FCPIS F'!$F$6:$F$110,'FCPIS F'!$B$6:$B$110,'PIS F'!$A59,'FCPIS F'!$C$6:$C$110,'PIS F'!$B59)*1000</f>
        <v>5310050.4799999995</v>
      </c>
      <c r="E59" s="21"/>
      <c r="F59" s="17">
        <f>SUMIFS('FCPIS F'!$S$113:$S$184,'FCPIS F'!$B$113:$B$184,'PIS F'!$A59,'FCPIS F'!$C$113:$C$184,'PIS F'!$B59)*1000</f>
        <v>3498512.7599999988</v>
      </c>
      <c r="G59" s="21"/>
      <c r="H59" s="17">
        <f>SUMIFS('FCPIS F'!$S$187:$S$231,'FCPIS F'!$B$187:$B$231,'PIS F'!$A59,'FCPIS F'!$C$187:$C$231,'PIS F'!$B59)*-1000</f>
        <v>0</v>
      </c>
      <c r="I59" s="21"/>
      <c r="J59" s="17">
        <f>SUMIFS('FCPIS F'!$S$323:$S$342,'FCPIS F'!$B$323:$B$342,'PIS B'!$A59,'FCPIS F'!$C$323:$C$342,'PIS B'!$B59)*1000</f>
        <v>0</v>
      </c>
      <c r="K59" s="21"/>
      <c r="L59" s="17">
        <f t="shared" si="19"/>
        <v>3498512.7599999988</v>
      </c>
      <c r="M59" s="21"/>
      <c r="N59" s="17">
        <f t="shared" si="20"/>
        <v>8808563.2399999984</v>
      </c>
      <c r="O59" s="21"/>
      <c r="P59" s="17">
        <f>SUMIFS('FCPIS F'!$T$6:$T$110,'FCPIS F'!$B$6:$B$110,'PIS F'!$A59,'FCPIS F'!$C$6:$C$110,'PIS F'!$B59)*1000</f>
        <v>7205881.5461538425</v>
      </c>
      <c r="Q59" s="17"/>
      <c r="R59" s="22">
        <f>SUMIFS('FCPIS F'!$T$234:$T$340,'FCPIS F'!$B$234:$B$340,'PIS F'!$A59,'FCPIS F'!$C$234:$C$340,'PIS F'!$B59)*-1000</f>
        <v>-426612.87707528844</v>
      </c>
      <c r="S59" s="20"/>
      <c r="T59" s="22">
        <f t="shared" si="21"/>
        <v>6779268.669078554</v>
      </c>
      <c r="V59" s="13">
        <f t="shared" si="22"/>
        <v>29581.013521140339</v>
      </c>
      <c r="W59" s="21"/>
      <c r="X59" s="22">
        <f t="shared" si="23"/>
        <v>-397031.86355414812</v>
      </c>
      <c r="Y59" s="17">
        <f>SUMIFS('FCPIS F'!$R$6:$R$110,'FCPIS F'!$B$6:$B$110,'PIS F'!$A59,'FCPIS F'!$C$6:$C$110,'PIS F'!$B59)*1000</f>
        <v>8808563.2399999909</v>
      </c>
      <c r="Z59" s="17">
        <f t="shared" si="12"/>
        <v>0</v>
      </c>
    </row>
    <row r="60" spans="1:26">
      <c r="A60" s="2" t="s">
        <v>545</v>
      </c>
      <c r="C60" s="100" t="s">
        <v>589</v>
      </c>
      <c r="D60" s="17">
        <f>SUMIFS('FCPIS F'!$F$6:$F$110,'FCPIS F'!$B$6:$B$110,'PIS F'!$A60,'FCPIS F'!$C$6:$C$110,'PIS F'!$B60)*1000</f>
        <v>0</v>
      </c>
      <c r="E60" s="21"/>
      <c r="F60" s="17">
        <f>SUMIFS('FCPIS F'!$S$113:$S$184,'FCPIS F'!$B$113:$B$184,'PIS F'!$A60,'FCPIS F'!$C$113:$C$184,'PIS F'!$B60)*1000</f>
        <v>0</v>
      </c>
      <c r="G60" s="21"/>
      <c r="H60" s="17">
        <f>SUMIFS('FCPIS F'!$S$187:$S$231,'FCPIS F'!$B$187:$B$231,'PIS F'!$A60,'FCPIS F'!$C$187:$C$231,'PIS F'!$B60)*-1000</f>
        <v>0</v>
      </c>
      <c r="I60" s="21"/>
      <c r="J60" s="17">
        <f>SUMIFS('FCPIS F'!$S$323:$S$342,'FCPIS F'!$B$323:$B$342,'PIS B'!$A60,'FCPIS F'!$C$323:$C$342,'PIS B'!$B60)*1000</f>
        <v>0</v>
      </c>
      <c r="K60" s="21"/>
      <c r="L60" s="17">
        <f t="shared" si="19"/>
        <v>0</v>
      </c>
      <c r="M60" s="21"/>
      <c r="N60" s="17">
        <f t="shared" si="20"/>
        <v>0</v>
      </c>
      <c r="O60" s="21"/>
      <c r="P60" s="17">
        <f>SUMIFS('FCPIS F'!$T$6:$T$110,'FCPIS F'!$B$6:$B$110,'PIS F'!$A60,'FCPIS F'!$C$6:$C$110,'PIS F'!$B60)*1000</f>
        <v>0</v>
      </c>
      <c r="Q60" s="17"/>
      <c r="R60" s="22">
        <f>SUMIFS('FCPIS F'!$T$234:$T$340,'FCPIS F'!$B$234:$B$340,'PIS F'!$A60,'FCPIS F'!$C$234:$C$340,'PIS F'!$B60)*-1000</f>
        <v>0</v>
      </c>
      <c r="S60" s="20"/>
      <c r="T60" s="22">
        <f t="shared" si="21"/>
        <v>0</v>
      </c>
      <c r="V60" s="13">
        <f t="shared" si="22"/>
        <v>0</v>
      </c>
      <c r="W60" s="21"/>
      <c r="X60" s="22">
        <f t="shared" si="23"/>
        <v>0</v>
      </c>
      <c r="Y60" s="17">
        <f>SUMIFS('FCPIS F'!$R$6:$R$110,'FCPIS F'!$B$6:$B$110,'PIS F'!$A60,'FCPIS F'!$C$6:$C$110,'PIS F'!$B60)*1000</f>
        <v>0</v>
      </c>
      <c r="Z60" s="17">
        <f t="shared" si="12"/>
        <v>0</v>
      </c>
    </row>
    <row r="61" spans="1:26">
      <c r="A61" s="2" t="s">
        <v>545</v>
      </c>
      <c r="B61" s="2" t="str">
        <f t="shared" si="18"/>
        <v>358</v>
      </c>
      <c r="C61" s="100" t="s">
        <v>590</v>
      </c>
      <c r="D61" s="17">
        <f>SUMIFS('FCPIS F'!$F$6:$F$110,'FCPIS F'!$B$6:$B$110,'PIS F'!$A61,'FCPIS F'!$C$6:$C$110,'PIS F'!$B61)*1000</f>
        <v>4432697.84</v>
      </c>
      <c r="E61" s="21"/>
      <c r="F61" s="17">
        <f>SUMIFS('FCPIS F'!$S$113:$S$184,'FCPIS F'!$B$113:$B$184,'PIS F'!$A61,'FCPIS F'!$C$113:$C$184,'PIS F'!$B61)*1000</f>
        <v>0</v>
      </c>
      <c r="G61" s="21"/>
      <c r="H61" s="17">
        <f>SUMIFS('FCPIS F'!$S$187:$S$231,'FCPIS F'!$B$187:$B$231,'PIS F'!$A61,'FCPIS F'!$C$187:$C$231,'PIS F'!$B61)*-1000</f>
        <v>0</v>
      </c>
      <c r="I61" s="21"/>
      <c r="J61" s="17">
        <f>SUMIFS('FCPIS F'!$S$323:$S$342,'FCPIS F'!$B$323:$B$342,'PIS B'!$A61,'FCPIS F'!$C$323:$C$342,'PIS B'!$B61)*1000</f>
        <v>0</v>
      </c>
      <c r="K61" s="21"/>
      <c r="L61" s="17">
        <f t="shared" si="19"/>
        <v>0</v>
      </c>
      <c r="M61" s="21"/>
      <c r="N61" s="17">
        <f t="shared" si="20"/>
        <v>4432697.84</v>
      </c>
      <c r="O61" s="21"/>
      <c r="P61" s="17">
        <f>SUMIFS('FCPIS F'!$T$6:$T$110,'FCPIS F'!$B$6:$B$110,'PIS F'!$A61,'FCPIS F'!$C$6:$C$110,'PIS F'!$B61)*1000</f>
        <v>4432697.84</v>
      </c>
      <c r="Q61" s="17"/>
      <c r="R61" s="22">
        <f>SUMIFS('FCPIS F'!$T$234:$T$340,'FCPIS F'!$B$234:$B$340,'PIS F'!$A61,'FCPIS F'!$C$234:$C$340,'PIS F'!$B61)*-1000</f>
        <v>-1088047.5585119938</v>
      </c>
      <c r="S61" s="20"/>
      <c r="T61" s="22">
        <f t="shared" si="21"/>
        <v>3344650.281488006</v>
      </c>
      <c r="V61" s="13">
        <f t="shared" si="22"/>
        <v>0</v>
      </c>
      <c r="W61" s="21"/>
      <c r="X61" s="22">
        <f t="shared" si="23"/>
        <v>-1088047.5585119938</v>
      </c>
      <c r="Y61" s="17">
        <f>SUMIFS('FCPIS F'!$R$6:$R$110,'FCPIS F'!$B$6:$B$110,'PIS F'!$A61,'FCPIS F'!$C$6:$C$110,'PIS F'!$B61)*1000</f>
        <v>4432697.84</v>
      </c>
      <c r="Z61" s="17">
        <f t="shared" si="12"/>
        <v>0</v>
      </c>
    </row>
    <row r="62" spans="1:26">
      <c r="A62" s="2" t="s">
        <v>545</v>
      </c>
      <c r="B62" s="2" t="str">
        <f t="shared" si="18"/>
        <v/>
      </c>
      <c r="C62" s="100"/>
      <c r="D62" s="26">
        <f>SUM(D44:D61)</f>
        <v>164576377.69</v>
      </c>
      <c r="E62" s="25"/>
      <c r="F62" s="26">
        <f>SUM(F44:F61)</f>
        <v>8287906.0999999987</v>
      </c>
      <c r="G62" s="25"/>
      <c r="H62" s="26">
        <f>SUM(H44:H61)</f>
        <v>0</v>
      </c>
      <c r="I62" s="25"/>
      <c r="J62" s="26">
        <f>SUM(J44:J61)</f>
        <v>0</v>
      </c>
      <c r="K62" s="25"/>
      <c r="L62" s="26">
        <f>SUM(L44:L61)</f>
        <v>8287906.0999999987</v>
      </c>
      <c r="M62" s="25"/>
      <c r="N62" s="26">
        <f>SUM(N44:N61)</f>
        <v>172864283.78999999</v>
      </c>
      <c r="O62" s="100"/>
      <c r="P62" s="26">
        <f>SUM(P44:P61)</f>
        <v>169640895.09692311</v>
      </c>
      <c r="Q62" s="8"/>
      <c r="R62" s="26">
        <f>SUM(R44:R61)</f>
        <v>-40199206.249896847</v>
      </c>
      <c r="S62" s="100"/>
      <c r="T62" s="26">
        <f>SUM(T44:T61)</f>
        <v>129441688.84702623</v>
      </c>
      <c r="U62" s="100"/>
      <c r="V62" s="26">
        <f>SUM('FC CWIP &amp; RWIP F'!Q21)*1000</f>
        <v>70076.823846153857</v>
      </c>
      <c r="W62" s="6"/>
      <c r="X62" s="26">
        <f t="shared" si="23"/>
        <v>-40129129.426050693</v>
      </c>
      <c r="Y62" s="8"/>
      <c r="Z62" s="8"/>
    </row>
    <row r="63" spans="1:26">
      <c r="A63" s="2" t="s">
        <v>545</v>
      </c>
      <c r="B63" s="2" t="str">
        <f t="shared" si="18"/>
        <v/>
      </c>
      <c r="C63" s="100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100"/>
      <c r="P63" s="25"/>
      <c r="Q63" s="8"/>
      <c r="R63" s="100"/>
      <c r="S63" s="100"/>
      <c r="T63" s="100"/>
      <c r="U63" s="100"/>
      <c r="V63" s="13"/>
      <c r="W63" s="6"/>
      <c r="X63" s="13"/>
      <c r="Y63" s="8"/>
      <c r="Z63" s="8"/>
    </row>
    <row r="64" spans="1:26">
      <c r="A64" s="2" t="s">
        <v>545</v>
      </c>
      <c r="C64" s="108" t="s">
        <v>591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100"/>
      <c r="P64" s="25"/>
      <c r="Q64" s="8"/>
      <c r="R64" s="100"/>
      <c r="S64" s="100"/>
      <c r="T64" s="100"/>
      <c r="U64" s="100"/>
      <c r="V64" s="13"/>
      <c r="W64" s="6"/>
      <c r="X64" s="13"/>
      <c r="Y64" s="8"/>
      <c r="Z64" s="8"/>
    </row>
    <row r="65" spans="1:26">
      <c r="A65" s="2" t="s">
        <v>545</v>
      </c>
      <c r="B65" s="2" t="str">
        <f t="shared" ref="B65:B67" si="24">MID(C65,2,3)</f>
        <v>365</v>
      </c>
      <c r="C65" s="100" t="s">
        <v>592</v>
      </c>
      <c r="D65" s="17">
        <f>SUMIFS('FCPIS F'!$F$6:$F$110,'FCPIS F'!$B$6:$B$110,'PIS F'!$A65,'FCPIS F'!$C$6:$C$110,'PIS F'!$B65)*1000</f>
        <v>220659.049999999</v>
      </c>
      <c r="E65" s="21"/>
      <c r="F65" s="17">
        <f>SUMIFS('FCPIS F'!$S$113:$S$184,'FCPIS F'!$B$113:$B$184,'PIS F'!$A65,'FCPIS F'!$C$113:$C$184,'PIS F'!$B65)*1000</f>
        <v>0</v>
      </c>
      <c r="G65" s="21"/>
      <c r="H65" s="17">
        <f>SUMIFS('FCPIS F'!$S$187:$S$231,'FCPIS F'!$B$187:$B$231,'PIS F'!$A65,'FCPIS F'!$C$187:$C$231,'PIS F'!$B65)*-1000</f>
        <v>0</v>
      </c>
      <c r="I65" s="21"/>
      <c r="J65" s="17">
        <f>SUMIFS('FCPIS F'!$S$323:$S$342,'FCPIS F'!$B$323:$B$342,'PIS B'!$A65,'FCPIS F'!$C$323:$C$342,'PIS B'!$B65)*1000</f>
        <v>0</v>
      </c>
      <c r="K65" s="21"/>
      <c r="L65" s="17">
        <f t="shared" ref="L65:L67" si="25">SUM(F65:J65)</f>
        <v>0</v>
      </c>
      <c r="M65" s="21"/>
      <c r="N65" s="17">
        <f t="shared" ref="N65:N67" si="26">D65+L65</f>
        <v>220659.049999999</v>
      </c>
      <c r="O65" s="21"/>
      <c r="P65" s="17">
        <f>SUMIFS('FCPIS F'!$T$6:$T$110,'FCPIS F'!$B$6:$B$110,'PIS F'!$A65,'FCPIS F'!$C$6:$C$110,'PIS F'!$B65)*1000</f>
        <v>220659.049999999</v>
      </c>
      <c r="Q65" s="17"/>
      <c r="R65" s="22">
        <f>SUMIFS('FCPIS F'!$T$234:$T$340,'FCPIS F'!$B$234:$B$340,'PIS F'!$A65,'FCPIS F'!$C$234:$C$340,'PIS F'!$B65)*-1000</f>
        <v>-211169.46206668005</v>
      </c>
      <c r="S65" s="20"/>
      <c r="T65" s="22">
        <f t="shared" ref="T65:T67" si="27">P65+R65</f>
        <v>9489.5879333189514</v>
      </c>
      <c r="V65" s="13">
        <f>F65/F$68*V$68</f>
        <v>0</v>
      </c>
      <c r="W65" s="21"/>
      <c r="X65" s="22">
        <f t="shared" ref="X65:X68" si="28">R65+V65</f>
        <v>-211169.46206668005</v>
      </c>
      <c r="Y65" s="17">
        <f>SUMIFS('FCPIS F'!$R$6:$R$110,'FCPIS F'!$B$6:$B$110,'PIS F'!$A65,'FCPIS F'!$C$6:$C$110,'PIS F'!$B65)*1000</f>
        <v>220659.049999999</v>
      </c>
      <c r="Z65" s="17">
        <f t="shared" ref="Z65:Z67" si="29">Y65-N65</f>
        <v>0</v>
      </c>
    </row>
    <row r="66" spans="1:26">
      <c r="A66" s="2" t="s">
        <v>545</v>
      </c>
      <c r="B66" s="2" t="str">
        <f t="shared" si="24"/>
        <v>367</v>
      </c>
      <c r="C66" s="100" t="s">
        <v>593</v>
      </c>
      <c r="D66" s="17">
        <f>SUMIFS('FCPIS F'!$F$6:$F$110,'FCPIS F'!$B$6:$B$110,'PIS F'!$A66,'FCPIS F'!$C$6:$C$110,'PIS F'!$B66)*1000</f>
        <v>52925318.019999996</v>
      </c>
      <c r="E66" s="21"/>
      <c r="F66" s="17">
        <f>SUMIFS('FCPIS F'!$S$113:$S$184,'FCPIS F'!$B$113:$B$184,'PIS F'!$A66,'FCPIS F'!$C$113:$C$184,'PIS F'!$B66)*1000</f>
        <v>31202.13</v>
      </c>
      <c r="G66" s="21"/>
      <c r="H66" s="17">
        <f>SUMIFS('FCPIS F'!$S$187:$S$231,'FCPIS F'!$B$187:$B$231,'PIS F'!$A66,'FCPIS F'!$C$187:$C$231,'PIS F'!$B66)*-1000</f>
        <v>0</v>
      </c>
      <c r="I66" s="21"/>
      <c r="J66" s="17">
        <f>SUMIFS('FCPIS F'!$S$323:$S$342,'FCPIS F'!$B$323:$B$342,'PIS B'!$A66,'FCPIS F'!$C$323:$C$342,'PIS B'!$B66)*1000</f>
        <v>0</v>
      </c>
      <c r="K66" s="21"/>
      <c r="L66" s="17">
        <f t="shared" si="25"/>
        <v>31202.13</v>
      </c>
      <c r="M66" s="21"/>
      <c r="N66" s="17">
        <f t="shared" si="26"/>
        <v>52956520.149999999</v>
      </c>
      <c r="O66" s="21"/>
      <c r="P66" s="17">
        <f>SUMIFS('FCPIS F'!$T$6:$T$110,'FCPIS F'!$B$6:$B$110,'PIS F'!$A66,'FCPIS F'!$C$6:$C$110,'PIS F'!$B66)*1000</f>
        <v>52930096.874615379</v>
      </c>
      <c r="Q66" s="17"/>
      <c r="R66" s="22">
        <f>SUMIFS('FCPIS F'!$T$234:$T$340,'FCPIS F'!$B$234:$B$340,'PIS F'!$A66,'FCPIS F'!$C$234:$C$340,'PIS F'!$B66)*-1000</f>
        <v>-11804769.880795967</v>
      </c>
      <c r="S66" s="20"/>
      <c r="T66" s="22">
        <f t="shared" si="27"/>
        <v>41125326.993819416</v>
      </c>
      <c r="V66" s="13">
        <f>F66/F$68*V$68</f>
        <v>66298.275384615379</v>
      </c>
      <c r="W66" s="21"/>
      <c r="X66" s="22">
        <f t="shared" si="28"/>
        <v>-11738471.605411351</v>
      </c>
      <c r="Y66" s="17">
        <f>SUMIFS('FCPIS F'!$R$6:$R$110,'FCPIS F'!$B$6:$B$110,'PIS F'!$A66,'FCPIS F'!$C$6:$C$110,'PIS F'!$B66)*1000</f>
        <v>52956520.149999999</v>
      </c>
      <c r="Z66" s="17">
        <f t="shared" si="29"/>
        <v>0</v>
      </c>
    </row>
    <row r="67" spans="1:26">
      <c r="A67" s="2" t="s">
        <v>545</v>
      </c>
      <c r="B67" s="2" t="str">
        <f t="shared" si="24"/>
        <v>372</v>
      </c>
      <c r="C67" s="100" t="s">
        <v>594</v>
      </c>
      <c r="D67" s="17">
        <f>SUMIFS('FCPIS F'!$F$6:$F$110,'FCPIS F'!$B$6:$B$110,'PIS F'!$A67,'FCPIS F'!$C$6:$C$110,'PIS F'!$B67)*1000</f>
        <v>2332004.91</v>
      </c>
      <c r="E67" s="21"/>
      <c r="F67" s="17">
        <f>SUMIFS('FCPIS F'!$S$113:$S$184,'FCPIS F'!$B$113:$B$184,'PIS F'!$A67,'FCPIS F'!$C$113:$C$184,'PIS F'!$B67)*1000</f>
        <v>0</v>
      </c>
      <c r="G67" s="21"/>
      <c r="H67" s="17">
        <f>SUMIFS('FCPIS F'!$S$187:$S$231,'FCPIS F'!$B$187:$B$231,'PIS F'!$A67,'FCPIS F'!$C$187:$C$231,'PIS F'!$B67)*-1000</f>
        <v>0</v>
      </c>
      <c r="I67" s="21"/>
      <c r="J67" s="17">
        <f>SUMIFS('FCPIS F'!$S$323:$S$342,'FCPIS F'!$B$323:$B$342,'PIS B'!$A67,'FCPIS F'!$C$323:$C$342,'PIS B'!$B67)*1000</f>
        <v>0</v>
      </c>
      <c r="K67" s="21"/>
      <c r="L67" s="17">
        <f t="shared" si="25"/>
        <v>0</v>
      </c>
      <c r="M67" s="21"/>
      <c r="N67" s="17">
        <f t="shared" si="26"/>
        <v>2332004.91</v>
      </c>
      <c r="O67" s="21"/>
      <c r="P67" s="17">
        <f>SUMIFS('FCPIS F'!$T$6:$T$110,'FCPIS F'!$B$6:$B$110,'PIS F'!$A67,'FCPIS F'!$C$6:$C$110,'PIS F'!$B67)*1000</f>
        <v>2332004.91</v>
      </c>
      <c r="Q67" s="17"/>
      <c r="R67" s="22">
        <f>SUMIFS('FCPIS F'!$T$234:$T$340,'FCPIS F'!$B$234:$B$340,'PIS F'!$A67,'FCPIS F'!$C$234:$C$340,'PIS F'!$B67)*-1000</f>
        <v>-368740.60279599897</v>
      </c>
      <c r="S67" s="20"/>
      <c r="T67" s="22">
        <f t="shared" si="27"/>
        <v>1963264.3072040011</v>
      </c>
      <c r="V67" s="13">
        <f>F67/F$68*V$68</f>
        <v>0</v>
      </c>
      <c r="W67" s="21"/>
      <c r="X67" s="22">
        <f t="shared" si="28"/>
        <v>-368740.60279599897</v>
      </c>
      <c r="Y67" s="17">
        <f>SUMIFS('FCPIS F'!$R$6:$R$110,'FCPIS F'!$B$6:$B$110,'PIS F'!$A67,'FCPIS F'!$C$6:$C$110,'PIS F'!$B67)*1000</f>
        <v>2332004.91</v>
      </c>
      <c r="Z67" s="17">
        <f t="shared" si="29"/>
        <v>0</v>
      </c>
    </row>
    <row r="68" spans="1:26">
      <c r="C68" s="100"/>
      <c r="D68" s="26">
        <f>SUM(D65:D67)</f>
        <v>55477981.979999989</v>
      </c>
      <c r="E68" s="25"/>
      <c r="F68" s="26">
        <f>SUM(F65:F67)</f>
        <v>31202.13</v>
      </c>
      <c r="G68" s="25"/>
      <c r="H68" s="26">
        <f>SUM(H65:H67)</f>
        <v>0</v>
      </c>
      <c r="I68" s="25"/>
      <c r="J68" s="26">
        <f>SUM(J65:J67)</f>
        <v>0</v>
      </c>
      <c r="K68" s="25"/>
      <c r="L68" s="26">
        <f>SUM(L65:L67)</f>
        <v>31202.13</v>
      </c>
      <c r="M68" s="25"/>
      <c r="N68" s="26">
        <f>SUM(N65:N67)</f>
        <v>55509184.109999999</v>
      </c>
      <c r="O68" s="100"/>
      <c r="P68" s="26">
        <f>SUM(P65:P67)</f>
        <v>55482760.83461538</v>
      </c>
      <c r="Q68" s="8"/>
      <c r="R68" s="26">
        <f>SUM(R65:R67)</f>
        <v>-12384679.945658647</v>
      </c>
      <c r="S68" s="100"/>
      <c r="T68" s="26">
        <f>SUM(T65:T67)</f>
        <v>43098080.888956733</v>
      </c>
      <c r="U68" s="100"/>
      <c r="V68" s="26">
        <f>SUM('FC CWIP &amp; RWIP F'!Q22+'FC CWIP &amp; RWIP F'!Q19)*1000</f>
        <v>66298.275384615379</v>
      </c>
      <c r="W68" s="6"/>
      <c r="X68" s="26">
        <f t="shared" si="28"/>
        <v>-12318381.67027403</v>
      </c>
      <c r="Y68" s="8"/>
      <c r="Z68" s="8"/>
    </row>
    <row r="69" spans="1:26">
      <c r="B69" s="2" t="str">
        <f t="shared" ref="B69" si="30">MID(C69,2,3)</f>
        <v/>
      </c>
      <c r="C69" s="100"/>
      <c r="D69" s="25"/>
      <c r="E69" s="25"/>
      <c r="F69" s="25">
        <v>0</v>
      </c>
      <c r="G69" s="25"/>
      <c r="H69" s="25"/>
      <c r="I69" s="25"/>
      <c r="J69" s="25"/>
      <c r="K69" s="25"/>
      <c r="L69" s="25"/>
      <c r="M69" s="25"/>
      <c r="N69" s="25"/>
      <c r="O69" s="100"/>
      <c r="P69" s="25"/>
      <c r="Q69" s="16"/>
      <c r="R69" s="100"/>
      <c r="S69" s="100"/>
      <c r="T69" s="100"/>
      <c r="U69" s="100"/>
      <c r="V69" s="13"/>
      <c r="W69" s="6"/>
      <c r="X69" s="13"/>
      <c r="Y69" s="16"/>
      <c r="Z69" s="16"/>
    </row>
    <row r="70" spans="1:26">
      <c r="C70" s="100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100"/>
      <c r="P70" s="23"/>
      <c r="Q70" s="16"/>
      <c r="R70" s="100"/>
      <c r="S70" s="100"/>
      <c r="T70" s="100"/>
      <c r="U70" s="100"/>
      <c r="V70" s="13"/>
      <c r="W70" s="6"/>
      <c r="X70" s="13"/>
      <c r="Y70" s="16"/>
      <c r="Z70" s="16"/>
    </row>
    <row r="71" spans="1:26" s="19" customFormat="1" ht="15.75" thickBot="1">
      <c r="C71" s="112" t="s">
        <v>595</v>
      </c>
      <c r="D71" s="30">
        <f>D68+D62+D41+D37+D27</f>
        <v>1158623339.4799976</v>
      </c>
      <c r="E71" s="111"/>
      <c r="F71" s="30">
        <f>F68+F62+F41+F37+F27</f>
        <v>71255451.579999954</v>
      </c>
      <c r="G71" s="111"/>
      <c r="H71" s="30">
        <f>H68+H62+H41+H37+H27</f>
        <v>-5765636.46</v>
      </c>
      <c r="I71" s="111"/>
      <c r="J71" s="30">
        <f>J68+J62+J41+J37+J27</f>
        <v>0</v>
      </c>
      <c r="K71" s="111"/>
      <c r="L71" s="30">
        <f>L68+L62+L41+L37+L27</f>
        <v>65489815.119999968</v>
      </c>
      <c r="M71" s="111"/>
      <c r="N71" s="30">
        <f>N68+N62+N41+N37+N27</f>
        <v>1224113154.5999975</v>
      </c>
      <c r="O71" s="111"/>
      <c r="P71" s="30">
        <f>P68+P62+P41+P37+P27</f>
        <v>1196101568.6684606</v>
      </c>
      <c r="Q71" s="98"/>
      <c r="R71" s="30">
        <f>R68+R62+R41+R37+R27</f>
        <v>-331474171.24920177</v>
      </c>
      <c r="S71"/>
      <c r="T71" s="30">
        <f>T68+T62+T41+T37+T27</f>
        <v>864627397.41925883</v>
      </c>
      <c r="V71" s="30">
        <f>V68+V62+V41+V37+V27</f>
        <v>186829.09923076924</v>
      </c>
      <c r="X71" s="30">
        <f>X68+X62+X41+X37+X27</f>
        <v>-331287342.14997101</v>
      </c>
      <c r="Y71" s="98"/>
      <c r="Z71" s="98"/>
    </row>
    <row r="72" spans="1:26" s="19" customFormat="1" ht="13.5" thickTop="1">
      <c r="C72" s="18"/>
      <c r="D72" s="98"/>
      <c r="E72" s="99"/>
      <c r="F72" s="98"/>
      <c r="G72" s="99"/>
      <c r="H72" s="98"/>
      <c r="I72" s="99"/>
      <c r="J72" s="98"/>
      <c r="K72" s="99"/>
      <c r="L72" s="98"/>
      <c r="M72" s="99"/>
      <c r="N72" s="98"/>
      <c r="P72" s="98"/>
      <c r="Q72" s="98"/>
      <c r="Y72" s="98"/>
      <c r="Z72" s="98"/>
    </row>
    <row r="73" spans="1:26" s="19" customFormat="1">
      <c r="D73" s="98"/>
      <c r="E73" s="99"/>
      <c r="F73" s="98"/>
      <c r="G73" s="99"/>
      <c r="H73" s="98"/>
      <c r="I73" s="99"/>
      <c r="J73" s="98"/>
      <c r="K73" s="99"/>
      <c r="L73" s="98"/>
      <c r="M73" s="99"/>
      <c r="N73" s="98"/>
      <c r="P73" s="98"/>
      <c r="Q73" s="98"/>
      <c r="Y73" s="98"/>
      <c r="Z73" s="98"/>
    </row>
    <row r="74" spans="1:26" s="19" customFormat="1">
      <c r="D74" s="98"/>
      <c r="E74" s="99"/>
      <c r="F74" s="98"/>
      <c r="G74" s="99"/>
      <c r="H74" s="98"/>
      <c r="I74" s="99"/>
      <c r="J74" s="98"/>
      <c r="K74" s="99"/>
      <c r="L74" s="98"/>
      <c r="M74" s="99"/>
      <c r="N74" s="98"/>
      <c r="P74" s="98"/>
      <c r="Q74" s="98"/>
      <c r="Y74" s="98"/>
      <c r="Z74" s="98"/>
    </row>
    <row r="75" spans="1:26" s="19" customFormat="1">
      <c r="D75" s="98"/>
      <c r="E75" s="99"/>
      <c r="F75" s="98"/>
      <c r="G75" s="99"/>
      <c r="H75" s="98"/>
      <c r="I75" s="99"/>
      <c r="J75" s="98"/>
      <c r="K75" s="99"/>
      <c r="L75" s="98"/>
      <c r="M75" s="99"/>
      <c r="N75" s="98"/>
      <c r="P75" s="98"/>
      <c r="Q75" s="98"/>
      <c r="Y75" s="98"/>
      <c r="Z75" s="98"/>
    </row>
    <row r="76" spans="1:26" s="19" customFormat="1" ht="15">
      <c r="C76"/>
      <c r="D76" s="24"/>
      <c r="E76" s="385"/>
      <c r="F76" s="25"/>
      <c r="G76" s="385"/>
      <c r="H76" s="25"/>
      <c r="I76" s="385"/>
      <c r="J76" s="24"/>
      <c r="K76" s="385"/>
      <c r="L76" s="25"/>
      <c r="M76" s="385"/>
      <c r="N76" s="24"/>
      <c r="O76" s="385"/>
      <c r="P76" s="98"/>
      <c r="Q76" s="98"/>
      <c r="R76" s="385"/>
      <c r="S76" s="385"/>
      <c r="T76" s="386"/>
      <c r="Y76" s="98"/>
      <c r="Z76" s="98"/>
    </row>
    <row r="77" spans="1:26" s="19" customFormat="1" ht="15">
      <c r="C77" s="109" t="s">
        <v>454</v>
      </c>
      <c r="D77" s="24"/>
      <c r="E77" s="385"/>
      <c r="F77" s="24"/>
      <c r="G77" s="385"/>
      <c r="H77" s="24"/>
      <c r="I77" s="385"/>
      <c r="J77" s="24"/>
      <c r="K77" s="385"/>
      <c r="L77" s="24"/>
      <c r="M77" s="385"/>
      <c r="N77" s="24"/>
      <c r="O77" s="387"/>
      <c r="P77" s="98"/>
      <c r="Q77" s="98"/>
      <c r="R77" s="24"/>
      <c r="S77" s="387"/>
      <c r="T77" s="24"/>
      <c r="Y77" s="98"/>
      <c r="Z77" s="98"/>
    </row>
    <row r="78" spans="1:26" s="19" customFormat="1" ht="15">
      <c r="C78" s="109" t="s">
        <v>455</v>
      </c>
      <c r="D78" s="24"/>
      <c r="E78"/>
      <c r="F78" s="24"/>
      <c r="G78"/>
      <c r="H78" s="24"/>
      <c r="I78"/>
      <c r="J78" s="24"/>
      <c r="K78"/>
      <c r="L78" s="24"/>
      <c r="M78"/>
      <c r="N78" s="24"/>
      <c r="O78" s="110"/>
      <c r="P78" s="98"/>
      <c r="Q78" s="98"/>
      <c r="R78" s="110"/>
      <c r="S78" s="110"/>
      <c r="T78" s="110"/>
      <c r="Y78" s="98"/>
      <c r="Z78" s="98"/>
    </row>
    <row r="79" spans="1:26" s="19" customFormat="1" ht="15">
      <c r="C79" s="109" t="s">
        <v>16</v>
      </c>
      <c r="D79"/>
      <c r="E79"/>
      <c r="F79"/>
      <c r="G79"/>
      <c r="H79"/>
      <c r="I79"/>
      <c r="J79"/>
      <c r="K79"/>
      <c r="L79"/>
      <c r="M79"/>
      <c r="N79"/>
      <c r="O79" s="110"/>
      <c r="P79" s="98"/>
      <c r="Q79" s="98"/>
      <c r="R79" s="110"/>
      <c r="S79" s="110"/>
      <c r="T79" s="110"/>
      <c r="Y79" s="98"/>
      <c r="Z79" s="98"/>
    </row>
    <row r="80" spans="1:26" s="19" customFormat="1" ht="15">
      <c r="C80" s="109" t="s">
        <v>458</v>
      </c>
      <c r="D80"/>
      <c r="E80"/>
      <c r="F80"/>
      <c r="G80"/>
      <c r="H80"/>
      <c r="I80"/>
      <c r="J80"/>
      <c r="K80"/>
      <c r="L80"/>
      <c r="M80"/>
      <c r="N80"/>
      <c r="O80" s="110"/>
      <c r="P80" s="98"/>
      <c r="Q80" s="98"/>
      <c r="R80" s="110"/>
      <c r="S80" s="110"/>
      <c r="T80" s="110"/>
      <c r="Y80" s="98"/>
      <c r="Z80" s="98"/>
    </row>
    <row r="81" spans="1:26" s="19" customFormat="1">
      <c r="A81" s="19" t="s">
        <v>452</v>
      </c>
      <c r="B81" s="2" t="str">
        <f t="shared" ref="B81:B108" si="31">MID(C81,2,3)</f>
        <v>389</v>
      </c>
      <c r="C81" s="100" t="s">
        <v>459</v>
      </c>
      <c r="D81" s="17">
        <f>SUMIFS('FCPIS F'!$F$6:$F$110,'FCPIS F'!$B$6:$B$110,'PIS F'!$A81,'FCPIS F'!$C$6:$C$110,'PIS F'!$B81)*1000*$A$4</f>
        <v>529946.79299999995</v>
      </c>
      <c r="E81" s="21"/>
      <c r="F81" s="17">
        <f>SUMIFS('FCPIS F'!$S$113:$S$184,'FCPIS F'!$B$113:$B$184,'PIS F'!$A81,'FCPIS F'!$C$113:$C$184,'PIS F'!$B81)*1000*$A$4</f>
        <v>0</v>
      </c>
      <c r="G81" s="21"/>
      <c r="H81" s="8">
        <f>SUMIFS('FCPIS F'!$S$187:$S$231,'FCPIS F'!$B$187:$B$231,'PIS F'!$A81,'FCPIS F'!$C$187:$C$231,'PIS F'!$B81)*-1000*$A$4</f>
        <v>0</v>
      </c>
      <c r="I81" s="237"/>
      <c r="J81" s="8">
        <f>SUMIFS('FCPIS F'!$S$323:$S$342,'FCPIS F'!$B$323:$B$342,'PIS B'!$A81,'FCPIS F'!$C$323:$C$342,'PIS B'!$B81)*1000*$A$4</f>
        <v>0</v>
      </c>
      <c r="K81" s="21"/>
      <c r="L81" s="17">
        <f t="shared" ref="L81" si="32">SUM(F81:J81)</f>
        <v>0</v>
      </c>
      <c r="M81" s="21"/>
      <c r="N81" s="17">
        <f t="shared" ref="N81:N110" si="33">D81+L81</f>
        <v>529946.79299999995</v>
      </c>
      <c r="O81" s="21"/>
      <c r="P81" s="17">
        <f>SUMIFS('FCPIS F'!$T$6:$T$110,'FCPIS F'!$B$6:$B$110,'PIS F'!$A81,'FCPIS F'!$C$6:$C$110,'PIS F'!$B81)*1000*$A$4</f>
        <v>529946.79300000018</v>
      </c>
      <c r="Q81" s="17"/>
      <c r="R81" s="22">
        <f>SUMIFS('FCPIS F'!$T$234:$T$340,'FCPIS F'!$B$234:$B$340,'PIS F'!$A81,'FCPIS F'!$C$234:$C$340,'PIS F'!$B81)*-1000*$A$4</f>
        <v>-42597.187771499986</v>
      </c>
      <c r="S81" s="20"/>
      <c r="T81" s="22">
        <f t="shared" ref="T81:T110" si="34">P81+R81</f>
        <v>487349.60522850021</v>
      </c>
      <c r="U81" s="2"/>
      <c r="V81" s="13">
        <f>F81/F$111*V$111</f>
        <v>0</v>
      </c>
      <c r="W81" s="21"/>
      <c r="X81" s="22">
        <f t="shared" ref="X81:X111" si="35">R81+V81</f>
        <v>-42597.187771499986</v>
      </c>
      <c r="Y81" s="17">
        <f>SUMIFS('FCPIS F'!$R$6:$R$110,'FCPIS F'!$B$6:$B$110,'PIS F'!$A81,'FCPIS F'!$C$6:$C$110,'PIS F'!$B81)*1000*$A$4</f>
        <v>529946.79299999995</v>
      </c>
      <c r="Z81" s="17">
        <f t="shared" ref="Z81:Z110" si="36">Y81-N81</f>
        <v>0</v>
      </c>
    </row>
    <row r="82" spans="1:26" s="19" customFormat="1">
      <c r="A82" s="19" t="s">
        <v>452</v>
      </c>
      <c r="B82" s="2"/>
      <c r="C82" s="100" t="s">
        <v>460</v>
      </c>
      <c r="D82" s="23">
        <f>SUMIFS('FCPIS F'!$F$6:$F$110,'FCPIS F'!$B$6:$B$110,'PIS F'!$A82,'FCPIS F'!$C$6:$C$110,'PIS F'!$B82)*1000*$A$4</f>
        <v>0</v>
      </c>
      <c r="E82" s="25"/>
      <c r="F82" s="25">
        <f>SUMIFS('FCPIS F'!$S$113:$S$184,'FCPIS F'!$B$113:$B$184,'PIS F'!$A82,'FCPIS F'!$C$113:$C$184,'PIS F'!$B82)*1000*$A$4</f>
        <v>0</v>
      </c>
      <c r="G82" s="25"/>
      <c r="H82" s="25">
        <f>SUMIFS('FCPIS F'!$S$187:$S$231,'FCPIS F'!$B$187:$B$231,'PIS F'!$A82,'FCPIS F'!$C$187:$C$231,'PIS F'!$B82)*-1000*$A$4</f>
        <v>0</v>
      </c>
      <c r="I82" s="25"/>
      <c r="J82" s="25">
        <f>SUMIFS('FCPIS F'!$S$323:$S$342,'FCPIS F'!$B$323:$B$342,'PIS B'!$A82,'FCPIS F'!$C$323:$C$342,'PIS B'!$B82)*1000*$A$4</f>
        <v>0</v>
      </c>
      <c r="K82" s="25"/>
      <c r="L82" s="25">
        <f t="shared" ref="L82:L110" si="37">SUM(F82:J82)</f>
        <v>0</v>
      </c>
      <c r="M82" s="25"/>
      <c r="N82" s="23">
        <f t="shared" si="33"/>
        <v>0</v>
      </c>
      <c r="O82" s="100"/>
      <c r="P82" s="23">
        <f>SUMIFS('FCPIS F'!$T$6:$T$110,'FCPIS F'!$B$6:$B$110,'PIS F'!$A82,'FCPIS F'!$C$6:$C$110,'PIS F'!$B82)*1000*$A$4</f>
        <v>0</v>
      </c>
      <c r="Q82" s="98"/>
      <c r="R82" s="103">
        <f>SUMIFS('FCPIS F'!$T$234:$T$340,'FCPIS F'!$B$234:$B$340,'PIS F'!$A82,'FCPIS F'!$C$234:$C$340,'PIS F'!$B82)*-1000*$A$4</f>
        <v>0</v>
      </c>
      <c r="S82" s="100"/>
      <c r="T82" s="103">
        <f t="shared" si="34"/>
        <v>0</v>
      </c>
      <c r="V82" s="13">
        <f t="shared" ref="V82:V110" si="38">F82/F$111*V$111</f>
        <v>0</v>
      </c>
      <c r="X82" s="22">
        <f t="shared" si="35"/>
        <v>0</v>
      </c>
      <c r="Y82" s="98">
        <f>SUMIFS('FCPIS F'!$R$6:$R$110,'FCPIS F'!$B$6:$B$110,'PIS F'!$A82,'FCPIS F'!$C$6:$C$110,'PIS F'!$B82)*1000*$A$4</f>
        <v>0</v>
      </c>
      <c r="Z82" s="98">
        <f t="shared" si="36"/>
        <v>0</v>
      </c>
    </row>
    <row r="83" spans="1:26" s="19" customFormat="1">
      <c r="A83" s="19" t="s">
        <v>452</v>
      </c>
      <c r="B83" s="2" t="str">
        <f t="shared" si="31"/>
        <v>390</v>
      </c>
      <c r="C83" s="100" t="s">
        <v>461</v>
      </c>
      <c r="D83" s="23">
        <f>SUMIFS('FCPIS F'!$F$6:$F$110,'FCPIS F'!$B$6:$B$110,'PIS F'!$A83,'FCPIS F'!$C$6:$C$110,'PIS F'!$B83)*1000*$A$4</f>
        <v>24228509.621999972</v>
      </c>
      <c r="E83" s="25"/>
      <c r="F83" s="25">
        <f>SUMIFS('FCPIS F'!$S$113:$S$184,'FCPIS F'!$B$113:$B$184,'PIS F'!$A83,'FCPIS F'!$C$113:$C$184,'PIS F'!$B83)*1000*$A$4</f>
        <v>234900</v>
      </c>
      <c r="G83" s="25"/>
      <c r="H83" s="25">
        <f>SUMIFS('FCPIS F'!$S$187:$S$231,'FCPIS F'!$B$187:$B$231,'PIS F'!$A83,'FCPIS F'!$C$187:$C$231,'PIS F'!$B83)*-1000*$A$4</f>
        <v>0</v>
      </c>
      <c r="I83" s="25"/>
      <c r="J83" s="25">
        <f>SUMIFS('FCPIS F'!$S$323:$S$342,'FCPIS F'!$B$323:$B$342,'PIS B'!$A83,'FCPIS F'!$C$323:$C$342,'PIS B'!$B83)*1000*$A$4</f>
        <v>0</v>
      </c>
      <c r="K83" s="25"/>
      <c r="L83" s="25">
        <f t="shared" si="37"/>
        <v>234900</v>
      </c>
      <c r="M83" s="25"/>
      <c r="N83" s="23">
        <f t="shared" si="33"/>
        <v>24463409.621999972</v>
      </c>
      <c r="O83" s="100"/>
      <c r="P83" s="23">
        <f>SUMIFS('FCPIS F'!$T$6:$T$110,'FCPIS F'!$B$6:$B$110,'PIS F'!$A83,'FCPIS F'!$C$6:$C$110,'PIS F'!$B83)*1000*$A$4</f>
        <v>24357578.8527692</v>
      </c>
      <c r="Q83" s="98"/>
      <c r="R83" s="103">
        <f>SUMIFS('FCPIS F'!$T$234:$T$340,'FCPIS F'!$B$234:$B$340,'PIS F'!$A83,'FCPIS F'!$C$234:$C$340,'PIS F'!$B83)*-1000*$A$4</f>
        <v>-11117505.894110747</v>
      </c>
      <c r="S83" s="100"/>
      <c r="T83" s="103">
        <f t="shared" si="34"/>
        <v>13240072.958658453</v>
      </c>
      <c r="V83" s="13">
        <f t="shared" si="38"/>
        <v>0</v>
      </c>
      <c r="X83" s="22">
        <f t="shared" si="35"/>
        <v>-11117505.894110747</v>
      </c>
      <c r="Y83" s="98">
        <f>SUMIFS('FCPIS F'!$R$6:$R$110,'FCPIS F'!$B$6:$B$110,'PIS F'!$A83,'FCPIS F'!$C$6:$C$110,'PIS F'!$B83)*1000*$A$4</f>
        <v>24463409.621999972</v>
      </c>
      <c r="Z83" s="98">
        <f t="shared" si="36"/>
        <v>0</v>
      </c>
    </row>
    <row r="84" spans="1:26" s="19" customFormat="1">
      <c r="A84" s="19" t="s">
        <v>452</v>
      </c>
      <c r="B84" s="2"/>
      <c r="C84" s="100" t="s">
        <v>462</v>
      </c>
      <c r="D84" s="23">
        <f>SUMIFS('FCPIS F'!$F$6:$F$110,'FCPIS F'!$B$6:$B$110,'PIS F'!$A84,'FCPIS F'!$C$6:$C$110,'PIS F'!$B84)*1000*$A$4</f>
        <v>0</v>
      </c>
      <c r="E84" s="25"/>
      <c r="F84" s="25">
        <f>SUMIFS('FCPIS F'!$S$113:$S$184,'FCPIS F'!$B$113:$B$184,'PIS F'!$A84,'FCPIS F'!$C$113:$C$184,'PIS F'!$B84)*1000*$A$4</f>
        <v>0</v>
      </c>
      <c r="G84" s="25"/>
      <c r="H84" s="25">
        <f>SUMIFS('FCPIS F'!$S$187:$S$231,'FCPIS F'!$B$187:$B$231,'PIS F'!$A84,'FCPIS F'!$C$187:$C$231,'PIS F'!$B84)*-1000*$A$4</f>
        <v>0</v>
      </c>
      <c r="I84" s="25"/>
      <c r="J84" s="25">
        <f>SUMIFS('FCPIS F'!$S$323:$S$342,'FCPIS F'!$B$323:$B$342,'PIS B'!$A84,'FCPIS F'!$C$323:$C$342,'PIS B'!$B84)*1000*$A$4</f>
        <v>0</v>
      </c>
      <c r="K84" s="25"/>
      <c r="L84" s="25">
        <f t="shared" si="37"/>
        <v>0</v>
      </c>
      <c r="M84" s="25"/>
      <c r="N84" s="23">
        <f t="shared" si="33"/>
        <v>0</v>
      </c>
      <c r="O84" s="100"/>
      <c r="P84" s="23">
        <f>SUMIFS('FCPIS F'!$T$6:$T$110,'FCPIS F'!$B$6:$B$110,'PIS F'!$A84,'FCPIS F'!$C$6:$C$110,'PIS F'!$B84)*1000*$A$4</f>
        <v>0</v>
      </c>
      <c r="Q84" s="98"/>
      <c r="R84" s="103">
        <f>SUMIFS('FCPIS F'!$T$234:$T$340,'FCPIS F'!$B$234:$B$340,'PIS F'!$A84,'FCPIS F'!$C$234:$C$340,'PIS F'!$B84)*-1000*$A$4</f>
        <v>0</v>
      </c>
      <c r="S84" s="100"/>
      <c r="T84" s="103">
        <f t="shared" si="34"/>
        <v>0</v>
      </c>
      <c r="V84" s="13">
        <f t="shared" si="38"/>
        <v>0</v>
      </c>
      <c r="X84" s="22">
        <f t="shared" si="35"/>
        <v>0</v>
      </c>
      <c r="Y84" s="98">
        <f>SUMIFS('FCPIS F'!$R$6:$R$110,'FCPIS F'!$B$6:$B$110,'PIS F'!$A84,'FCPIS F'!$C$6:$C$110,'PIS F'!$B84)*1000*$A$4</f>
        <v>0</v>
      </c>
      <c r="Z84" s="98">
        <f t="shared" si="36"/>
        <v>0</v>
      </c>
    </row>
    <row r="85" spans="1:26" s="19" customFormat="1">
      <c r="A85" s="19" t="s">
        <v>452</v>
      </c>
      <c r="B85" s="2"/>
      <c r="C85" s="100" t="s">
        <v>463</v>
      </c>
      <c r="D85" s="23">
        <f>SUMIFS('FCPIS F'!$F$6:$F$110,'FCPIS F'!$B$6:$B$110,'PIS F'!$A85,'FCPIS F'!$C$6:$C$110,'PIS F'!$B85)*1000*$A$4</f>
        <v>0</v>
      </c>
      <c r="E85" s="25"/>
      <c r="F85" s="25">
        <f>SUMIFS('FCPIS F'!$S$113:$S$184,'FCPIS F'!$B$113:$B$184,'PIS F'!$A85,'FCPIS F'!$C$113:$C$184,'PIS F'!$B85)*1000*$A$4</f>
        <v>0</v>
      </c>
      <c r="G85" s="25"/>
      <c r="H85" s="25">
        <f>SUMIFS('FCPIS F'!$S$187:$S$231,'FCPIS F'!$B$187:$B$231,'PIS F'!$A85,'FCPIS F'!$C$187:$C$231,'PIS F'!$B85)*-1000*$A$4</f>
        <v>0</v>
      </c>
      <c r="I85" s="25"/>
      <c r="J85" s="25">
        <f>SUMIFS('FCPIS F'!$S$323:$S$342,'FCPIS F'!$B$323:$B$342,'PIS B'!$A85,'FCPIS F'!$C$323:$C$342,'PIS B'!$B85)*1000*$A$4</f>
        <v>0</v>
      </c>
      <c r="K85" s="25"/>
      <c r="L85" s="25">
        <f t="shared" si="37"/>
        <v>0</v>
      </c>
      <c r="M85" s="25"/>
      <c r="N85" s="23">
        <f t="shared" si="33"/>
        <v>0</v>
      </c>
      <c r="O85" s="100"/>
      <c r="P85" s="23">
        <f>SUMIFS('FCPIS F'!$T$6:$T$110,'FCPIS F'!$B$6:$B$110,'PIS F'!$A85,'FCPIS F'!$C$6:$C$110,'PIS F'!$B85)*1000*$A$4</f>
        <v>0</v>
      </c>
      <c r="Q85" s="98"/>
      <c r="R85" s="103">
        <f>SUMIFS('FCPIS F'!$T$234:$T$340,'FCPIS F'!$B$234:$B$340,'PIS F'!$A85,'FCPIS F'!$C$234:$C$340,'PIS F'!$B85)*-1000*$A$4</f>
        <v>0</v>
      </c>
      <c r="S85" s="100"/>
      <c r="T85" s="103">
        <f t="shared" si="34"/>
        <v>0</v>
      </c>
      <c r="V85" s="13">
        <f t="shared" si="38"/>
        <v>0</v>
      </c>
      <c r="X85" s="22">
        <f t="shared" si="35"/>
        <v>0</v>
      </c>
      <c r="Y85" s="98">
        <f>SUMIFS('FCPIS F'!$R$6:$R$110,'FCPIS F'!$B$6:$B$110,'PIS F'!$A85,'FCPIS F'!$C$6:$C$110,'PIS F'!$B85)*1000*$A$4</f>
        <v>0</v>
      </c>
      <c r="Z85" s="98">
        <f t="shared" si="36"/>
        <v>0</v>
      </c>
    </row>
    <row r="86" spans="1:26" s="19" customFormat="1">
      <c r="A86" s="19" t="s">
        <v>452</v>
      </c>
      <c r="B86" s="2"/>
      <c r="C86" s="100" t="s">
        <v>464</v>
      </c>
      <c r="D86" s="23">
        <f>SUMIFS('FCPIS F'!$F$6:$F$110,'FCPIS F'!$B$6:$B$110,'PIS F'!$A86,'FCPIS F'!$C$6:$C$110,'PIS F'!$B86)*1000*$A$4</f>
        <v>0</v>
      </c>
      <c r="E86" s="25"/>
      <c r="F86" s="25">
        <f>SUMIFS('FCPIS F'!$S$113:$S$184,'FCPIS F'!$B$113:$B$184,'PIS F'!$A86,'FCPIS F'!$C$113:$C$184,'PIS F'!$B86)*1000*$A$4</f>
        <v>0</v>
      </c>
      <c r="G86" s="25"/>
      <c r="H86" s="25">
        <f>SUMIFS('FCPIS F'!$S$187:$S$231,'FCPIS F'!$B$187:$B$231,'PIS F'!$A86,'FCPIS F'!$C$187:$C$231,'PIS F'!$B86)*-1000*$A$4</f>
        <v>0</v>
      </c>
      <c r="I86" s="25"/>
      <c r="J86" s="25">
        <f>SUMIFS('FCPIS F'!$S$323:$S$342,'FCPIS F'!$B$323:$B$342,'PIS B'!$A86,'FCPIS F'!$C$323:$C$342,'PIS B'!$B86)*1000*$A$4</f>
        <v>0</v>
      </c>
      <c r="K86" s="25"/>
      <c r="L86" s="25">
        <f t="shared" si="37"/>
        <v>0</v>
      </c>
      <c r="M86" s="25"/>
      <c r="N86" s="23">
        <f t="shared" si="33"/>
        <v>0</v>
      </c>
      <c r="O86" s="100"/>
      <c r="P86" s="23">
        <f>SUMIFS('FCPIS F'!$T$6:$T$110,'FCPIS F'!$B$6:$B$110,'PIS F'!$A86,'FCPIS F'!$C$6:$C$110,'PIS F'!$B86)*1000*$A$4</f>
        <v>0</v>
      </c>
      <c r="Q86" s="98"/>
      <c r="R86" s="103">
        <f>SUMIFS('FCPIS F'!$T$234:$T$340,'FCPIS F'!$B$234:$B$340,'PIS F'!$A86,'FCPIS F'!$C$234:$C$340,'PIS F'!$B86)*-1000*$A$4</f>
        <v>0</v>
      </c>
      <c r="S86" s="100"/>
      <c r="T86" s="103">
        <f t="shared" si="34"/>
        <v>0</v>
      </c>
      <c r="V86" s="13">
        <f t="shared" si="38"/>
        <v>0</v>
      </c>
      <c r="X86" s="22">
        <f t="shared" si="35"/>
        <v>0</v>
      </c>
      <c r="Y86" s="98">
        <f>SUMIFS('FCPIS F'!$R$6:$R$110,'FCPIS F'!$B$6:$B$110,'PIS F'!$A86,'FCPIS F'!$C$6:$C$110,'PIS F'!$B86)*1000*$A$4</f>
        <v>0</v>
      </c>
      <c r="Z86" s="98">
        <f t="shared" si="36"/>
        <v>0</v>
      </c>
    </row>
    <row r="87" spans="1:26" s="19" customFormat="1">
      <c r="A87" s="19" t="s">
        <v>452</v>
      </c>
      <c r="B87" s="2"/>
      <c r="C87" s="100" t="s">
        <v>465</v>
      </c>
      <c r="D87" s="23">
        <f>SUMIFS('FCPIS F'!$F$6:$F$110,'FCPIS F'!$B$6:$B$110,'PIS F'!$A87,'FCPIS F'!$C$6:$C$110,'PIS F'!$B87)*1000*$A$4</f>
        <v>0</v>
      </c>
      <c r="E87" s="25"/>
      <c r="F87" s="25">
        <f>SUMIFS('FCPIS F'!$S$113:$S$184,'FCPIS F'!$B$113:$B$184,'PIS F'!$A87,'FCPIS F'!$C$113:$C$184,'PIS F'!$B87)*1000*$A$4</f>
        <v>0</v>
      </c>
      <c r="G87" s="25"/>
      <c r="H87" s="25">
        <f>SUMIFS('FCPIS F'!$S$187:$S$231,'FCPIS F'!$B$187:$B$231,'PIS F'!$A87,'FCPIS F'!$C$187:$C$231,'PIS F'!$B87)*-1000*$A$4</f>
        <v>0</v>
      </c>
      <c r="I87" s="25"/>
      <c r="J87" s="25">
        <f>SUMIFS('FCPIS F'!$S$323:$S$342,'FCPIS F'!$B$323:$B$342,'PIS B'!$A87,'FCPIS F'!$C$323:$C$342,'PIS B'!$B87)*1000*$A$4</f>
        <v>0</v>
      </c>
      <c r="K87" s="25"/>
      <c r="L87" s="25">
        <f t="shared" si="37"/>
        <v>0</v>
      </c>
      <c r="M87" s="25"/>
      <c r="N87" s="23">
        <f t="shared" si="33"/>
        <v>0</v>
      </c>
      <c r="O87" s="100"/>
      <c r="P87" s="23">
        <f>SUMIFS('FCPIS F'!$T$6:$T$110,'FCPIS F'!$B$6:$B$110,'PIS F'!$A87,'FCPIS F'!$C$6:$C$110,'PIS F'!$B87)*1000*$A$4</f>
        <v>0</v>
      </c>
      <c r="Q87" s="98"/>
      <c r="R87" s="103">
        <f>SUMIFS('FCPIS F'!$T$234:$T$340,'FCPIS F'!$B$234:$B$340,'PIS F'!$A87,'FCPIS F'!$C$234:$C$340,'PIS F'!$B87)*-1000*$A$4</f>
        <v>0</v>
      </c>
      <c r="S87" s="100"/>
      <c r="T87" s="103">
        <f t="shared" si="34"/>
        <v>0</v>
      </c>
      <c r="V87" s="13">
        <f t="shared" si="38"/>
        <v>0</v>
      </c>
      <c r="X87" s="22">
        <f t="shared" si="35"/>
        <v>0</v>
      </c>
      <c r="Y87" s="98">
        <f>SUMIFS('FCPIS F'!$R$6:$R$110,'FCPIS F'!$B$6:$B$110,'PIS F'!$A87,'FCPIS F'!$C$6:$C$110,'PIS F'!$B87)*1000*$A$4</f>
        <v>0</v>
      </c>
      <c r="Z87" s="98">
        <f t="shared" si="36"/>
        <v>0</v>
      </c>
    </row>
    <row r="88" spans="1:26" s="19" customFormat="1">
      <c r="A88" s="19" t="s">
        <v>452</v>
      </c>
      <c r="B88" s="2" t="str">
        <f t="shared" si="31"/>
        <v>391</v>
      </c>
      <c r="C88" s="100" t="s">
        <v>466</v>
      </c>
      <c r="D88" s="23">
        <f>SUMIFS('FCPIS F'!$F$6:$F$110,'FCPIS F'!$B$6:$B$110,'PIS F'!$A88,'FCPIS F'!$C$6:$C$110,'PIS F'!$B88)*1000*$A$4</f>
        <v>12295594.556999998</v>
      </c>
      <c r="E88" s="25"/>
      <c r="F88" s="25">
        <f>SUMIFS('FCPIS F'!$S$113:$S$184,'FCPIS F'!$B$113:$B$184,'PIS F'!$A88,'FCPIS F'!$C$113:$C$184,'PIS F'!$B88)*1000*$A$4</f>
        <v>1945217.5619999999</v>
      </c>
      <c r="G88" s="25"/>
      <c r="H88" s="25">
        <f>SUMIFS('FCPIS F'!$S$187:$S$231,'FCPIS F'!$B$187:$B$231,'PIS F'!$A88,'FCPIS F'!$C$187:$C$231,'PIS F'!$B88)*-1000*$A$4</f>
        <v>-771998.4</v>
      </c>
      <c r="I88" s="25"/>
      <c r="J88" s="25">
        <f>SUMIFS('FCPIS F'!$S$323:$S$342,'FCPIS F'!$B$323:$B$342,'PIS B'!$A88,'FCPIS F'!$C$323:$C$342,'PIS B'!$B88)*1000*$A$4</f>
        <v>0</v>
      </c>
      <c r="K88" s="25"/>
      <c r="L88" s="25">
        <f t="shared" si="37"/>
        <v>1173219.162</v>
      </c>
      <c r="M88" s="25"/>
      <c r="N88" s="23">
        <f t="shared" si="33"/>
        <v>13468813.718999999</v>
      </c>
      <c r="O88" s="100"/>
      <c r="P88" s="23">
        <f>SUMIFS('FCPIS F'!$T$6:$T$110,'FCPIS F'!$B$6:$B$110,'PIS F'!$A88,'FCPIS F'!$C$6:$C$110,'PIS F'!$B88)*1000*$A$4</f>
        <v>13144396.146461533</v>
      </c>
      <c r="Q88" s="98"/>
      <c r="R88" s="103">
        <f>SUMIFS('FCPIS F'!$T$234:$T$340,'FCPIS F'!$B$234:$B$340,'PIS F'!$A88,'FCPIS F'!$C$234:$C$340,'PIS F'!$B88)*-1000*$A$4</f>
        <v>-5069210.1260493742</v>
      </c>
      <c r="S88" s="100"/>
      <c r="T88" s="103">
        <f t="shared" si="34"/>
        <v>8075186.0204121592</v>
      </c>
      <c r="V88" s="13">
        <f t="shared" si="38"/>
        <v>0</v>
      </c>
      <c r="X88" s="22">
        <f t="shared" si="35"/>
        <v>-5069210.1260493742</v>
      </c>
      <c r="Y88" s="98">
        <f>SUMIFS('FCPIS F'!$R$6:$R$110,'FCPIS F'!$B$6:$B$110,'PIS F'!$A88,'FCPIS F'!$C$6:$C$110,'PIS F'!$B88)*1000*$A$4</f>
        <v>13468813.718999999</v>
      </c>
      <c r="Z88" s="98">
        <f t="shared" si="36"/>
        <v>0</v>
      </c>
    </row>
    <row r="89" spans="1:26" s="19" customFormat="1">
      <c r="A89" s="19" t="s">
        <v>452</v>
      </c>
      <c r="B89" s="2"/>
      <c r="C89" s="100" t="s">
        <v>467</v>
      </c>
      <c r="D89" s="23">
        <f>SUMIFS('FCPIS F'!$F$6:$F$110,'FCPIS F'!$B$6:$B$110,'PIS F'!$A89,'FCPIS F'!$C$6:$C$110,'PIS F'!$B89)*1000*$A$4</f>
        <v>0</v>
      </c>
      <c r="E89" s="25"/>
      <c r="F89" s="25">
        <f>SUMIFS('FCPIS F'!$S$113:$S$184,'FCPIS F'!$B$113:$B$184,'PIS F'!$A89,'FCPIS F'!$C$113:$C$184,'PIS F'!$B89)*1000*$A$4</f>
        <v>0</v>
      </c>
      <c r="G89" s="25"/>
      <c r="H89" s="25">
        <f>SUMIFS('FCPIS F'!$S$187:$S$231,'FCPIS F'!$B$187:$B$231,'PIS F'!$A89,'FCPIS F'!$C$187:$C$231,'PIS F'!$B89)*-1000*$A$4</f>
        <v>0</v>
      </c>
      <c r="I89" s="25"/>
      <c r="J89" s="25">
        <f>SUMIFS('FCPIS F'!$S$323:$S$342,'FCPIS F'!$B$323:$B$342,'PIS B'!$A89,'FCPIS F'!$C$323:$C$342,'PIS B'!$B89)*1000*$A$4</f>
        <v>0</v>
      </c>
      <c r="K89" s="25"/>
      <c r="L89" s="25">
        <f t="shared" si="37"/>
        <v>0</v>
      </c>
      <c r="M89" s="25"/>
      <c r="N89" s="23">
        <f t="shared" si="33"/>
        <v>0</v>
      </c>
      <c r="O89" s="100"/>
      <c r="P89" s="23">
        <f>SUMIFS('FCPIS F'!$T$6:$T$110,'FCPIS F'!$B$6:$B$110,'PIS F'!$A89,'FCPIS F'!$C$6:$C$110,'PIS F'!$B89)*1000*$A$4</f>
        <v>0</v>
      </c>
      <c r="Q89" s="98"/>
      <c r="R89" s="103">
        <f>SUMIFS('FCPIS F'!$T$234:$T$340,'FCPIS F'!$B$234:$B$340,'PIS F'!$A89,'FCPIS F'!$C$234:$C$340,'PIS F'!$B89)*-1000*$A$4</f>
        <v>0</v>
      </c>
      <c r="S89" s="100"/>
      <c r="T89" s="103">
        <f t="shared" si="34"/>
        <v>0</v>
      </c>
      <c r="V89" s="13">
        <f t="shared" si="38"/>
        <v>0</v>
      </c>
      <c r="X89" s="22">
        <f t="shared" si="35"/>
        <v>0</v>
      </c>
      <c r="Y89" s="98">
        <f>SUMIFS('FCPIS F'!$R$6:$R$110,'FCPIS F'!$B$6:$B$110,'PIS F'!$A89,'FCPIS F'!$C$6:$C$110,'PIS F'!$B89)*1000*$A$4</f>
        <v>0</v>
      </c>
      <c r="Z89" s="98">
        <f t="shared" si="36"/>
        <v>0</v>
      </c>
    </row>
    <row r="90" spans="1:26" s="19" customFormat="1">
      <c r="A90" s="19" t="s">
        <v>452</v>
      </c>
      <c r="B90" s="2"/>
      <c r="C90" s="100" t="s">
        <v>468</v>
      </c>
      <c r="D90" s="23">
        <f>SUMIFS('FCPIS F'!$F$6:$F$110,'FCPIS F'!$B$6:$B$110,'PIS F'!$A90,'FCPIS F'!$C$6:$C$110,'PIS F'!$B90)*1000*$A$4</f>
        <v>0</v>
      </c>
      <c r="E90" s="25"/>
      <c r="F90" s="25">
        <f>SUMIFS('FCPIS F'!$S$113:$S$184,'FCPIS F'!$B$113:$B$184,'PIS F'!$A90,'FCPIS F'!$C$113:$C$184,'PIS F'!$B90)*1000*$A$4</f>
        <v>0</v>
      </c>
      <c r="G90" s="25"/>
      <c r="H90" s="25">
        <f>SUMIFS('FCPIS F'!$S$187:$S$231,'FCPIS F'!$B$187:$B$231,'PIS F'!$A90,'FCPIS F'!$C$187:$C$231,'PIS F'!$B90)*-1000*$A$4</f>
        <v>0</v>
      </c>
      <c r="I90" s="25"/>
      <c r="J90" s="25">
        <f>SUMIFS('FCPIS F'!$S$323:$S$342,'FCPIS F'!$B$323:$B$342,'PIS B'!$A90,'FCPIS F'!$C$323:$C$342,'PIS B'!$B90)*1000*$A$4</f>
        <v>0</v>
      </c>
      <c r="K90" s="25"/>
      <c r="L90" s="25">
        <f t="shared" si="37"/>
        <v>0</v>
      </c>
      <c r="M90" s="25"/>
      <c r="N90" s="23">
        <f t="shared" si="33"/>
        <v>0</v>
      </c>
      <c r="O90" s="100"/>
      <c r="P90" s="23">
        <f>SUMIFS('FCPIS F'!$T$6:$T$110,'FCPIS F'!$B$6:$B$110,'PIS F'!$A90,'FCPIS F'!$C$6:$C$110,'PIS F'!$B90)*1000*$A$4</f>
        <v>0</v>
      </c>
      <c r="Q90" s="98"/>
      <c r="R90" s="103">
        <f>SUMIFS('FCPIS F'!$T$234:$T$340,'FCPIS F'!$B$234:$B$340,'PIS F'!$A90,'FCPIS F'!$C$234:$C$340,'PIS F'!$B90)*-1000*$A$4</f>
        <v>0</v>
      </c>
      <c r="S90" s="100"/>
      <c r="T90" s="103">
        <f t="shared" si="34"/>
        <v>0</v>
      </c>
      <c r="V90" s="13">
        <f t="shared" si="38"/>
        <v>0</v>
      </c>
      <c r="X90" s="22">
        <f t="shared" si="35"/>
        <v>0</v>
      </c>
      <c r="Y90" s="98">
        <f>SUMIFS('FCPIS F'!$R$6:$R$110,'FCPIS F'!$B$6:$B$110,'PIS F'!$A90,'FCPIS F'!$C$6:$C$110,'PIS F'!$B90)*1000*$A$4</f>
        <v>0</v>
      </c>
      <c r="Z90" s="98">
        <f t="shared" si="36"/>
        <v>0</v>
      </c>
    </row>
    <row r="91" spans="1:26" s="19" customFormat="1">
      <c r="A91" s="19" t="s">
        <v>452</v>
      </c>
      <c r="B91" s="2"/>
      <c r="C91" s="100" t="s">
        <v>469</v>
      </c>
      <c r="D91" s="23">
        <f>SUMIFS('FCPIS F'!$F$6:$F$110,'FCPIS F'!$B$6:$B$110,'PIS F'!$A91,'FCPIS F'!$C$6:$C$110,'PIS F'!$B91)*1000*$A$4</f>
        <v>0</v>
      </c>
      <c r="E91" s="25"/>
      <c r="F91" s="25">
        <f>SUMIFS('FCPIS F'!$S$113:$S$184,'FCPIS F'!$B$113:$B$184,'PIS F'!$A91,'FCPIS F'!$C$113:$C$184,'PIS F'!$B91)*1000*$A$4</f>
        <v>0</v>
      </c>
      <c r="G91" s="25"/>
      <c r="H91" s="25">
        <f>SUMIFS('FCPIS F'!$S$187:$S$231,'FCPIS F'!$B$187:$B$231,'PIS F'!$A91,'FCPIS F'!$C$187:$C$231,'PIS F'!$B91)*-1000*$A$4</f>
        <v>0</v>
      </c>
      <c r="I91" s="25"/>
      <c r="J91" s="25">
        <f>SUMIFS('FCPIS F'!$S$323:$S$342,'FCPIS F'!$B$323:$B$342,'PIS B'!$A91,'FCPIS F'!$C$323:$C$342,'PIS B'!$B91)*1000*$A$4</f>
        <v>0</v>
      </c>
      <c r="K91" s="25"/>
      <c r="L91" s="25">
        <f t="shared" si="37"/>
        <v>0</v>
      </c>
      <c r="M91" s="25"/>
      <c r="N91" s="23">
        <f t="shared" si="33"/>
        <v>0</v>
      </c>
      <c r="O91" s="100"/>
      <c r="P91" s="23">
        <f>SUMIFS('FCPIS F'!$T$6:$T$110,'FCPIS F'!$B$6:$B$110,'PIS F'!$A91,'FCPIS F'!$C$6:$C$110,'PIS F'!$B91)*1000*$A$4</f>
        <v>0</v>
      </c>
      <c r="Q91" s="98"/>
      <c r="R91" s="103">
        <f>SUMIFS('FCPIS F'!$T$234:$T$340,'FCPIS F'!$B$234:$B$340,'PIS F'!$A91,'FCPIS F'!$C$234:$C$340,'PIS F'!$B91)*-1000*$A$4</f>
        <v>0</v>
      </c>
      <c r="S91" s="100"/>
      <c r="T91" s="103">
        <f t="shared" si="34"/>
        <v>0</v>
      </c>
      <c r="V91" s="13">
        <f t="shared" si="38"/>
        <v>0</v>
      </c>
      <c r="X91" s="22">
        <f t="shared" si="35"/>
        <v>0</v>
      </c>
      <c r="Y91" s="98">
        <f>SUMIFS('FCPIS F'!$R$6:$R$110,'FCPIS F'!$B$6:$B$110,'PIS F'!$A91,'FCPIS F'!$C$6:$C$110,'PIS F'!$B91)*1000*$A$4</f>
        <v>0</v>
      </c>
      <c r="Z91" s="98">
        <f t="shared" si="36"/>
        <v>0</v>
      </c>
    </row>
    <row r="92" spans="1:26" s="19" customFormat="1">
      <c r="A92" s="19" t="s">
        <v>452</v>
      </c>
      <c r="B92" s="2"/>
      <c r="C92" s="100" t="s">
        <v>470</v>
      </c>
      <c r="D92" s="23">
        <f>SUMIFS('FCPIS F'!$F$6:$F$110,'FCPIS F'!$B$6:$B$110,'PIS F'!$A92,'FCPIS F'!$C$6:$C$110,'PIS F'!$B92)*1000*$A$4</f>
        <v>0</v>
      </c>
      <c r="E92" s="25"/>
      <c r="F92" s="25">
        <f>SUMIFS('FCPIS F'!$S$113:$S$184,'FCPIS F'!$B$113:$B$184,'PIS F'!$A92,'FCPIS F'!$C$113:$C$184,'PIS F'!$B92)*1000*$A$4</f>
        <v>0</v>
      </c>
      <c r="G92" s="25"/>
      <c r="H92" s="25">
        <f>SUMIFS('FCPIS F'!$S$187:$S$231,'FCPIS F'!$B$187:$B$231,'PIS F'!$A92,'FCPIS F'!$C$187:$C$231,'PIS F'!$B92)*-1000*$A$4</f>
        <v>0</v>
      </c>
      <c r="I92" s="25"/>
      <c r="J92" s="25">
        <f>SUMIFS('FCPIS F'!$S$323:$S$342,'FCPIS F'!$B$323:$B$342,'PIS B'!$A92,'FCPIS F'!$C$323:$C$342,'PIS B'!$B92)*1000*$A$4</f>
        <v>0</v>
      </c>
      <c r="K92" s="25"/>
      <c r="L92" s="25">
        <f t="shared" si="37"/>
        <v>0</v>
      </c>
      <c r="M92" s="25"/>
      <c r="N92" s="23">
        <f t="shared" si="33"/>
        <v>0</v>
      </c>
      <c r="O92" s="100"/>
      <c r="P92" s="23">
        <f>SUMIFS('FCPIS F'!$T$6:$T$110,'FCPIS F'!$B$6:$B$110,'PIS F'!$A92,'FCPIS F'!$C$6:$C$110,'PIS F'!$B92)*1000*$A$4</f>
        <v>0</v>
      </c>
      <c r="Q92" s="98"/>
      <c r="R92" s="103">
        <f>SUMIFS('FCPIS F'!$T$234:$T$340,'FCPIS F'!$B$234:$B$340,'PIS F'!$A92,'FCPIS F'!$C$234:$C$340,'PIS F'!$B92)*-1000*$A$4</f>
        <v>0</v>
      </c>
      <c r="S92" s="100"/>
      <c r="T92" s="103">
        <f t="shared" si="34"/>
        <v>0</v>
      </c>
      <c r="V92" s="13">
        <f t="shared" si="38"/>
        <v>0</v>
      </c>
      <c r="X92" s="22">
        <f t="shared" si="35"/>
        <v>0</v>
      </c>
      <c r="Y92" s="98">
        <f>SUMIFS('FCPIS F'!$R$6:$R$110,'FCPIS F'!$B$6:$B$110,'PIS F'!$A92,'FCPIS F'!$C$6:$C$110,'PIS F'!$B92)*1000*$A$4</f>
        <v>0</v>
      </c>
      <c r="Z92" s="98">
        <f t="shared" si="36"/>
        <v>0</v>
      </c>
    </row>
    <row r="93" spans="1:26" s="19" customFormat="1">
      <c r="A93" s="19" t="s">
        <v>452</v>
      </c>
      <c r="B93" s="2"/>
      <c r="C93" s="100" t="s">
        <v>471</v>
      </c>
      <c r="D93" s="23">
        <f>SUMIFS('FCPIS F'!$F$6:$F$110,'FCPIS F'!$B$6:$B$110,'PIS F'!$A93,'FCPIS F'!$C$6:$C$110,'PIS F'!$B93)*1000*$A$4</f>
        <v>0</v>
      </c>
      <c r="E93" s="25"/>
      <c r="F93" s="25">
        <f>SUMIFS('FCPIS F'!$S$113:$S$184,'FCPIS F'!$B$113:$B$184,'PIS F'!$A93,'FCPIS F'!$C$113:$C$184,'PIS F'!$B93)*1000*$A$4</f>
        <v>0</v>
      </c>
      <c r="G93" s="25"/>
      <c r="H93" s="25">
        <f>SUMIFS('FCPIS F'!$S$187:$S$231,'FCPIS F'!$B$187:$B$231,'PIS F'!$A93,'FCPIS F'!$C$187:$C$231,'PIS F'!$B93)*-1000*$A$4</f>
        <v>0</v>
      </c>
      <c r="I93" s="25"/>
      <c r="J93" s="25">
        <f>SUMIFS('FCPIS F'!$S$323:$S$342,'FCPIS F'!$B$323:$B$342,'PIS B'!$A93,'FCPIS F'!$C$323:$C$342,'PIS B'!$B93)*1000*$A$4</f>
        <v>0</v>
      </c>
      <c r="K93" s="25"/>
      <c r="L93" s="25">
        <f t="shared" si="37"/>
        <v>0</v>
      </c>
      <c r="M93" s="25"/>
      <c r="N93" s="23">
        <f t="shared" si="33"/>
        <v>0</v>
      </c>
      <c r="O93" s="100"/>
      <c r="P93" s="23">
        <f>SUMIFS('FCPIS F'!$T$6:$T$110,'FCPIS F'!$B$6:$B$110,'PIS F'!$A93,'FCPIS F'!$C$6:$C$110,'PIS F'!$B93)*1000*$A$4</f>
        <v>0</v>
      </c>
      <c r="Q93" s="98"/>
      <c r="R93" s="103">
        <f>SUMIFS('FCPIS F'!$T$234:$T$340,'FCPIS F'!$B$234:$B$340,'PIS F'!$A93,'FCPIS F'!$C$234:$C$340,'PIS F'!$B93)*-1000*$A$4</f>
        <v>0</v>
      </c>
      <c r="S93" s="100"/>
      <c r="T93" s="103">
        <f t="shared" si="34"/>
        <v>0</v>
      </c>
      <c r="V93" s="13">
        <f t="shared" si="38"/>
        <v>0</v>
      </c>
      <c r="X93" s="22">
        <f t="shared" si="35"/>
        <v>0</v>
      </c>
      <c r="Y93" s="98">
        <f>SUMIFS('FCPIS F'!$R$6:$R$110,'FCPIS F'!$B$6:$B$110,'PIS F'!$A93,'FCPIS F'!$C$6:$C$110,'PIS F'!$B93)*1000*$A$4</f>
        <v>0</v>
      </c>
      <c r="Z93" s="98">
        <f t="shared" si="36"/>
        <v>0</v>
      </c>
    </row>
    <row r="94" spans="1:26" s="19" customFormat="1">
      <c r="A94" s="19" t="s">
        <v>452</v>
      </c>
      <c r="B94" s="2" t="str">
        <f t="shared" si="31"/>
        <v>392</v>
      </c>
      <c r="C94" s="100" t="s">
        <v>472</v>
      </c>
      <c r="D94" s="23">
        <f>SUMIFS('FCPIS F'!$F$6:$F$110,'FCPIS F'!$B$6:$B$110,'PIS F'!$A94,'FCPIS F'!$C$6:$C$110,'PIS F'!$B94)*1000*$A$4</f>
        <v>82252.910999999978</v>
      </c>
      <c r="E94" s="25"/>
      <c r="F94" s="25">
        <f>SUMIFS('FCPIS F'!$S$113:$S$184,'FCPIS F'!$B$113:$B$184,'PIS F'!$A94,'FCPIS F'!$C$113:$C$184,'PIS F'!$B94)*1000*$A$4</f>
        <v>0</v>
      </c>
      <c r="G94" s="25"/>
      <c r="H94" s="25">
        <f>SUMIFS('FCPIS F'!$S$187:$S$231,'FCPIS F'!$B$187:$B$231,'PIS F'!$A94,'FCPIS F'!$C$187:$C$231,'PIS F'!$B94)*-1000*$A$4</f>
        <v>0</v>
      </c>
      <c r="I94" s="25"/>
      <c r="J94" s="25">
        <f>SUMIFS('FCPIS F'!$S$323:$S$342,'FCPIS F'!$B$323:$B$342,'PIS B'!$A94,'FCPIS F'!$C$323:$C$342,'PIS B'!$B94)*1000*$A$4</f>
        <v>0</v>
      </c>
      <c r="K94" s="25"/>
      <c r="L94" s="25">
        <f t="shared" si="37"/>
        <v>0</v>
      </c>
      <c r="M94" s="25"/>
      <c r="N94" s="23">
        <f t="shared" si="33"/>
        <v>82252.910999999978</v>
      </c>
      <c r="O94" s="100"/>
      <c r="P94" s="23">
        <f>SUMIFS('FCPIS F'!$T$6:$T$110,'FCPIS F'!$B$6:$B$110,'PIS F'!$A94,'FCPIS F'!$C$6:$C$110,'PIS F'!$B94)*1000*$A$4</f>
        <v>82252.910999999993</v>
      </c>
      <c r="Q94" s="98"/>
      <c r="R94" s="103">
        <f>SUMIFS('FCPIS F'!$T$234:$T$340,'FCPIS F'!$B$234:$B$340,'PIS F'!$A94,'FCPIS F'!$C$234:$C$340,'PIS F'!$B94)*-1000*$A$4</f>
        <v>-59529.192507569998</v>
      </c>
      <c r="S94" s="100"/>
      <c r="T94" s="103">
        <f t="shared" si="34"/>
        <v>22723.718492429995</v>
      </c>
      <c r="V94" s="13">
        <f t="shared" si="38"/>
        <v>0</v>
      </c>
      <c r="X94" s="22">
        <f t="shared" si="35"/>
        <v>-59529.192507569998</v>
      </c>
      <c r="Y94" s="98">
        <f>SUMIFS('FCPIS F'!$R$6:$R$110,'FCPIS F'!$B$6:$B$110,'PIS F'!$A94,'FCPIS F'!$C$6:$C$110,'PIS F'!$B94)*1000*$A$4</f>
        <v>82252.910999999978</v>
      </c>
      <c r="Z94" s="98">
        <f t="shared" si="36"/>
        <v>0</v>
      </c>
    </row>
    <row r="95" spans="1:26" s="19" customFormat="1">
      <c r="A95" s="19" t="s">
        <v>452</v>
      </c>
      <c r="B95" s="2"/>
      <c r="C95" s="100" t="s">
        <v>473</v>
      </c>
      <c r="D95" s="23">
        <f>SUMIFS('FCPIS F'!$F$6:$F$110,'FCPIS F'!$B$6:$B$110,'PIS F'!$A95,'FCPIS F'!$C$6:$C$110,'PIS F'!$B95)*1000*$A$4</f>
        <v>0</v>
      </c>
      <c r="E95" s="25"/>
      <c r="F95" s="25">
        <f>SUMIFS('FCPIS F'!$S$113:$S$184,'FCPIS F'!$B$113:$B$184,'PIS F'!$A95,'FCPIS F'!$C$113:$C$184,'PIS F'!$B95)*1000*$A$4</f>
        <v>0</v>
      </c>
      <c r="G95" s="25"/>
      <c r="H95" s="25">
        <f>SUMIFS('FCPIS F'!$S$187:$S$231,'FCPIS F'!$B$187:$B$231,'PIS F'!$A95,'FCPIS F'!$C$187:$C$231,'PIS F'!$B95)*-1000*$A$4</f>
        <v>0</v>
      </c>
      <c r="I95" s="25"/>
      <c r="J95" s="25">
        <f>SUMIFS('FCPIS F'!$S$323:$S$342,'FCPIS F'!$B$323:$B$342,'PIS B'!$A95,'FCPIS F'!$C$323:$C$342,'PIS B'!$B95)*1000*$A$4</f>
        <v>0</v>
      </c>
      <c r="K95" s="25"/>
      <c r="L95" s="25">
        <f t="shared" si="37"/>
        <v>0</v>
      </c>
      <c r="M95" s="25"/>
      <c r="N95" s="23">
        <f t="shared" si="33"/>
        <v>0</v>
      </c>
      <c r="O95" s="100"/>
      <c r="P95" s="23">
        <f>SUMIFS('FCPIS F'!$T$6:$T$110,'FCPIS F'!$B$6:$B$110,'PIS F'!$A95,'FCPIS F'!$C$6:$C$110,'PIS F'!$B95)*1000*$A$4</f>
        <v>0</v>
      </c>
      <c r="Q95" s="98"/>
      <c r="R95" s="103">
        <f>SUMIFS('FCPIS F'!$T$234:$T$340,'FCPIS F'!$B$234:$B$340,'PIS F'!$A95,'FCPIS F'!$C$234:$C$340,'PIS F'!$B95)*-1000*$A$4</f>
        <v>0</v>
      </c>
      <c r="S95" s="100"/>
      <c r="T95" s="103">
        <f t="shared" si="34"/>
        <v>0</v>
      </c>
      <c r="V95" s="13">
        <f t="shared" si="38"/>
        <v>0</v>
      </c>
      <c r="X95" s="22">
        <f t="shared" si="35"/>
        <v>0</v>
      </c>
      <c r="Y95" s="98">
        <f>SUMIFS('FCPIS F'!$R$6:$R$110,'FCPIS F'!$B$6:$B$110,'PIS F'!$A95,'FCPIS F'!$C$6:$C$110,'PIS F'!$B95)*1000*$A$4</f>
        <v>0</v>
      </c>
      <c r="Z95" s="98">
        <f t="shared" si="36"/>
        <v>0</v>
      </c>
    </row>
    <row r="96" spans="1:26" s="19" customFormat="1">
      <c r="A96" s="19" t="s">
        <v>452</v>
      </c>
      <c r="B96" s="2"/>
      <c r="C96" s="100" t="s">
        <v>474</v>
      </c>
      <c r="D96" s="23">
        <f>SUMIFS('FCPIS F'!$F$6:$F$110,'FCPIS F'!$B$6:$B$110,'PIS F'!$A96,'FCPIS F'!$C$6:$C$110,'PIS F'!$B96)*1000*$A$4</f>
        <v>0</v>
      </c>
      <c r="E96" s="25"/>
      <c r="F96" s="25">
        <f>SUMIFS('FCPIS F'!$S$113:$S$184,'FCPIS F'!$B$113:$B$184,'PIS F'!$A96,'FCPIS F'!$C$113:$C$184,'PIS F'!$B96)*1000*$A$4</f>
        <v>0</v>
      </c>
      <c r="G96" s="25"/>
      <c r="H96" s="25">
        <f>SUMIFS('FCPIS F'!$S$187:$S$231,'FCPIS F'!$B$187:$B$231,'PIS F'!$A96,'FCPIS F'!$C$187:$C$231,'PIS F'!$B96)*-1000*$A$4</f>
        <v>0</v>
      </c>
      <c r="I96" s="25"/>
      <c r="J96" s="25">
        <f>SUMIFS('FCPIS F'!$S$323:$S$342,'FCPIS F'!$B$323:$B$342,'PIS B'!$A96,'FCPIS F'!$C$323:$C$342,'PIS B'!$B96)*1000*$A$4</f>
        <v>0</v>
      </c>
      <c r="K96" s="25"/>
      <c r="L96" s="25">
        <f t="shared" si="37"/>
        <v>0</v>
      </c>
      <c r="M96" s="25"/>
      <c r="N96" s="23">
        <f t="shared" si="33"/>
        <v>0</v>
      </c>
      <c r="O96" s="100"/>
      <c r="P96" s="23">
        <f>SUMIFS('FCPIS F'!$T$6:$T$110,'FCPIS F'!$B$6:$B$110,'PIS F'!$A96,'FCPIS F'!$C$6:$C$110,'PIS F'!$B96)*1000*$A$4</f>
        <v>0</v>
      </c>
      <c r="Q96" s="98"/>
      <c r="R96" s="103">
        <f>SUMIFS('FCPIS F'!$T$234:$T$340,'FCPIS F'!$B$234:$B$340,'PIS F'!$A96,'FCPIS F'!$C$234:$C$340,'PIS F'!$B96)*-1000*$A$4</f>
        <v>0</v>
      </c>
      <c r="S96" s="100"/>
      <c r="T96" s="103">
        <f t="shared" si="34"/>
        <v>0</v>
      </c>
      <c r="V96" s="13">
        <f t="shared" si="38"/>
        <v>0</v>
      </c>
      <c r="X96" s="22">
        <f t="shared" si="35"/>
        <v>0</v>
      </c>
      <c r="Y96" s="98">
        <f>SUMIFS('FCPIS F'!$R$6:$R$110,'FCPIS F'!$B$6:$B$110,'PIS F'!$A96,'FCPIS F'!$C$6:$C$110,'PIS F'!$B96)*1000*$A$4</f>
        <v>0</v>
      </c>
      <c r="Z96" s="98">
        <f t="shared" si="36"/>
        <v>0</v>
      </c>
    </row>
    <row r="97" spans="1:26" s="19" customFormat="1">
      <c r="A97" s="19" t="s">
        <v>452</v>
      </c>
      <c r="B97" s="2" t="str">
        <f t="shared" si="31"/>
        <v>393</v>
      </c>
      <c r="C97" s="100" t="s">
        <v>475</v>
      </c>
      <c r="D97" s="23">
        <f>SUMIFS('FCPIS F'!$F$6:$F$110,'FCPIS F'!$B$6:$B$110,'PIS F'!$A97,'FCPIS F'!$C$6:$C$110,'PIS F'!$B97)*1000*$A$4</f>
        <v>441322.50599999999</v>
      </c>
      <c r="E97" s="25"/>
      <c r="F97" s="25">
        <f>SUMIFS('FCPIS F'!$S$113:$S$184,'FCPIS F'!$B$113:$B$184,'PIS F'!$A97,'FCPIS F'!$C$113:$C$184,'PIS F'!$B97)*1000*$A$4</f>
        <v>0</v>
      </c>
      <c r="G97" s="25"/>
      <c r="H97" s="25">
        <f>SUMIFS('FCPIS F'!$S$187:$S$231,'FCPIS F'!$B$187:$B$231,'PIS F'!$A97,'FCPIS F'!$C$187:$C$231,'PIS F'!$B97)*-1000*$A$4</f>
        <v>0</v>
      </c>
      <c r="I97" s="25"/>
      <c r="J97" s="25">
        <f>SUMIFS('FCPIS F'!$S$323:$S$342,'FCPIS F'!$B$323:$B$342,'PIS B'!$A97,'FCPIS F'!$C$323:$C$342,'PIS B'!$B97)*1000*$A$4</f>
        <v>0</v>
      </c>
      <c r="K97" s="25"/>
      <c r="L97" s="25">
        <f t="shared" si="37"/>
        <v>0</v>
      </c>
      <c r="M97" s="25"/>
      <c r="N97" s="23">
        <f t="shared" si="33"/>
        <v>441322.50599999999</v>
      </c>
      <c r="O97" s="100"/>
      <c r="P97" s="23">
        <f>SUMIFS('FCPIS F'!$T$6:$T$110,'FCPIS F'!$B$6:$B$110,'PIS F'!$A97,'FCPIS F'!$C$6:$C$110,'PIS F'!$B97)*1000*$A$4</f>
        <v>441322.50599999999</v>
      </c>
      <c r="Q97" s="98"/>
      <c r="R97" s="103">
        <f>SUMIFS('FCPIS F'!$T$234:$T$340,'FCPIS F'!$B$234:$B$340,'PIS F'!$A97,'FCPIS F'!$C$234:$C$340,'PIS F'!$B97)*-1000*$A$4</f>
        <v>-298447.34107139992</v>
      </c>
      <c r="S97" s="100"/>
      <c r="T97" s="103">
        <f t="shared" si="34"/>
        <v>142875.16492860008</v>
      </c>
      <c r="V97" s="13">
        <f t="shared" si="38"/>
        <v>0</v>
      </c>
      <c r="X97" s="22">
        <f t="shared" si="35"/>
        <v>-298447.34107139992</v>
      </c>
      <c r="Y97" s="98">
        <f>SUMIFS('FCPIS F'!$R$6:$R$110,'FCPIS F'!$B$6:$B$110,'PIS F'!$A97,'FCPIS F'!$C$6:$C$110,'PIS F'!$B97)*1000*$A$4</f>
        <v>441322.50599999999</v>
      </c>
      <c r="Z97" s="98">
        <f t="shared" si="36"/>
        <v>0</v>
      </c>
    </row>
    <row r="98" spans="1:26" s="19" customFormat="1">
      <c r="A98" s="19" t="s">
        <v>452</v>
      </c>
      <c r="B98" s="2" t="str">
        <f t="shared" si="31"/>
        <v>394</v>
      </c>
      <c r="C98" s="100" t="s">
        <v>476</v>
      </c>
      <c r="D98" s="23">
        <f>SUMIFS('FCPIS F'!$F$6:$F$110,'FCPIS F'!$B$6:$B$110,'PIS F'!$A98,'FCPIS F'!$C$6:$C$110,'PIS F'!$B98)*1000*$A$4</f>
        <v>1209629.574</v>
      </c>
      <c r="E98" s="25"/>
      <c r="F98" s="25">
        <f>SUMIFS('FCPIS F'!$S$113:$S$184,'FCPIS F'!$B$113:$B$184,'PIS F'!$A98,'FCPIS F'!$C$113:$C$184,'PIS F'!$B98)*1000*$A$4</f>
        <v>30057</v>
      </c>
      <c r="G98" s="25"/>
      <c r="H98" s="25">
        <f>SUMIFS('FCPIS F'!$S$187:$S$231,'FCPIS F'!$B$187:$B$231,'PIS F'!$A98,'FCPIS F'!$C$187:$C$231,'PIS F'!$B98)*-1000*$A$4</f>
        <v>-33879.299999999996</v>
      </c>
      <c r="I98" s="25"/>
      <c r="J98" s="25">
        <f>SUMIFS('FCPIS F'!$S$323:$S$342,'FCPIS F'!$B$323:$B$342,'PIS B'!$A98,'FCPIS F'!$C$323:$C$342,'PIS B'!$B98)*1000*$A$4</f>
        <v>0</v>
      </c>
      <c r="K98" s="25"/>
      <c r="L98" s="25">
        <f t="shared" si="37"/>
        <v>-3822.2999999999956</v>
      </c>
      <c r="M98" s="25"/>
      <c r="N98" s="23">
        <f t="shared" si="33"/>
        <v>1205807.274</v>
      </c>
      <c r="O98" s="100"/>
      <c r="P98" s="23">
        <f>SUMIFS('FCPIS F'!$T$6:$T$110,'FCPIS F'!$B$6:$B$110,'PIS F'!$A98,'FCPIS F'!$C$6:$C$110,'PIS F'!$B98)*1000*$A$4</f>
        <v>1226167.8586153849</v>
      </c>
      <c r="Q98" s="98"/>
      <c r="R98" s="103">
        <f>SUMIFS('FCPIS F'!$T$234:$T$340,'FCPIS F'!$B$234:$B$340,'PIS F'!$A98,'FCPIS F'!$C$234:$C$340,'PIS F'!$B98)*-1000*$A$4</f>
        <v>-715825.15293738444</v>
      </c>
      <c r="S98" s="100"/>
      <c r="T98" s="103">
        <f t="shared" si="34"/>
        <v>510342.70567800046</v>
      </c>
      <c r="V98" s="13">
        <f t="shared" si="38"/>
        <v>0</v>
      </c>
      <c r="X98" s="22">
        <f t="shared" si="35"/>
        <v>-715825.15293738444</v>
      </c>
      <c r="Y98" s="98">
        <f>SUMIFS('FCPIS F'!$R$6:$R$110,'FCPIS F'!$B$6:$B$110,'PIS F'!$A98,'FCPIS F'!$C$6:$C$110,'PIS F'!$B98)*1000*$A$4</f>
        <v>1205807.274</v>
      </c>
      <c r="Z98" s="98">
        <f t="shared" si="36"/>
        <v>0</v>
      </c>
    </row>
    <row r="99" spans="1:26" s="19" customFormat="1">
      <c r="A99" s="19" t="s">
        <v>452</v>
      </c>
      <c r="B99" s="2" t="str">
        <f t="shared" si="31"/>
        <v>395</v>
      </c>
      <c r="C99" s="100" t="s">
        <v>477</v>
      </c>
      <c r="D99" s="23">
        <f>SUMIFS('FCPIS F'!$F$6:$F$110,'FCPIS F'!$B$6:$B$110,'PIS F'!$A99,'FCPIS F'!$C$6:$C$110,'PIS F'!$B99)*1000*$A$4</f>
        <v>0</v>
      </c>
      <c r="E99" s="25"/>
      <c r="F99" s="25">
        <f>SUMIFS('FCPIS F'!$S$113:$S$184,'FCPIS F'!$B$113:$B$184,'PIS F'!$A99,'FCPIS F'!$C$113:$C$184,'PIS F'!$B99)*1000*$A$4</f>
        <v>0</v>
      </c>
      <c r="G99" s="25"/>
      <c r="H99" s="25">
        <f>SUMIFS('FCPIS F'!$S$187:$S$231,'FCPIS F'!$B$187:$B$231,'PIS F'!$A99,'FCPIS F'!$C$187:$C$231,'PIS F'!$B99)*-1000*$A$4</f>
        <v>0</v>
      </c>
      <c r="I99" s="25"/>
      <c r="J99" s="25">
        <f>SUMIFS('FCPIS F'!$S$323:$S$342,'FCPIS F'!$B$323:$B$342,'PIS B'!$A99,'FCPIS F'!$C$323:$C$342,'PIS B'!$B99)*1000*$A$4</f>
        <v>0</v>
      </c>
      <c r="K99" s="25"/>
      <c r="L99" s="25">
        <f t="shared" si="37"/>
        <v>0</v>
      </c>
      <c r="M99" s="25"/>
      <c r="N99" s="23">
        <f t="shared" si="33"/>
        <v>0</v>
      </c>
      <c r="O99" s="100"/>
      <c r="P99" s="23">
        <f>SUMIFS('FCPIS F'!$T$6:$T$110,'FCPIS F'!$B$6:$B$110,'PIS F'!$A99,'FCPIS F'!$C$6:$C$110,'PIS F'!$B99)*1000*$A$4</f>
        <v>0</v>
      </c>
      <c r="Q99" s="98"/>
      <c r="R99" s="103">
        <f>SUMIFS('FCPIS F'!$T$234:$T$340,'FCPIS F'!$B$234:$B$340,'PIS F'!$A99,'FCPIS F'!$C$234:$C$340,'PIS F'!$B99)*-1000*$A$4</f>
        <v>0</v>
      </c>
      <c r="S99" s="100"/>
      <c r="T99" s="103">
        <f t="shared" si="34"/>
        <v>0</v>
      </c>
      <c r="V99" s="13">
        <f t="shared" si="38"/>
        <v>0</v>
      </c>
      <c r="X99" s="22">
        <f t="shared" si="35"/>
        <v>0</v>
      </c>
      <c r="Y99" s="98">
        <f>SUMIFS('FCPIS F'!$R$6:$R$110,'FCPIS F'!$B$6:$B$110,'PIS F'!$A99,'FCPIS F'!$C$6:$C$110,'PIS F'!$B99)*1000*$A$4</f>
        <v>0</v>
      </c>
      <c r="Z99" s="98">
        <f t="shared" si="36"/>
        <v>0</v>
      </c>
    </row>
    <row r="100" spans="1:26" s="19" customFormat="1">
      <c r="A100" s="19" t="s">
        <v>452</v>
      </c>
      <c r="B100" s="2" t="str">
        <f t="shared" si="31"/>
        <v>396</v>
      </c>
      <c r="C100" s="100" t="s">
        <v>478</v>
      </c>
      <c r="D100" s="23">
        <f>SUMIFS('FCPIS F'!$F$6:$F$110,'FCPIS F'!$B$6:$B$110,'PIS F'!$A100,'FCPIS F'!$C$6:$C$110,'PIS F'!$B100)*1000*$A$4</f>
        <v>102775.863</v>
      </c>
      <c r="E100" s="25"/>
      <c r="F100" s="25">
        <f>SUMIFS('FCPIS F'!$S$113:$S$184,'FCPIS F'!$B$113:$B$184,'PIS F'!$A100,'FCPIS F'!$C$113:$C$184,'PIS F'!$B100)*1000*$A$4</f>
        <v>0</v>
      </c>
      <c r="G100" s="25"/>
      <c r="H100" s="25">
        <f>SUMIFS('FCPIS F'!$S$187:$S$231,'FCPIS F'!$B$187:$B$231,'PIS F'!$A100,'FCPIS F'!$C$187:$C$231,'PIS F'!$B100)*-1000*$A$4</f>
        <v>0</v>
      </c>
      <c r="I100" s="25"/>
      <c r="J100" s="25">
        <f>SUMIFS('FCPIS F'!$S$323:$S$342,'FCPIS F'!$B$323:$B$342,'PIS B'!$A100,'FCPIS F'!$C$323:$C$342,'PIS B'!$B100)*1000*$A$4</f>
        <v>0</v>
      </c>
      <c r="K100" s="25"/>
      <c r="L100" s="25">
        <f t="shared" si="37"/>
        <v>0</v>
      </c>
      <c r="M100" s="25"/>
      <c r="N100" s="23">
        <f t="shared" si="33"/>
        <v>102775.863</v>
      </c>
      <c r="O100" s="100"/>
      <c r="P100" s="23">
        <f>SUMIFS('FCPIS F'!$T$6:$T$110,'FCPIS F'!$B$6:$B$110,'PIS F'!$A100,'FCPIS F'!$C$6:$C$110,'PIS F'!$B100)*1000*$A$4</f>
        <v>102775.86299999997</v>
      </c>
      <c r="Q100" s="98"/>
      <c r="R100" s="103">
        <f>SUMIFS('FCPIS F'!$T$234:$T$340,'FCPIS F'!$B$234:$B$340,'PIS F'!$A100,'FCPIS F'!$C$234:$C$340,'PIS F'!$B100)*-1000*$A$4</f>
        <v>-90743.822026346752</v>
      </c>
      <c r="S100" s="100"/>
      <c r="T100" s="103">
        <f t="shared" si="34"/>
        <v>12032.040973653216</v>
      </c>
      <c r="V100" s="13">
        <f t="shared" si="38"/>
        <v>0</v>
      </c>
      <c r="X100" s="22">
        <f t="shared" si="35"/>
        <v>-90743.822026346752</v>
      </c>
      <c r="Y100" s="98">
        <f>SUMIFS('FCPIS F'!$R$6:$R$110,'FCPIS F'!$B$6:$B$110,'PIS F'!$A100,'FCPIS F'!$C$6:$C$110,'PIS F'!$B100)*1000*$A$4</f>
        <v>102775.863</v>
      </c>
      <c r="Z100" s="98">
        <f t="shared" si="36"/>
        <v>0</v>
      </c>
    </row>
    <row r="101" spans="1:26" s="19" customFormat="1">
      <c r="A101" s="19" t="s">
        <v>452</v>
      </c>
      <c r="B101" s="2"/>
      <c r="C101" s="100" t="s">
        <v>479</v>
      </c>
      <c r="D101" s="23">
        <f>SUMIFS('FCPIS F'!$F$6:$F$110,'FCPIS F'!$B$6:$B$110,'PIS F'!$A101,'FCPIS F'!$C$6:$C$110,'PIS F'!$B101)*1000*$A$4</f>
        <v>0</v>
      </c>
      <c r="E101" s="25"/>
      <c r="F101" s="25">
        <f>SUMIFS('FCPIS F'!$S$113:$S$184,'FCPIS F'!$B$113:$B$184,'PIS F'!$A101,'FCPIS F'!$C$113:$C$184,'PIS F'!$B101)*1000*$A$4</f>
        <v>0</v>
      </c>
      <c r="G101" s="25"/>
      <c r="H101" s="25">
        <f>SUMIFS('FCPIS F'!$S$187:$S$231,'FCPIS F'!$B$187:$B$231,'PIS F'!$A101,'FCPIS F'!$C$187:$C$231,'PIS F'!$B101)*-1000*$A$4</f>
        <v>0</v>
      </c>
      <c r="I101" s="25"/>
      <c r="J101" s="25">
        <f>SUMIFS('FCPIS F'!$S$323:$S$342,'FCPIS F'!$B$323:$B$342,'PIS B'!$A101,'FCPIS F'!$C$323:$C$342,'PIS B'!$B101)*1000*$A$4</f>
        <v>0</v>
      </c>
      <c r="K101" s="25"/>
      <c r="L101" s="25">
        <f t="shared" si="37"/>
        <v>0</v>
      </c>
      <c r="M101" s="25"/>
      <c r="N101" s="23">
        <f t="shared" si="33"/>
        <v>0</v>
      </c>
      <c r="O101" s="100"/>
      <c r="P101" s="23">
        <f>SUMIFS('FCPIS F'!$T$6:$T$110,'FCPIS F'!$B$6:$B$110,'PIS F'!$A101,'FCPIS F'!$C$6:$C$110,'PIS F'!$B101)*1000*$A$4</f>
        <v>0</v>
      </c>
      <c r="Q101" s="98"/>
      <c r="R101" s="103">
        <f>SUMIFS('FCPIS F'!$T$234:$T$340,'FCPIS F'!$B$234:$B$340,'PIS F'!$A101,'FCPIS F'!$C$234:$C$340,'PIS F'!$B101)*-1000*$A$4</f>
        <v>0</v>
      </c>
      <c r="S101" s="100"/>
      <c r="T101" s="103">
        <f t="shared" si="34"/>
        <v>0</v>
      </c>
      <c r="V101" s="13">
        <f t="shared" si="38"/>
        <v>0</v>
      </c>
      <c r="X101" s="22">
        <f t="shared" si="35"/>
        <v>0</v>
      </c>
      <c r="Y101" s="98">
        <f>SUMIFS('FCPIS F'!$R$6:$R$110,'FCPIS F'!$B$6:$B$110,'PIS F'!$A101,'FCPIS F'!$C$6:$C$110,'PIS F'!$B101)*1000*$A$4</f>
        <v>0</v>
      </c>
      <c r="Z101" s="98">
        <f t="shared" si="36"/>
        <v>0</v>
      </c>
    </row>
    <row r="102" spans="1:26" s="19" customFormat="1">
      <c r="A102" s="19" t="s">
        <v>452</v>
      </c>
      <c r="B102" s="2" t="str">
        <f t="shared" si="31"/>
        <v>397</v>
      </c>
      <c r="C102" s="100" t="s">
        <v>480</v>
      </c>
      <c r="D102" s="23">
        <f>SUMIFS('FCPIS F'!$F$6:$F$110,'FCPIS F'!$B$6:$B$110,'PIS F'!$A102,'FCPIS F'!$C$6:$C$110,'PIS F'!$B102)*1000*$A$4</f>
        <v>12421631.165999999</v>
      </c>
      <c r="E102" s="25"/>
      <c r="F102" s="25">
        <f>SUMIFS('FCPIS F'!$S$113:$S$184,'FCPIS F'!$B$113:$B$184,'PIS F'!$A102,'FCPIS F'!$C$113:$C$184,'PIS F'!$B102)*1000*$A$4</f>
        <v>591308.01899999997</v>
      </c>
      <c r="G102" s="25"/>
      <c r="H102" s="25">
        <f>SUMIFS('FCPIS F'!$S$187:$S$231,'FCPIS F'!$B$187:$B$231,'PIS F'!$A102,'FCPIS F'!$C$187:$C$231,'PIS F'!$B102)*-1000*$A$4</f>
        <v>0</v>
      </c>
      <c r="I102" s="25"/>
      <c r="J102" s="25">
        <f>SUMIFS('FCPIS F'!$S$323:$S$342,'FCPIS F'!$B$323:$B$342,'PIS B'!$A102,'FCPIS F'!$C$323:$C$342,'PIS B'!$B102)*1000*$A$4</f>
        <v>0</v>
      </c>
      <c r="K102" s="25"/>
      <c r="L102" s="25">
        <f t="shared" si="37"/>
        <v>591308.01899999997</v>
      </c>
      <c r="M102" s="25"/>
      <c r="N102" s="23">
        <f t="shared" si="33"/>
        <v>13012939.184999999</v>
      </c>
      <c r="O102" s="100"/>
      <c r="P102" s="23">
        <f>SUMIFS('FCPIS F'!$T$6:$T$110,'FCPIS F'!$B$6:$B$110,'PIS F'!$A102,'FCPIS F'!$C$6:$C$110,'PIS F'!$B102)*1000*$A$4</f>
        <v>12822626.2333846</v>
      </c>
      <c r="Q102" s="98"/>
      <c r="R102" s="103">
        <f>SUMIFS('FCPIS F'!$T$234:$T$340,'FCPIS F'!$B$234:$B$340,'PIS F'!$A102,'FCPIS F'!$C$234:$C$340,'PIS F'!$B102)*-1000*$A$4</f>
        <v>-9971601.5287041273</v>
      </c>
      <c r="S102" s="100"/>
      <c r="T102" s="103">
        <f t="shared" si="34"/>
        <v>2851024.7046804726</v>
      </c>
      <c r="V102" s="13">
        <f t="shared" si="38"/>
        <v>0</v>
      </c>
      <c r="X102" s="22">
        <f t="shared" si="35"/>
        <v>-9971601.5287041273</v>
      </c>
      <c r="Y102" s="98">
        <f>SUMIFS('FCPIS F'!$R$6:$R$110,'FCPIS F'!$B$6:$B$110,'PIS F'!$A102,'FCPIS F'!$C$6:$C$110,'PIS F'!$B102)*1000*$A$4</f>
        <v>13012939.184999971</v>
      </c>
      <c r="Z102" s="98">
        <f t="shared" si="36"/>
        <v>-2.7939677238464355E-8</v>
      </c>
    </row>
    <row r="103" spans="1:26" s="19" customFormat="1">
      <c r="A103" s="19" t="s">
        <v>452</v>
      </c>
      <c r="B103" s="2"/>
      <c r="C103" s="100" t="s">
        <v>481</v>
      </c>
      <c r="D103" s="23">
        <f>SUMIFS('FCPIS F'!$F$6:$F$110,'FCPIS F'!$B$6:$B$110,'PIS F'!$A103,'FCPIS F'!$C$6:$C$110,'PIS F'!$B103)*1000*$A$4</f>
        <v>0</v>
      </c>
      <c r="E103" s="25"/>
      <c r="F103" s="25">
        <f>SUMIFS('FCPIS F'!$S$113:$S$184,'FCPIS F'!$B$113:$B$184,'PIS F'!$A103,'FCPIS F'!$C$113:$C$184,'PIS F'!$B103)*1000*$A$4</f>
        <v>0</v>
      </c>
      <c r="G103" s="25"/>
      <c r="H103" s="25">
        <f>SUMIFS('FCPIS F'!$S$187:$S$231,'FCPIS F'!$B$187:$B$231,'PIS F'!$A103,'FCPIS F'!$C$187:$C$231,'PIS F'!$B103)*-1000*$A$4</f>
        <v>0</v>
      </c>
      <c r="I103" s="25"/>
      <c r="J103" s="25">
        <f>SUMIFS('FCPIS F'!$S$323:$S$342,'FCPIS F'!$B$323:$B$342,'PIS B'!$A103,'FCPIS F'!$C$323:$C$342,'PIS B'!$B103)*1000*$A$4</f>
        <v>0</v>
      </c>
      <c r="K103" s="25"/>
      <c r="L103" s="25">
        <f t="shared" si="37"/>
        <v>0</v>
      </c>
      <c r="M103" s="25"/>
      <c r="N103" s="23">
        <f t="shared" si="33"/>
        <v>0</v>
      </c>
      <c r="O103" s="100"/>
      <c r="P103" s="23">
        <f>SUMIFS('FCPIS F'!$T$6:$T$110,'FCPIS F'!$B$6:$B$110,'PIS F'!$A103,'FCPIS F'!$C$6:$C$110,'PIS F'!$B103)*1000*$A$4</f>
        <v>0</v>
      </c>
      <c r="Q103" s="98"/>
      <c r="R103" s="103">
        <f>SUMIFS('FCPIS F'!$T$234:$T$340,'FCPIS F'!$B$234:$B$340,'PIS F'!$A103,'FCPIS F'!$C$234:$C$340,'PIS F'!$B103)*-1000*$A$4</f>
        <v>0</v>
      </c>
      <c r="S103" s="100"/>
      <c r="T103" s="103">
        <f t="shared" si="34"/>
        <v>0</v>
      </c>
      <c r="V103" s="13">
        <f t="shared" si="38"/>
        <v>0</v>
      </c>
      <c r="X103" s="22">
        <f t="shared" si="35"/>
        <v>0</v>
      </c>
      <c r="Y103" s="98">
        <f>SUMIFS('FCPIS F'!$R$6:$R$110,'FCPIS F'!$B$6:$B$110,'PIS F'!$A103,'FCPIS F'!$C$6:$C$110,'PIS F'!$B103)*1000*$A$4</f>
        <v>0</v>
      </c>
      <c r="Z103" s="98">
        <f t="shared" si="36"/>
        <v>0</v>
      </c>
    </row>
    <row r="104" spans="1:26" s="19" customFormat="1">
      <c r="A104" s="19" t="s">
        <v>452</v>
      </c>
      <c r="B104" s="2" t="str">
        <f t="shared" si="31"/>
        <v>398</v>
      </c>
      <c r="C104" s="100" t="s">
        <v>482</v>
      </c>
      <c r="D104" s="23">
        <f>SUMIFS('FCPIS F'!$F$6:$F$110,'FCPIS F'!$B$6:$B$110,'PIS F'!$A104,'FCPIS F'!$C$6:$C$110,'PIS F'!$B104)*1000*$A$4</f>
        <v>0</v>
      </c>
      <c r="E104" s="25"/>
      <c r="F104" s="25">
        <f>SUMIFS('FCPIS F'!$S$113:$S$184,'FCPIS F'!$B$113:$B$184,'PIS F'!$A104,'FCPIS F'!$C$113:$C$184,'PIS F'!$B104)*1000*$A$4</f>
        <v>0</v>
      </c>
      <c r="G104" s="25"/>
      <c r="H104" s="25">
        <f>SUMIFS('FCPIS F'!$S$187:$S$231,'FCPIS F'!$B$187:$B$231,'PIS F'!$A104,'FCPIS F'!$C$187:$C$231,'PIS F'!$B104)*-1000*$A$4</f>
        <v>0</v>
      </c>
      <c r="I104" s="25"/>
      <c r="J104" s="25">
        <f>SUMIFS('FCPIS F'!$S$323:$S$342,'FCPIS F'!$B$323:$B$342,'PIS B'!$A104,'FCPIS F'!$C$323:$C$342,'PIS B'!$B104)*1000*$A$4</f>
        <v>0</v>
      </c>
      <c r="K104" s="25"/>
      <c r="L104" s="25">
        <f t="shared" si="37"/>
        <v>0</v>
      </c>
      <c r="M104" s="25"/>
      <c r="N104" s="23">
        <f t="shared" si="33"/>
        <v>0</v>
      </c>
      <c r="O104" s="100"/>
      <c r="P104" s="23">
        <f>SUMIFS('FCPIS F'!$T$6:$T$110,'FCPIS F'!$B$6:$B$110,'PIS F'!$A104,'FCPIS F'!$C$6:$C$110,'PIS F'!$B104)*1000*$A$4</f>
        <v>0</v>
      </c>
      <c r="Q104" s="98"/>
      <c r="R104" s="103">
        <f>SUMIFS('FCPIS F'!$T$234:$T$340,'FCPIS F'!$B$234:$B$340,'PIS F'!$A104,'FCPIS F'!$C$234:$C$340,'PIS F'!$B104)*-1000*$A$4</f>
        <v>0</v>
      </c>
      <c r="S104" s="100"/>
      <c r="T104" s="103">
        <f t="shared" si="34"/>
        <v>0</v>
      </c>
      <c r="V104" s="13">
        <f t="shared" si="38"/>
        <v>0</v>
      </c>
      <c r="X104" s="22">
        <f t="shared" si="35"/>
        <v>0</v>
      </c>
      <c r="Y104" s="98">
        <f>SUMIFS('FCPIS F'!$R$6:$R$110,'FCPIS F'!$B$6:$B$110,'PIS F'!$A104,'FCPIS F'!$C$6:$C$110,'PIS F'!$B104)*1000*$A$4</f>
        <v>0</v>
      </c>
      <c r="Z104" s="98">
        <f t="shared" si="36"/>
        <v>0</v>
      </c>
    </row>
    <row r="105" spans="1:26" s="19" customFormat="1">
      <c r="A105" s="19" t="s">
        <v>452</v>
      </c>
      <c r="B105" s="2" t="str">
        <f t="shared" si="31"/>
        <v>399</v>
      </c>
      <c r="C105" s="100" t="s">
        <v>483</v>
      </c>
      <c r="D105" s="23">
        <f>SUMIFS('FCPIS F'!$F$6:$F$110,'FCPIS F'!$B$6:$B$110,'PIS F'!$A105,'FCPIS F'!$C$6:$C$110,'PIS F'!$B105)*1000*$A$4</f>
        <v>0</v>
      </c>
      <c r="E105" s="25"/>
      <c r="F105" s="25">
        <f>SUMIFS('FCPIS F'!$S$113:$S$184,'FCPIS F'!$B$113:$B$184,'PIS F'!$A105,'FCPIS F'!$C$113:$C$184,'PIS F'!$B105)*1000*$A$4</f>
        <v>0</v>
      </c>
      <c r="G105" s="25"/>
      <c r="H105" s="25">
        <f>SUMIFS('FCPIS F'!$S$187:$S$231,'FCPIS F'!$B$187:$B$231,'PIS F'!$A105,'FCPIS F'!$C$187:$C$231,'PIS F'!$B105)*-1000*$A$4</f>
        <v>0</v>
      </c>
      <c r="I105" s="25"/>
      <c r="J105" s="25">
        <f>SUMIFS('FCPIS F'!$S$323:$S$342,'FCPIS F'!$B$323:$B$342,'PIS B'!$A105,'FCPIS F'!$C$323:$C$342,'PIS B'!$B105)*1000*$A$4</f>
        <v>0</v>
      </c>
      <c r="K105" s="25"/>
      <c r="L105" s="25">
        <f t="shared" si="37"/>
        <v>0</v>
      </c>
      <c r="M105" s="25"/>
      <c r="N105" s="23">
        <f t="shared" si="33"/>
        <v>0</v>
      </c>
      <c r="O105" s="100"/>
      <c r="P105" s="23">
        <f>SUMIFS('FCPIS F'!$T$6:$T$110,'FCPIS F'!$B$6:$B$110,'PIS F'!$A105,'FCPIS F'!$C$6:$C$110,'PIS F'!$B105)*1000*$A$4</f>
        <v>0</v>
      </c>
      <c r="Q105" s="98"/>
      <c r="R105" s="103">
        <f>SUMIFS('FCPIS F'!$T$234:$T$340,'FCPIS F'!$B$234:$B$340,'PIS F'!$A105,'FCPIS F'!$C$234:$C$340,'PIS F'!$B105)*-1000*$A$4</f>
        <v>0</v>
      </c>
      <c r="S105" s="100"/>
      <c r="T105" s="103">
        <f t="shared" si="34"/>
        <v>0</v>
      </c>
      <c r="V105" s="13">
        <f t="shared" si="38"/>
        <v>0</v>
      </c>
      <c r="X105" s="22">
        <f t="shared" si="35"/>
        <v>0</v>
      </c>
      <c r="Y105" s="98">
        <f>SUMIFS('FCPIS F'!$R$6:$R$110,'FCPIS F'!$B$6:$B$110,'PIS F'!$A105,'FCPIS F'!$C$6:$C$110,'PIS F'!$B105)*1000*$A$4</f>
        <v>0</v>
      </c>
      <c r="Z105" s="98">
        <f t="shared" si="36"/>
        <v>0</v>
      </c>
    </row>
    <row r="106" spans="1:26" s="19" customFormat="1">
      <c r="A106" s="19" t="s">
        <v>452</v>
      </c>
      <c r="B106" s="2" t="str">
        <f t="shared" si="31"/>
        <v>301</v>
      </c>
      <c r="C106" s="100" t="s">
        <v>484</v>
      </c>
      <c r="D106" s="23">
        <f>SUMIFS('FCPIS F'!$F$6:$F$110,'FCPIS F'!$B$6:$B$110,'PIS F'!$A106,'FCPIS F'!$C$6:$C$110,'PIS F'!$B106)*1000*$A$4</f>
        <v>25134.686999999973</v>
      </c>
      <c r="E106" s="25"/>
      <c r="F106" s="25">
        <f>SUMIFS('FCPIS F'!$S$113:$S$184,'FCPIS F'!$B$113:$B$184,'PIS F'!$A106,'FCPIS F'!$C$113:$C$184,'PIS F'!$B106)*1000*$A$4</f>
        <v>0</v>
      </c>
      <c r="G106" s="25"/>
      <c r="H106" s="25">
        <f>SUMIFS('FCPIS F'!$S$187:$S$231,'FCPIS F'!$B$187:$B$231,'PIS F'!$A106,'FCPIS F'!$C$187:$C$231,'PIS F'!$B106)*-1000*$A$4</f>
        <v>0</v>
      </c>
      <c r="I106" s="25"/>
      <c r="J106" s="25">
        <f>SUMIFS('FCPIS F'!$S$323:$S$342,'FCPIS F'!$B$323:$B$342,'PIS B'!$A106,'FCPIS F'!$C$323:$C$342,'PIS B'!$B106)*1000*$A$4</f>
        <v>0</v>
      </c>
      <c r="K106" s="25"/>
      <c r="L106" s="25">
        <f t="shared" si="37"/>
        <v>0</v>
      </c>
      <c r="M106" s="25"/>
      <c r="N106" s="23">
        <f t="shared" si="33"/>
        <v>25134.686999999973</v>
      </c>
      <c r="O106" s="100"/>
      <c r="P106" s="23">
        <f>SUMIFS('FCPIS F'!$T$6:$T$110,'FCPIS F'!$B$6:$B$110,'PIS F'!$A106,'FCPIS F'!$C$6:$C$110,'PIS F'!$B106)*1000*$A$4</f>
        <v>25134.686999999965</v>
      </c>
      <c r="Q106" s="98"/>
      <c r="R106" s="103">
        <f>SUMIFS('FCPIS F'!$T$234:$T$340,'FCPIS F'!$B$234:$B$340,'PIS F'!$A106,'FCPIS F'!$C$234:$C$340,'PIS F'!$B106)*-1000*$A$4</f>
        <v>0</v>
      </c>
      <c r="S106" s="100"/>
      <c r="T106" s="103">
        <f t="shared" si="34"/>
        <v>25134.686999999965</v>
      </c>
      <c r="V106" s="13">
        <f t="shared" si="38"/>
        <v>0</v>
      </c>
      <c r="X106" s="22">
        <f t="shared" si="35"/>
        <v>0</v>
      </c>
      <c r="Y106" s="98">
        <f>SUMIFS('FCPIS F'!$R$6:$R$110,'FCPIS F'!$B$6:$B$110,'PIS F'!$A106,'FCPIS F'!$C$6:$C$110,'PIS F'!$B106)*1000*$A$4</f>
        <v>25134.686999999973</v>
      </c>
      <c r="Z106" s="98">
        <f t="shared" si="36"/>
        <v>0</v>
      </c>
    </row>
    <row r="107" spans="1:26" s="19" customFormat="1">
      <c r="A107" s="19" t="s">
        <v>452</v>
      </c>
      <c r="B107" s="2" t="str">
        <f t="shared" si="31"/>
        <v>302</v>
      </c>
      <c r="C107" s="100" t="s">
        <v>485</v>
      </c>
      <c r="D107" s="23">
        <f>SUMIFS('FCPIS F'!$F$6:$F$110,'FCPIS F'!$B$6:$B$110,'PIS F'!$A107,'FCPIS F'!$C$6:$C$110,'PIS F'!$B107)*1000*$A$4</f>
        <v>0</v>
      </c>
      <c r="E107" s="25"/>
      <c r="F107" s="25">
        <f>SUMIFS('FCPIS F'!$S$113:$S$184,'FCPIS F'!$B$113:$B$184,'PIS F'!$A107,'FCPIS F'!$C$113:$C$184,'PIS F'!$B107)*1000*$A$4</f>
        <v>0</v>
      </c>
      <c r="G107" s="25"/>
      <c r="H107" s="25">
        <f>SUMIFS('FCPIS F'!$S$187:$S$231,'FCPIS F'!$B$187:$B$231,'PIS F'!$A107,'FCPIS F'!$C$187:$C$231,'PIS F'!$B107)*-1000*$A$4</f>
        <v>0</v>
      </c>
      <c r="I107" s="25"/>
      <c r="J107" s="25">
        <f>SUMIFS('FCPIS F'!$S$323:$S$342,'FCPIS F'!$B$323:$B$342,'PIS B'!$A107,'FCPIS F'!$C$323:$C$342,'PIS B'!$B107)*1000*$A$4</f>
        <v>0</v>
      </c>
      <c r="K107" s="25"/>
      <c r="L107" s="25">
        <f t="shared" si="37"/>
        <v>0</v>
      </c>
      <c r="M107" s="25"/>
      <c r="N107" s="23">
        <f t="shared" si="33"/>
        <v>0</v>
      </c>
      <c r="O107" s="100"/>
      <c r="P107" s="23">
        <f>SUMIFS('FCPIS F'!$T$6:$T$110,'FCPIS F'!$B$6:$B$110,'PIS F'!$A107,'FCPIS F'!$C$6:$C$110,'PIS F'!$B107)*1000*$A$4</f>
        <v>0</v>
      </c>
      <c r="Q107" s="98"/>
      <c r="R107" s="103">
        <f>SUMIFS('FCPIS F'!$T$234:$T$340,'FCPIS F'!$B$234:$B$340,'PIS F'!$A107,'FCPIS F'!$C$234:$C$340,'PIS F'!$B107)*-1000*$A$4</f>
        <v>0</v>
      </c>
      <c r="S107" s="100"/>
      <c r="T107" s="103">
        <f t="shared" si="34"/>
        <v>0</v>
      </c>
      <c r="V107" s="13">
        <f t="shared" si="38"/>
        <v>0</v>
      </c>
      <c r="X107" s="22">
        <f t="shared" si="35"/>
        <v>0</v>
      </c>
      <c r="Y107" s="98">
        <f>SUMIFS('FCPIS F'!$R$6:$R$110,'FCPIS F'!$B$6:$B$110,'PIS F'!$A107,'FCPIS F'!$C$6:$C$110,'PIS F'!$B107)*1000*$A$4</f>
        <v>0</v>
      </c>
      <c r="Z107" s="98">
        <f t="shared" si="36"/>
        <v>0</v>
      </c>
    </row>
    <row r="108" spans="1:26" s="19" customFormat="1">
      <c r="A108" s="19" t="s">
        <v>452</v>
      </c>
      <c r="B108" s="2" t="str">
        <f t="shared" si="31"/>
        <v>303</v>
      </c>
      <c r="C108" s="100" t="s">
        <v>486</v>
      </c>
      <c r="D108" s="23">
        <f>SUMIFS('FCPIS F'!$F$6:$F$110,'FCPIS F'!$B$6:$B$110,'PIS F'!$A108,'FCPIS F'!$C$6:$C$110,'PIS F'!$B108)*1000*$A$4</f>
        <v>30189595.031999998</v>
      </c>
      <c r="E108" s="25"/>
      <c r="F108" s="25">
        <f>SUMIFS('FCPIS F'!$S$113:$S$184,'FCPIS F'!$B$113:$B$184,'PIS F'!$A108,'FCPIS F'!$C$113:$C$184,'PIS F'!$B108)*1000*$A$4</f>
        <v>7603457.5529999677</v>
      </c>
      <c r="G108" s="25"/>
      <c r="H108" s="25">
        <f>SUMIFS('FCPIS F'!$S$187:$S$231,'FCPIS F'!$B$187:$B$231,'PIS F'!$A108,'FCPIS F'!$C$187:$C$231,'PIS F'!$B108)*-1000*$A$4</f>
        <v>-2201475.6</v>
      </c>
      <c r="I108" s="25"/>
      <c r="J108" s="25">
        <f>SUMIFS('FCPIS F'!$S$323:$S$342,'FCPIS F'!$B$323:$B$342,'PIS B'!$A108,'FCPIS F'!$C$323:$C$342,'PIS B'!$B108)*1000*$A$4</f>
        <v>0</v>
      </c>
      <c r="K108" s="25"/>
      <c r="L108" s="25">
        <f t="shared" si="37"/>
        <v>5401981.9529999681</v>
      </c>
      <c r="M108" s="25"/>
      <c r="N108" s="23">
        <f t="shared" si="33"/>
        <v>35591576.98499997</v>
      </c>
      <c r="O108" s="100"/>
      <c r="P108" s="23">
        <f>SUMIFS('FCPIS F'!$T$6:$T$110,'FCPIS F'!$B$6:$B$110,'PIS F'!$A108,'FCPIS F'!$C$6:$C$110,'PIS F'!$B108)*1000*$A$4</f>
        <v>33940806.507692315</v>
      </c>
      <c r="Q108" s="98"/>
      <c r="R108" s="103">
        <f>SUMIFS('FCPIS F'!$T$234:$T$340,'FCPIS F'!$B$234:$B$340,'PIS F'!$A108,'FCPIS F'!$C$234:$C$340,'PIS F'!$B108)*-1000*$A$4</f>
        <v>-17564138.870916892</v>
      </c>
      <c r="S108" s="100"/>
      <c r="T108" s="103">
        <f t="shared" si="34"/>
        <v>16376667.636775423</v>
      </c>
      <c r="V108" s="13">
        <f t="shared" si="38"/>
        <v>0</v>
      </c>
      <c r="X108" s="22">
        <f t="shared" si="35"/>
        <v>-17564138.870916892</v>
      </c>
      <c r="Y108" s="98">
        <f>SUMIFS('FCPIS F'!$R$6:$R$110,'FCPIS F'!$B$6:$B$110,'PIS F'!$A108,'FCPIS F'!$C$6:$C$110,'PIS F'!$B108)*1000*$A$4</f>
        <v>35591576.984999992</v>
      </c>
      <c r="Z108" s="98">
        <f t="shared" si="36"/>
        <v>0</v>
      </c>
    </row>
    <row r="109" spans="1:26" s="19" customFormat="1">
      <c r="A109" s="19" t="s">
        <v>452</v>
      </c>
      <c r="B109" s="2"/>
      <c r="C109" s="100" t="s">
        <v>487</v>
      </c>
      <c r="D109" s="23">
        <f>SUMIFS('FCPIS F'!$F$6:$F$110,'FCPIS F'!$B$6:$B$110,'PIS F'!$A109,'FCPIS F'!$C$6:$C$110,'PIS F'!$B109)*1000*$A$4</f>
        <v>0</v>
      </c>
      <c r="E109" s="25"/>
      <c r="F109" s="25">
        <f>SUMIFS('FCPIS F'!$S$113:$S$184,'FCPIS F'!$B$113:$B$184,'PIS F'!$A109,'FCPIS F'!$C$113:$C$184,'PIS F'!$B109)*1000*$A$4</f>
        <v>0</v>
      </c>
      <c r="G109" s="25"/>
      <c r="H109" s="25">
        <f>SUMIFS('FCPIS F'!$S$187:$S$231,'FCPIS F'!$B$187:$B$231,'PIS F'!$A109,'FCPIS F'!$C$187:$C$231,'PIS F'!$B109)*-1000*$A$4</f>
        <v>0</v>
      </c>
      <c r="I109" s="25"/>
      <c r="J109" s="25">
        <f>SUMIFS('FCPIS F'!$S$323:$S$342,'FCPIS F'!$B$323:$B$342,'PIS B'!$A109,'FCPIS F'!$C$323:$C$342,'PIS B'!$B109)*1000*$A$4</f>
        <v>0</v>
      </c>
      <c r="K109" s="25"/>
      <c r="L109" s="25">
        <f t="shared" si="37"/>
        <v>0</v>
      </c>
      <c r="M109" s="25"/>
      <c r="N109" s="23">
        <f t="shared" si="33"/>
        <v>0</v>
      </c>
      <c r="O109" s="100"/>
      <c r="P109" s="23">
        <f>SUMIFS('FCPIS F'!$T$6:$T$110,'FCPIS F'!$B$6:$B$110,'PIS F'!$A109,'FCPIS F'!$C$6:$C$110,'PIS F'!$B109)*1000*$A$4</f>
        <v>0</v>
      </c>
      <c r="Q109" s="98"/>
      <c r="R109" s="103">
        <f>SUMIFS('FCPIS F'!$T$234:$T$340,'FCPIS F'!$B$234:$B$340,'PIS F'!$A109,'FCPIS F'!$C$234:$C$340,'PIS F'!$B109)*-1000*$A$4</f>
        <v>0</v>
      </c>
      <c r="S109" s="100"/>
      <c r="T109" s="103">
        <f t="shared" si="34"/>
        <v>0</v>
      </c>
      <c r="V109" s="13">
        <f t="shared" si="38"/>
        <v>0</v>
      </c>
      <c r="X109" s="22">
        <f t="shared" si="35"/>
        <v>0</v>
      </c>
      <c r="Y109" s="98">
        <f>SUMIFS('FCPIS F'!$R$6:$R$110,'FCPIS F'!$B$6:$B$110,'PIS F'!$A109,'FCPIS F'!$C$6:$C$110,'PIS F'!$B109)*1000*$A$4</f>
        <v>0</v>
      </c>
      <c r="Z109" s="98">
        <f t="shared" si="36"/>
        <v>0</v>
      </c>
    </row>
    <row r="110" spans="1:26" s="19" customFormat="1">
      <c r="A110" s="19" t="s">
        <v>452</v>
      </c>
      <c r="B110" s="2"/>
      <c r="C110" s="100" t="s">
        <v>488</v>
      </c>
      <c r="D110" s="29">
        <f>SUMIFS('FCPIS F'!$F$6:$F$110,'FCPIS F'!$B$6:$B$110,'PIS F'!$A110,'FCPIS F'!$C$6:$C$110,'PIS F'!$B110)*1000*$A$4</f>
        <v>0</v>
      </c>
      <c r="E110" s="25"/>
      <c r="F110" s="29">
        <f>SUMIFS('FCPIS F'!$S$113:$S$184,'FCPIS F'!$B$113:$B$184,'PIS F'!$A110,'FCPIS F'!$C$113:$C$184,'PIS F'!$B110)*1000*$A$4</f>
        <v>0</v>
      </c>
      <c r="G110" s="25"/>
      <c r="H110" s="29">
        <f>SUMIFS('FCPIS F'!$S$187:$S$231,'FCPIS F'!$B$187:$B$231,'PIS F'!$A110,'FCPIS F'!$C$187:$C$231,'PIS F'!$B110)*-1000*$A$4</f>
        <v>0</v>
      </c>
      <c r="I110" s="25"/>
      <c r="J110" s="29">
        <f>SUMIFS('FCPIS F'!$S$323:$S$342,'FCPIS F'!$B$323:$B$342,'PIS B'!$A110,'FCPIS F'!$C$323:$C$342,'PIS B'!$B110)*1000*$A$4</f>
        <v>0</v>
      </c>
      <c r="K110" s="25"/>
      <c r="L110" s="29">
        <f t="shared" si="37"/>
        <v>0</v>
      </c>
      <c r="M110" s="25"/>
      <c r="N110" s="29">
        <f t="shared" si="33"/>
        <v>0</v>
      </c>
      <c r="O110" s="100"/>
      <c r="P110" s="29">
        <f>SUMIFS('FCPIS F'!$T$6:$T$110,'FCPIS F'!$B$6:$B$110,'PIS F'!$A110,'FCPIS F'!$C$6:$C$110,'PIS F'!$B110)*1000*$A$4</f>
        <v>0</v>
      </c>
      <c r="Q110" s="98"/>
      <c r="R110" s="104">
        <f>SUMIFS('FCPIS F'!$T$234:$T$340,'FCPIS F'!$B$234:$B$340,'PIS F'!$A110,'FCPIS F'!$C$234:$C$340,'PIS F'!$B110)*-1000*$A$4</f>
        <v>0</v>
      </c>
      <c r="S110" s="100"/>
      <c r="T110" s="104">
        <f t="shared" si="34"/>
        <v>0</v>
      </c>
      <c r="V110" s="13">
        <f t="shared" si="38"/>
        <v>0</v>
      </c>
      <c r="X110" s="22">
        <f t="shared" si="35"/>
        <v>0</v>
      </c>
      <c r="Y110" s="98">
        <f>SUMIFS('FCPIS F'!$R$6:$R$110,'FCPIS F'!$B$6:$B$110,'PIS F'!$A110,'FCPIS F'!$C$6:$C$110,'PIS F'!$B110)*1000*$A$4</f>
        <v>0</v>
      </c>
      <c r="Z110" s="98">
        <f t="shared" si="36"/>
        <v>0</v>
      </c>
    </row>
    <row r="111" spans="1:26" s="19" customFormat="1" ht="15">
      <c r="C111" s="100"/>
      <c r="D111" s="25">
        <f>SUM(D81:D110)</f>
        <v>81526392.710999966</v>
      </c>
      <c r="E111" s="25"/>
      <c r="F111" s="25">
        <f>SUM(F81:F110)</f>
        <v>10404940.133999968</v>
      </c>
      <c r="G111" s="25"/>
      <c r="H111" s="25">
        <f>SUM(H81:H110)</f>
        <v>-3007353.3000000003</v>
      </c>
      <c r="I111" s="25"/>
      <c r="J111" s="25">
        <f>SUM(J81:J110)</f>
        <v>0</v>
      </c>
      <c r="K111" s="25"/>
      <c r="L111" s="25">
        <f>SUM(L81:L110)</f>
        <v>7397586.8339999681</v>
      </c>
      <c r="M111" s="25"/>
      <c r="N111" s="25">
        <f>SUM(N81:N110)</f>
        <v>88923979.544999927</v>
      </c>
      <c r="O111" s="111"/>
      <c r="P111" s="25">
        <f>SUM(P81:P110)</f>
        <v>86673008.358923018</v>
      </c>
      <c r="Q111" s="98"/>
      <c r="R111" s="25">
        <f>SUM(R81:R110)</f>
        <v>-44929599.116095334</v>
      </c>
      <c r="S111"/>
      <c r="T111" s="25">
        <f>SUM(T81:T110)</f>
        <v>41743409.242827691</v>
      </c>
      <c r="V111" s="26">
        <f>SUM('FC CWIP &amp; RWIP F'!Q16)*1000*$A$4</f>
        <v>0</v>
      </c>
      <c r="W111" s="6"/>
      <c r="X111" s="26">
        <f t="shared" si="35"/>
        <v>-44929599.116095334</v>
      </c>
      <c r="Y111" s="98"/>
      <c r="Z111" s="98"/>
    </row>
    <row r="112" spans="1:26" s="19" customFormat="1" ht="15">
      <c r="C112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111"/>
      <c r="P112" s="25"/>
      <c r="Q112" s="98"/>
      <c r="R112" s="25"/>
      <c r="S112"/>
      <c r="T112" s="25"/>
      <c r="Y112" s="98"/>
      <c r="Z112" s="98"/>
    </row>
    <row r="113" spans="3:26" s="19" customFormat="1" ht="15">
      <c r="C113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111"/>
      <c r="P113" s="25"/>
      <c r="Q113" s="98"/>
      <c r="R113" s="25"/>
      <c r="S113"/>
      <c r="T113" s="25"/>
      <c r="Y113" s="98"/>
      <c r="Z113" s="98"/>
    </row>
    <row r="114" spans="3:26" s="19" customFormat="1" ht="15.75" thickBot="1">
      <c r="C114" s="112" t="s">
        <v>489</v>
      </c>
      <c r="D114" s="30">
        <f>D111</f>
        <v>81526392.710999966</v>
      </c>
      <c r="E114" s="111"/>
      <c r="F114" s="30">
        <f>F111</f>
        <v>10404940.133999968</v>
      </c>
      <c r="G114" s="111"/>
      <c r="H114" s="30">
        <f>H111</f>
        <v>-3007353.3000000003</v>
      </c>
      <c r="I114" s="111"/>
      <c r="J114" s="30">
        <f>J111</f>
        <v>0</v>
      </c>
      <c r="K114" s="111"/>
      <c r="L114" s="30">
        <f>L111</f>
        <v>7397586.8339999681</v>
      </c>
      <c r="M114" s="111"/>
      <c r="N114" s="30">
        <f>N111</f>
        <v>88923979.544999927</v>
      </c>
      <c r="O114" s="111"/>
      <c r="P114" s="30">
        <f>P111</f>
        <v>86673008.358923018</v>
      </c>
      <c r="Q114" s="98"/>
      <c r="R114" s="30">
        <f>R111</f>
        <v>-44929599.116095334</v>
      </c>
      <c r="S114"/>
      <c r="T114" s="30">
        <f>T111</f>
        <v>41743409.242827691</v>
      </c>
      <c r="V114" s="30">
        <f>V111</f>
        <v>0</v>
      </c>
      <c r="X114" s="30">
        <f>X111</f>
        <v>-44929599.116095334</v>
      </c>
      <c r="Y114" s="98"/>
      <c r="Z114" s="98"/>
    </row>
    <row r="115" spans="3:26" s="19" customFormat="1" ht="13.5" thickTop="1">
      <c r="D115" s="98"/>
      <c r="E115" s="99"/>
      <c r="F115" s="98"/>
      <c r="G115" s="99"/>
      <c r="H115" s="98"/>
      <c r="I115" s="99"/>
      <c r="J115" s="98"/>
      <c r="K115" s="99"/>
      <c r="L115" s="98"/>
      <c r="M115" s="99"/>
      <c r="N115" s="98"/>
      <c r="P115" s="98"/>
      <c r="Q115" s="98"/>
      <c r="Y115" s="98"/>
      <c r="Z115" s="98"/>
    </row>
    <row r="116" spans="3:26" s="19" customFormat="1" ht="15.75" thickBot="1">
      <c r="C116" s="112" t="s">
        <v>595</v>
      </c>
      <c r="D116" s="30">
        <f>D71+D114</f>
        <v>1240149732.1909976</v>
      </c>
      <c r="E116" s="111"/>
      <c r="F116" s="30">
        <f>F71+F114</f>
        <v>81660391.713999927</v>
      </c>
      <c r="G116" s="111"/>
      <c r="H116" s="30">
        <f>H71+H114</f>
        <v>-8772989.7599999998</v>
      </c>
      <c r="I116" s="111"/>
      <c r="J116" s="30">
        <f>J71+J114</f>
        <v>0</v>
      </c>
      <c r="K116" s="111"/>
      <c r="L116" s="30">
        <f>L71+L114</f>
        <v>72887401.953999937</v>
      </c>
      <c r="M116" s="111"/>
      <c r="N116" s="30">
        <f>N71+N114</f>
        <v>1313037134.1449974</v>
      </c>
      <c r="O116" s="111"/>
      <c r="P116" s="30">
        <f>P71+P114</f>
        <v>1282774577.0273836</v>
      </c>
      <c r="Q116" s="98"/>
      <c r="R116" s="30">
        <f>R71+R114</f>
        <v>-376403770.36529708</v>
      </c>
      <c r="S116"/>
      <c r="T116" s="30">
        <f>T71+T114</f>
        <v>906370806.66208649</v>
      </c>
      <c r="V116" s="30">
        <f>V71+V114</f>
        <v>186829.09923076924</v>
      </c>
      <c r="X116" s="30">
        <f>X71+X114</f>
        <v>-376216941.26606631</v>
      </c>
      <c r="Y116" s="98"/>
      <c r="Z116" s="98"/>
    </row>
    <row r="117" spans="3:26" s="19" customFormat="1" ht="13.5" thickTop="1">
      <c r="D117" s="98"/>
      <c r="E117" s="99"/>
      <c r="F117" s="98"/>
      <c r="G117" s="99"/>
      <c r="H117" s="98"/>
      <c r="I117" s="99"/>
      <c r="J117" s="98"/>
      <c r="K117" s="99"/>
      <c r="L117" s="98"/>
      <c r="M117" s="99"/>
      <c r="N117" s="98"/>
      <c r="P117" s="98"/>
      <c r="Q117" s="98"/>
      <c r="V117" s="389"/>
      <c r="Y117" s="98"/>
      <c r="Z117" s="98"/>
    </row>
    <row r="118" spans="3:26" s="19" customFormat="1">
      <c r="C118" s="18"/>
      <c r="D118" s="98"/>
      <c r="E118" s="99"/>
      <c r="F118" s="98"/>
      <c r="G118" s="99"/>
      <c r="H118" s="98"/>
      <c r="I118" s="99"/>
      <c r="J118" s="98"/>
      <c r="K118" s="99"/>
      <c r="L118" s="98"/>
      <c r="M118" s="99"/>
      <c r="N118" s="98"/>
      <c r="P118" s="98"/>
      <c r="Q118" s="98"/>
      <c r="Y118" s="98"/>
      <c r="Z118" s="98"/>
    </row>
    <row r="119" spans="3:26" s="19" customFormat="1">
      <c r="D119" s="98"/>
      <c r="E119" s="99"/>
      <c r="F119" s="98"/>
      <c r="G119" s="99"/>
      <c r="H119" s="98"/>
      <c r="I119" s="99"/>
      <c r="J119" s="98"/>
      <c r="K119" s="99"/>
      <c r="L119" s="98"/>
      <c r="M119" s="99"/>
      <c r="N119" s="98"/>
      <c r="P119" s="98"/>
      <c r="Q119" s="98"/>
      <c r="Y119" s="98"/>
      <c r="Z119" s="98"/>
    </row>
    <row r="120" spans="3:26" s="19" customFormat="1">
      <c r="D120" s="98"/>
      <c r="E120" s="99"/>
      <c r="F120" s="98"/>
      <c r="G120" s="99"/>
      <c r="H120" s="98"/>
      <c r="I120" s="99"/>
      <c r="J120" s="98"/>
      <c r="K120" s="99"/>
      <c r="L120" s="98"/>
      <c r="M120" s="99"/>
      <c r="N120" s="98"/>
      <c r="P120" s="98"/>
      <c r="Q120" s="98"/>
      <c r="Y120" s="98"/>
      <c r="Z120" s="98"/>
    </row>
    <row r="121" spans="3:26" s="19" customFormat="1">
      <c r="D121" s="98"/>
      <c r="E121" s="99"/>
      <c r="F121" s="98"/>
      <c r="G121" s="99"/>
      <c r="H121" s="98"/>
      <c r="I121" s="99"/>
      <c r="J121" s="98"/>
      <c r="K121" s="99"/>
      <c r="L121" s="98"/>
      <c r="M121" s="99"/>
      <c r="N121" s="98"/>
      <c r="P121" s="98"/>
      <c r="Q121" s="98"/>
      <c r="Y121" s="98"/>
      <c r="Z121" s="98"/>
    </row>
  </sheetData>
  <mergeCells count="3">
    <mergeCell ref="C1:T1"/>
    <mergeCell ref="C2:T2"/>
    <mergeCell ref="C3:T3"/>
  </mergeCells>
  <pageMargins left="0.75" right="0.75" top="1" bottom="1" header="0.5" footer="0.5"/>
  <pageSetup scale="43" fitToHeight="0" orientation="landscape" r:id="rId1"/>
  <headerFooter alignWithMargins="0"/>
  <rowBreaks count="1" manualBreakCount="1">
    <brk id="10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48"/>
  <sheetViews>
    <sheetView zoomScale="85" zoomScaleNormal="85" workbookViewId="0">
      <selection activeCell="C31" sqref="C31"/>
    </sheetView>
  </sheetViews>
  <sheetFormatPr defaultColWidth="9" defaultRowHeight="12.75"/>
  <cols>
    <col min="1" max="1" width="34.21875" style="27" bestFit="1" customWidth="1"/>
    <col min="2" max="2" width="1.44140625" style="27" customWidth="1"/>
    <col min="3" max="3" width="50.21875" style="27" bestFit="1" customWidth="1"/>
    <col min="4" max="16384" width="9" style="27"/>
  </cols>
  <sheetData>
    <row r="1" spans="1:3" ht="15.75">
      <c r="A1" s="490" t="s">
        <v>434</v>
      </c>
      <c r="B1" s="490"/>
      <c r="C1" s="490"/>
    </row>
    <row r="2" spans="1:3" ht="15.75">
      <c r="A2" s="490" t="s">
        <v>18</v>
      </c>
      <c r="B2" s="490"/>
      <c r="C2" s="490"/>
    </row>
    <row r="3" spans="1:3" ht="15.75">
      <c r="A3" s="490" t="s">
        <v>1293</v>
      </c>
      <c r="B3" s="490"/>
      <c r="C3" s="490"/>
    </row>
    <row r="4" spans="1:3">
      <c r="A4" s="376"/>
      <c r="B4" s="376"/>
      <c r="C4" s="376"/>
    </row>
    <row r="5" spans="1:3">
      <c r="A5" s="376"/>
      <c r="B5" s="376"/>
      <c r="C5" s="376"/>
    </row>
    <row r="6" spans="1:3">
      <c r="A6" s="376"/>
      <c r="B6" s="376"/>
      <c r="C6" s="376"/>
    </row>
    <row r="7" spans="1:3">
      <c r="A7" s="376"/>
      <c r="B7" s="376"/>
      <c r="C7" s="376"/>
    </row>
    <row r="8" spans="1:3">
      <c r="A8" s="381" t="s">
        <v>19</v>
      </c>
      <c r="B8" s="376"/>
      <c r="C8" s="376"/>
    </row>
    <row r="9" spans="1:3">
      <c r="A9" s="376" t="s">
        <v>20</v>
      </c>
      <c r="B9" s="376"/>
      <c r="C9" s="382" t="s">
        <v>434</v>
      </c>
    </row>
    <row r="10" spans="1:3">
      <c r="A10" s="376" t="s">
        <v>21</v>
      </c>
      <c r="B10" s="376"/>
      <c r="C10" s="382" t="s">
        <v>1810</v>
      </c>
    </row>
    <row r="11" spans="1:3">
      <c r="A11" s="376" t="s">
        <v>22</v>
      </c>
      <c r="B11" s="376"/>
      <c r="C11" s="382" t="s">
        <v>1294</v>
      </c>
    </row>
    <row r="12" spans="1:3">
      <c r="A12" s="376"/>
      <c r="B12" s="376"/>
      <c r="C12" s="382" t="s">
        <v>1295</v>
      </c>
    </row>
    <row r="13" spans="1:3">
      <c r="A13" s="376"/>
      <c r="B13" s="376"/>
      <c r="C13" s="382" t="s">
        <v>1296</v>
      </c>
    </row>
    <row r="14" spans="1:3">
      <c r="A14" s="376"/>
      <c r="B14" s="376"/>
      <c r="C14" s="382" t="s">
        <v>1297</v>
      </c>
    </row>
    <row r="15" spans="1:3">
      <c r="A15" s="376"/>
      <c r="B15" s="376"/>
      <c r="C15" s="382" t="s">
        <v>1298</v>
      </c>
    </row>
    <row r="16" spans="1:3">
      <c r="A16" s="376"/>
      <c r="B16" s="376"/>
      <c r="C16" s="382" t="s">
        <v>1299</v>
      </c>
    </row>
    <row r="17" spans="1:3">
      <c r="A17" s="376" t="s">
        <v>23</v>
      </c>
      <c r="B17" s="376"/>
      <c r="C17" s="382" t="s">
        <v>1300</v>
      </c>
    </row>
    <row r="18" spans="1:3">
      <c r="A18" s="376"/>
      <c r="B18" s="376"/>
      <c r="C18" s="382" t="s">
        <v>1301</v>
      </c>
    </row>
    <row r="19" spans="1:3">
      <c r="A19" s="376"/>
      <c r="B19" s="376"/>
      <c r="C19" s="382" t="s">
        <v>1302</v>
      </c>
    </row>
    <row r="20" spans="1:3">
      <c r="A20" s="376"/>
      <c r="B20" s="376"/>
      <c r="C20" s="382" t="s">
        <v>1303</v>
      </c>
    </row>
    <row r="21" spans="1:3">
      <c r="A21" s="376"/>
      <c r="B21" s="376"/>
      <c r="C21" s="382" t="s">
        <v>1304</v>
      </c>
    </row>
    <row r="22" spans="1:3">
      <c r="A22" s="376"/>
      <c r="B22" s="376"/>
      <c r="C22" s="382" t="s">
        <v>1305</v>
      </c>
    </row>
    <row r="23" spans="1:3">
      <c r="A23" s="376"/>
      <c r="B23" s="376"/>
      <c r="C23" s="376"/>
    </row>
    <row r="24" spans="1:3">
      <c r="A24" s="376"/>
      <c r="B24" s="376"/>
      <c r="C24" s="383"/>
    </row>
    <row r="25" spans="1:3">
      <c r="A25" s="376"/>
      <c r="B25" s="376"/>
      <c r="C25" s="383"/>
    </row>
    <row r="26" spans="1:3">
      <c r="A26" s="376"/>
      <c r="B26" s="376"/>
      <c r="C26" s="383"/>
    </row>
    <row r="27" spans="1:3">
      <c r="A27" s="376"/>
      <c r="B27" s="376"/>
      <c r="C27" s="376"/>
    </row>
    <row r="28" spans="1:3">
      <c r="A28" s="381" t="s">
        <v>24</v>
      </c>
      <c r="B28" s="376"/>
      <c r="C28" s="384"/>
    </row>
    <row r="29" spans="1:3">
      <c r="A29" s="376" t="s">
        <v>25</v>
      </c>
      <c r="B29" s="376"/>
      <c r="C29" s="376" t="s">
        <v>52</v>
      </c>
    </row>
    <row r="30" spans="1:3">
      <c r="A30" s="376" t="s">
        <v>26</v>
      </c>
      <c r="B30" s="376"/>
      <c r="C30" s="376" t="s">
        <v>53</v>
      </c>
    </row>
    <row r="31" spans="1:3">
      <c r="A31" s="376" t="s">
        <v>27</v>
      </c>
      <c r="B31" s="376"/>
      <c r="C31" s="376" t="s">
        <v>54</v>
      </c>
    </row>
    <row r="32" spans="1:3">
      <c r="A32" s="376"/>
      <c r="B32" s="376"/>
      <c r="C32" s="376"/>
    </row>
    <row r="33" spans="1:4">
      <c r="A33" s="376"/>
      <c r="B33" s="376"/>
      <c r="C33" s="376"/>
    </row>
    <row r="34" spans="1:4">
      <c r="A34" s="376"/>
      <c r="B34" s="376"/>
      <c r="C34" s="376"/>
    </row>
    <row r="35" spans="1:4">
      <c r="A35" s="381" t="s">
        <v>28</v>
      </c>
      <c r="B35" s="376"/>
      <c r="C35" s="376"/>
    </row>
    <row r="36" spans="1:4">
      <c r="A36" s="376" t="s">
        <v>1306</v>
      </c>
      <c r="B36" s="376"/>
      <c r="C36" s="376" t="str">
        <f>CONCATENATE($A$35,"   ", A36)</f>
        <v>WITNESS:   C. M. GARRETT</v>
      </c>
    </row>
    <row r="37" spans="1:4">
      <c r="A37" s="376"/>
      <c r="B37" s="376"/>
      <c r="C37" s="376" t="str">
        <f t="shared" ref="C37:C48" si="0">CONCATENATE($A$35,"   ", A37)</f>
        <v xml:space="preserve">WITNESS:   </v>
      </c>
    </row>
    <row r="38" spans="1:4">
      <c r="A38" s="376" t="s">
        <v>1815</v>
      </c>
      <c r="B38" s="376"/>
      <c r="C38" s="376" t="str">
        <f t="shared" si="0"/>
        <v>WITNESS:   D. K. ARBOUGH</v>
      </c>
      <c r="D38" s="27" t="s">
        <v>1816</v>
      </c>
    </row>
    <row r="39" spans="1:4">
      <c r="A39" s="376"/>
      <c r="B39" s="376"/>
      <c r="C39" s="376" t="str">
        <f t="shared" si="0"/>
        <v xml:space="preserve">WITNESS:   </v>
      </c>
    </row>
    <row r="40" spans="1:4">
      <c r="A40" s="376"/>
      <c r="B40" s="376"/>
      <c r="C40" s="376" t="str">
        <f t="shared" si="0"/>
        <v xml:space="preserve">WITNESS:   </v>
      </c>
    </row>
    <row r="41" spans="1:4">
      <c r="A41" s="376"/>
      <c r="B41" s="376"/>
      <c r="C41" s="376" t="str">
        <f t="shared" si="0"/>
        <v xml:space="preserve">WITNESS:   </v>
      </c>
    </row>
    <row r="42" spans="1:4">
      <c r="A42" s="376"/>
      <c r="B42" s="376"/>
      <c r="C42" s="376" t="str">
        <f t="shared" si="0"/>
        <v xml:space="preserve">WITNESS:   </v>
      </c>
    </row>
    <row r="43" spans="1:4">
      <c r="A43" s="376"/>
      <c r="B43" s="376"/>
      <c r="C43" s="376" t="str">
        <f t="shared" si="0"/>
        <v xml:space="preserve">WITNESS:   </v>
      </c>
    </row>
    <row r="44" spans="1:4">
      <c r="A44" s="376"/>
      <c r="B44" s="376"/>
      <c r="C44" s="376" t="str">
        <f t="shared" si="0"/>
        <v xml:space="preserve">WITNESS:   </v>
      </c>
    </row>
    <row r="45" spans="1:4">
      <c r="A45" s="376"/>
      <c r="B45" s="376"/>
      <c r="C45" s="376" t="str">
        <f t="shared" si="0"/>
        <v xml:space="preserve">WITNESS:   </v>
      </c>
    </row>
    <row r="46" spans="1:4">
      <c r="A46" s="376"/>
      <c r="B46" s="376"/>
      <c r="C46" s="376" t="str">
        <f t="shared" si="0"/>
        <v xml:space="preserve">WITNESS:   </v>
      </c>
    </row>
    <row r="47" spans="1:4">
      <c r="A47" s="376"/>
      <c r="B47" s="376"/>
      <c r="C47" s="376" t="str">
        <f t="shared" si="0"/>
        <v xml:space="preserve">WITNESS:   </v>
      </c>
    </row>
    <row r="48" spans="1:4">
      <c r="A48" s="376"/>
      <c r="B48" s="376"/>
      <c r="C48" s="376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V337"/>
  <sheetViews>
    <sheetView zoomScale="70" zoomScaleNormal="70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Q278" sqref="Q278"/>
    </sheetView>
  </sheetViews>
  <sheetFormatPr defaultColWidth="7.77734375" defaultRowHeight="15"/>
  <cols>
    <col min="1" max="1" width="5.21875" style="118" customWidth="1"/>
    <col min="2" max="2" width="6.33203125" style="118" customWidth="1"/>
    <col min="3" max="3" width="10" style="118" customWidth="1"/>
    <col min="4" max="4" width="58.33203125" style="113" bestFit="1" customWidth="1"/>
    <col min="5" max="18" width="9.33203125" style="118" customWidth="1"/>
    <col min="19" max="19" width="10.33203125" style="118" customWidth="1"/>
    <col min="20" max="20" width="12.21875" style="118" customWidth="1"/>
    <col min="21" max="21" width="9.88671875" style="118" customWidth="1"/>
    <col min="22" max="16384" width="7.77734375" style="118"/>
  </cols>
  <sheetData>
    <row r="1" spans="1:20" s="117" customFormat="1">
      <c r="D1" s="258"/>
    </row>
    <row r="2" spans="1:20" s="117" customFormat="1" ht="60">
      <c r="A2" s="117" t="s">
        <v>1290</v>
      </c>
      <c r="B2" s="117" t="s">
        <v>1287</v>
      </c>
      <c r="C2" s="117" t="s">
        <v>1288</v>
      </c>
      <c r="D2" s="113" t="s">
        <v>1289</v>
      </c>
      <c r="E2" s="258" t="s">
        <v>1311</v>
      </c>
      <c r="F2" s="117" t="s">
        <v>1335</v>
      </c>
      <c r="G2" s="117" t="s">
        <v>1336</v>
      </c>
      <c r="H2" s="117" t="s">
        <v>1337</v>
      </c>
      <c r="I2" s="117" t="s">
        <v>1338</v>
      </c>
      <c r="J2" s="117" t="s">
        <v>1339</v>
      </c>
      <c r="K2" s="117" t="s">
        <v>1340</v>
      </c>
      <c r="L2" s="117" t="s">
        <v>1341</v>
      </c>
      <c r="M2" s="117" t="s">
        <v>1342</v>
      </c>
      <c r="N2" s="117" t="s">
        <v>1343</v>
      </c>
      <c r="O2" s="117" t="s">
        <v>1344</v>
      </c>
      <c r="P2" s="117" t="s">
        <v>1345</v>
      </c>
      <c r="Q2" s="117" t="s">
        <v>1346</v>
      </c>
      <c r="R2" s="117" t="s">
        <v>1347</v>
      </c>
      <c r="S2" s="117" t="s">
        <v>1348</v>
      </c>
      <c r="T2" s="117" t="s">
        <v>1349</v>
      </c>
    </row>
    <row r="3" spans="1:20" s="117" customFormat="1">
      <c r="D3" s="258"/>
    </row>
    <row r="5" spans="1:20">
      <c r="D5" s="113" t="s">
        <v>408</v>
      </c>
    </row>
    <row r="6" spans="1:20">
      <c r="A6" s="118" t="str">
        <f>MID($D6,4,3)</f>
        <v>LGE</v>
      </c>
      <c r="B6" s="118" t="s">
        <v>545</v>
      </c>
      <c r="C6" s="118" t="s">
        <v>1104</v>
      </c>
      <c r="D6" s="113" t="s">
        <v>504</v>
      </c>
      <c r="E6" s="113" t="str">
        <f>IF(ISTEXT(MID($D6,SEARCH("FUTURE USE",$D6),3)),"FUTURE USE",IF(ISTEXT(MID($D6,SEARCH("GLT",$D6),3)),"GLT",IF(ISTEXT(MID($D6,SEARCH("ARO",$D6),3)),"ARO",IF(ISTEXT(MID($D6,SEARCH("DSM",$D6),3)),"DSM",""))))</f>
        <v/>
      </c>
      <c r="F6" s="118">
        <v>2139.9899999999998</v>
      </c>
      <c r="G6" s="118">
        <v>2139.9899999999998</v>
      </c>
      <c r="H6" s="118">
        <v>2139.9899999999998</v>
      </c>
      <c r="I6" s="118">
        <v>2139.9899999999998</v>
      </c>
      <c r="J6" s="118">
        <v>2139.9899999999998</v>
      </c>
      <c r="K6" s="118">
        <v>2139.9899999999998</v>
      </c>
      <c r="L6" s="118">
        <v>2139.9899999999998</v>
      </c>
      <c r="M6" s="118">
        <v>2139.9899999999998</v>
      </c>
      <c r="N6" s="118">
        <v>2139.9899999999998</v>
      </c>
      <c r="O6" s="118">
        <v>2139.9899999999998</v>
      </c>
      <c r="P6" s="118">
        <v>2139.9899999999998</v>
      </c>
      <c r="Q6" s="118">
        <v>2139.9899999999998</v>
      </c>
      <c r="R6" s="118">
        <v>2139.9899999999998</v>
      </c>
      <c r="T6" s="118">
        <f>SUM(F6:R6)/13</f>
        <v>2139.9899999999989</v>
      </c>
    </row>
    <row r="7" spans="1:20">
      <c r="A7" s="118" t="str">
        <f t="shared" ref="A7:A49" si="0">MID($D7,4,3)</f>
        <v>LGE</v>
      </c>
      <c r="B7" s="118" t="s">
        <v>545</v>
      </c>
      <c r="C7" s="118" t="str">
        <f t="shared" ref="C7:C49" si="1">MID($D7,9,3)</f>
        <v>302</v>
      </c>
      <c r="D7" s="113" t="s">
        <v>505</v>
      </c>
      <c r="E7" s="113" t="str">
        <f t="shared" ref="E7:E70" si="2">IF(ISTEXT(MID($D7,SEARCH("FUTURE USE",$D7),3)),"FUTURE USE",IF(ISTEXT(MID($D7,SEARCH("GLT",$D7),3)),"GLT",IF(ISTEXT(MID($D7,SEARCH("ARO",$D7),3)),"ARO",IF(ISTEXT(MID($D7,SEARCH("DSM",$D7),3)),"DSM",""))))</f>
        <v/>
      </c>
      <c r="F7" s="118">
        <v>0.38749</v>
      </c>
      <c r="G7" s="118">
        <v>0.38749</v>
      </c>
      <c r="H7" s="118">
        <v>0.38749</v>
      </c>
      <c r="I7" s="118">
        <v>0.38749</v>
      </c>
      <c r="J7" s="118">
        <v>0.38749</v>
      </c>
      <c r="K7" s="118">
        <v>0.38749</v>
      </c>
      <c r="L7" s="118">
        <v>0.38749</v>
      </c>
      <c r="M7" s="118">
        <v>0.38749</v>
      </c>
      <c r="N7" s="118">
        <v>0.38749</v>
      </c>
      <c r="O7" s="118">
        <v>0.38749</v>
      </c>
      <c r="P7" s="118">
        <v>0.38749</v>
      </c>
      <c r="Q7" s="118">
        <v>0.38749</v>
      </c>
      <c r="R7" s="118">
        <v>0.38749</v>
      </c>
      <c r="T7" s="118">
        <f t="shared" ref="T7:T70" si="3">SUM(F7:R7)/13</f>
        <v>0.38749</v>
      </c>
    </row>
    <row r="8" spans="1:20">
      <c r="A8" s="118" t="str">
        <f t="shared" si="0"/>
        <v>LGE</v>
      </c>
      <c r="B8" s="118" t="s">
        <v>545</v>
      </c>
      <c r="C8" s="118" t="str">
        <f t="shared" si="1"/>
        <v>350</v>
      </c>
      <c r="D8" s="113" t="s">
        <v>506</v>
      </c>
      <c r="E8" s="113" t="str">
        <f t="shared" si="2"/>
        <v/>
      </c>
      <c r="F8" s="118">
        <v>101.21249</v>
      </c>
      <c r="G8" s="118">
        <v>101.21249</v>
      </c>
      <c r="H8" s="118">
        <v>101.21249</v>
      </c>
      <c r="I8" s="118">
        <v>101.21249</v>
      </c>
      <c r="J8" s="118">
        <v>101.21249</v>
      </c>
      <c r="K8" s="118">
        <v>101.21249</v>
      </c>
      <c r="L8" s="118">
        <v>101.21249</v>
      </c>
      <c r="M8" s="118">
        <v>101.21249</v>
      </c>
      <c r="N8" s="118">
        <v>101.21249</v>
      </c>
      <c r="O8" s="118">
        <v>101.21249</v>
      </c>
      <c r="P8" s="118">
        <v>101.21249</v>
      </c>
      <c r="Q8" s="118">
        <v>101.21249</v>
      </c>
      <c r="R8" s="118">
        <v>101.21249</v>
      </c>
      <c r="T8" s="118">
        <f t="shared" si="3"/>
        <v>101.21248999999999</v>
      </c>
    </row>
    <row r="9" spans="1:20">
      <c r="A9" s="118" t="str">
        <f t="shared" si="0"/>
        <v>LGE</v>
      </c>
      <c r="B9" s="118" t="s">
        <v>545</v>
      </c>
      <c r="C9" s="118" t="str">
        <f t="shared" si="1"/>
        <v>350</v>
      </c>
      <c r="D9" s="113" t="s">
        <v>507</v>
      </c>
      <c r="E9" s="113" t="str">
        <f t="shared" si="2"/>
        <v/>
      </c>
      <c r="F9" s="118">
        <v>3.3635000000000002</v>
      </c>
      <c r="G9" s="118">
        <v>3.3635000000000002</v>
      </c>
      <c r="H9" s="118">
        <v>3.3635000000000002</v>
      </c>
      <c r="I9" s="118">
        <v>3.3635000000000002</v>
      </c>
      <c r="J9" s="118">
        <v>3.3635000000000002</v>
      </c>
      <c r="K9" s="118">
        <v>3.3635000000000002</v>
      </c>
      <c r="L9" s="118">
        <v>3.3635000000000002</v>
      </c>
      <c r="M9" s="118">
        <v>3.3635000000000002</v>
      </c>
      <c r="N9" s="118">
        <v>3.3635000000000002</v>
      </c>
      <c r="O9" s="118">
        <v>3.3635000000000002</v>
      </c>
      <c r="P9" s="118">
        <v>3.3635000000000002</v>
      </c>
      <c r="Q9" s="118">
        <v>3.3635000000000002</v>
      </c>
      <c r="R9" s="118">
        <v>3.3635000000000002</v>
      </c>
      <c r="T9" s="118">
        <f t="shared" si="3"/>
        <v>3.3635000000000015</v>
      </c>
    </row>
    <row r="10" spans="1:20">
      <c r="A10" s="118" t="str">
        <f t="shared" si="0"/>
        <v>LGE</v>
      </c>
      <c r="B10" s="118" t="s">
        <v>545</v>
      </c>
      <c r="C10" s="118" t="str">
        <f t="shared" si="1"/>
        <v>350</v>
      </c>
      <c r="D10" s="113" t="s">
        <v>508</v>
      </c>
      <c r="E10" s="113" t="str">
        <f t="shared" si="2"/>
        <v/>
      </c>
      <c r="F10" s="118">
        <v>29.50057</v>
      </c>
      <c r="G10" s="118">
        <v>29.50057</v>
      </c>
      <c r="H10" s="118">
        <v>29.50057</v>
      </c>
      <c r="I10" s="118">
        <v>29.50057</v>
      </c>
      <c r="J10" s="118">
        <v>29.50057</v>
      </c>
      <c r="K10" s="118">
        <v>29.50057</v>
      </c>
      <c r="L10" s="118">
        <v>29.50057</v>
      </c>
      <c r="M10" s="118">
        <v>29.50057</v>
      </c>
      <c r="N10" s="118">
        <v>29.50057</v>
      </c>
      <c r="O10" s="118">
        <v>29.50057</v>
      </c>
      <c r="P10" s="118">
        <v>29.50057</v>
      </c>
      <c r="Q10" s="118">
        <v>29.50057</v>
      </c>
      <c r="R10" s="118">
        <v>29.50057</v>
      </c>
      <c r="T10" s="118">
        <f t="shared" si="3"/>
        <v>29.500569999999996</v>
      </c>
    </row>
    <row r="11" spans="1:20">
      <c r="A11" s="118" t="str">
        <f t="shared" si="0"/>
        <v>LGE</v>
      </c>
      <c r="B11" s="118" t="s">
        <v>545</v>
      </c>
      <c r="C11" s="118" t="str">
        <f t="shared" si="1"/>
        <v>351</v>
      </c>
      <c r="D11" s="113" t="s">
        <v>509</v>
      </c>
      <c r="E11" s="113" t="str">
        <f t="shared" si="2"/>
        <v/>
      </c>
      <c r="F11" s="118">
        <v>10149.48466</v>
      </c>
      <c r="G11" s="118">
        <v>10149.48466</v>
      </c>
      <c r="H11" s="118">
        <v>10149.48466</v>
      </c>
      <c r="I11" s="118">
        <v>10149.48466</v>
      </c>
      <c r="J11" s="118">
        <v>10149.48466</v>
      </c>
      <c r="K11" s="118">
        <v>10149.48466</v>
      </c>
      <c r="L11" s="118">
        <v>10149.48466</v>
      </c>
      <c r="M11" s="118">
        <v>10149.48466</v>
      </c>
      <c r="N11" s="118">
        <v>10149.48466</v>
      </c>
      <c r="O11" s="118">
        <v>10149.48466</v>
      </c>
      <c r="P11" s="118">
        <v>10149.48466</v>
      </c>
      <c r="Q11" s="118">
        <v>10149.48466</v>
      </c>
      <c r="R11" s="118">
        <v>10149.48466</v>
      </c>
      <c r="T11" s="118">
        <f t="shared" si="3"/>
        <v>10149.48466</v>
      </c>
    </row>
    <row r="12" spans="1:20">
      <c r="A12" s="118" t="str">
        <f t="shared" si="0"/>
        <v>LGE</v>
      </c>
      <c r="B12" s="118" t="s">
        <v>545</v>
      </c>
      <c r="C12" s="118" t="str">
        <f t="shared" si="1"/>
        <v>351</v>
      </c>
      <c r="D12" s="113" t="s">
        <v>510</v>
      </c>
      <c r="E12" s="113" t="str">
        <f t="shared" si="2"/>
        <v/>
      </c>
      <c r="F12" s="118">
        <v>1502.8454099999999</v>
      </c>
      <c r="G12" s="118">
        <v>1502.8454099999999</v>
      </c>
      <c r="H12" s="118">
        <v>1502.8454099999999</v>
      </c>
      <c r="I12" s="118">
        <v>1502.8454099999999</v>
      </c>
      <c r="J12" s="118">
        <v>1502.8454099999999</v>
      </c>
      <c r="K12" s="118">
        <v>1502.8454099999999</v>
      </c>
      <c r="L12" s="118">
        <v>1502.8454099999999</v>
      </c>
      <c r="M12" s="118">
        <v>1502.8454099999999</v>
      </c>
      <c r="N12" s="118">
        <v>1502.8454099999999</v>
      </c>
      <c r="O12" s="118">
        <v>1502.8454099999999</v>
      </c>
      <c r="P12" s="118">
        <v>1502.8454099999999</v>
      </c>
      <c r="Q12" s="118">
        <v>1502.8454099999999</v>
      </c>
      <c r="R12" s="118">
        <v>1502.8454099999999</v>
      </c>
      <c r="T12" s="118">
        <f t="shared" si="3"/>
        <v>1502.8454100000001</v>
      </c>
    </row>
    <row r="13" spans="1:20">
      <c r="A13" s="118" t="str">
        <f t="shared" si="0"/>
        <v>LGE</v>
      </c>
      <c r="B13" s="118" t="s">
        <v>545</v>
      </c>
      <c r="C13" s="118" t="str">
        <f t="shared" si="1"/>
        <v>351</v>
      </c>
      <c r="D13" s="113" t="s">
        <v>511</v>
      </c>
      <c r="E13" s="113" t="str">
        <f t="shared" si="2"/>
        <v/>
      </c>
      <c r="F13" s="118">
        <v>4114.7963399999999</v>
      </c>
      <c r="G13" s="118">
        <v>4114.7963399999999</v>
      </c>
      <c r="H13" s="118">
        <v>4131.7963399999999</v>
      </c>
      <c r="I13" s="118">
        <v>4131.7963399999999</v>
      </c>
      <c r="J13" s="118">
        <v>4131.7963399999999</v>
      </c>
      <c r="K13" s="118">
        <v>4131.7963399999999</v>
      </c>
      <c r="L13" s="118">
        <v>4131.7963399999999</v>
      </c>
      <c r="M13" s="118">
        <v>4131.7963399999999</v>
      </c>
      <c r="N13" s="118">
        <v>4131.7963399999999</v>
      </c>
      <c r="O13" s="118">
        <v>4131.7963399999999</v>
      </c>
      <c r="P13" s="118">
        <v>4131.7963399999999</v>
      </c>
      <c r="Q13" s="118">
        <v>4131.7963399999999</v>
      </c>
      <c r="R13" s="118">
        <v>4131.7963399999999</v>
      </c>
      <c r="T13" s="118">
        <f t="shared" si="3"/>
        <v>4129.180955384616</v>
      </c>
    </row>
    <row r="14" spans="1:20">
      <c r="A14" s="118" t="str">
        <f t="shared" si="0"/>
        <v>LGE</v>
      </c>
      <c r="B14" s="118" t="s">
        <v>545</v>
      </c>
      <c r="C14" s="351">
        <v>352.1</v>
      </c>
      <c r="D14" s="113" t="s">
        <v>512</v>
      </c>
      <c r="E14" s="113" t="str">
        <f t="shared" si="2"/>
        <v/>
      </c>
      <c r="F14" s="118">
        <v>548.24113999999997</v>
      </c>
      <c r="G14" s="118">
        <v>548.24113999999997</v>
      </c>
      <c r="H14" s="118">
        <v>548.24113999999997</v>
      </c>
      <c r="I14" s="118">
        <v>548.24113999999997</v>
      </c>
      <c r="J14" s="118">
        <v>548.24113999999997</v>
      </c>
      <c r="K14" s="118">
        <v>548.24113999999997</v>
      </c>
      <c r="L14" s="118">
        <v>548.24113999999997</v>
      </c>
      <c r="M14" s="118">
        <v>548.24113999999997</v>
      </c>
      <c r="N14" s="118">
        <v>548.24113999999997</v>
      </c>
      <c r="O14" s="118">
        <v>548.24113999999997</v>
      </c>
      <c r="P14" s="118">
        <v>548.24113999999997</v>
      </c>
      <c r="Q14" s="118">
        <v>548.24113999999997</v>
      </c>
      <c r="R14" s="118">
        <v>548.24113999999997</v>
      </c>
      <c r="T14" s="118">
        <f t="shared" si="3"/>
        <v>548.24113999999997</v>
      </c>
    </row>
    <row r="15" spans="1:20">
      <c r="A15" s="118" t="str">
        <f t="shared" si="0"/>
        <v>LGE</v>
      </c>
      <c r="B15" s="118" t="s">
        <v>545</v>
      </c>
      <c r="C15" s="118" t="s">
        <v>1104</v>
      </c>
      <c r="D15" s="113" t="s">
        <v>513</v>
      </c>
      <c r="E15" s="113" t="str">
        <f t="shared" si="2"/>
        <v/>
      </c>
      <c r="F15" s="118">
        <v>9648.8549999999996</v>
      </c>
      <c r="G15" s="118">
        <v>9648.8549999999996</v>
      </c>
      <c r="H15" s="118">
        <v>9648.8549999999996</v>
      </c>
      <c r="I15" s="118">
        <v>9648.8549999999996</v>
      </c>
      <c r="J15" s="118">
        <v>9648.8549999999996</v>
      </c>
      <c r="K15" s="118">
        <v>9648.8549999999996</v>
      </c>
      <c r="L15" s="118">
        <v>9648.8549999999996</v>
      </c>
      <c r="M15" s="118">
        <v>9648.8549999999996</v>
      </c>
      <c r="N15" s="118">
        <v>9648.8549999999996</v>
      </c>
      <c r="O15" s="118">
        <v>9648.8549999999996</v>
      </c>
      <c r="P15" s="118">
        <v>9648.8549999999996</v>
      </c>
      <c r="Q15" s="118">
        <v>9648.8549999999996</v>
      </c>
      <c r="R15" s="118">
        <v>9648.8549999999996</v>
      </c>
      <c r="T15" s="118">
        <f t="shared" si="3"/>
        <v>9648.8549999999977</v>
      </c>
    </row>
    <row r="16" spans="1:20">
      <c r="A16" s="118" t="str">
        <f t="shared" si="0"/>
        <v>LGE</v>
      </c>
      <c r="B16" s="118" t="s">
        <v>545</v>
      </c>
      <c r="C16" s="351">
        <v>352.2</v>
      </c>
      <c r="D16" s="113" t="s">
        <v>514</v>
      </c>
      <c r="E16" s="113" t="str">
        <f t="shared" si="2"/>
        <v/>
      </c>
      <c r="F16" s="118">
        <v>400.51139999999998</v>
      </c>
      <c r="G16" s="118">
        <v>400.51139999999998</v>
      </c>
      <c r="H16" s="118">
        <v>400.51139999999998</v>
      </c>
      <c r="I16" s="118">
        <v>400.51139999999998</v>
      </c>
      <c r="J16" s="118">
        <v>400.51139999999998</v>
      </c>
      <c r="K16" s="118">
        <v>400.51139999999998</v>
      </c>
      <c r="L16" s="118">
        <v>400.51139999999998</v>
      </c>
      <c r="M16" s="118">
        <v>400.51139999999998</v>
      </c>
      <c r="N16" s="118">
        <v>400.51139999999998</v>
      </c>
      <c r="O16" s="118">
        <v>400.51139999999998</v>
      </c>
      <c r="P16" s="118">
        <v>400.51139999999998</v>
      </c>
      <c r="Q16" s="118">
        <v>400.51139999999998</v>
      </c>
      <c r="R16" s="118">
        <v>400.51139999999998</v>
      </c>
      <c r="T16" s="118">
        <f t="shared" si="3"/>
        <v>400.51139999999998</v>
      </c>
    </row>
    <row r="17" spans="1:20">
      <c r="A17" s="118" t="str">
        <f t="shared" si="0"/>
        <v>LGE</v>
      </c>
      <c r="B17" s="118" t="s">
        <v>545</v>
      </c>
      <c r="C17" s="118" t="str">
        <f t="shared" si="1"/>
        <v>352</v>
      </c>
      <c r="D17" s="113" t="s">
        <v>515</v>
      </c>
      <c r="E17" s="113" t="str">
        <f t="shared" si="2"/>
        <v/>
      </c>
      <c r="F17" s="118">
        <v>2381.8205899999998</v>
      </c>
      <c r="G17" s="118">
        <v>2381.8205899999998</v>
      </c>
      <c r="H17" s="118">
        <v>2381.8205899999998</v>
      </c>
      <c r="I17" s="118">
        <v>2381.8205899999998</v>
      </c>
      <c r="J17" s="118">
        <v>2381.8205899999998</v>
      </c>
      <c r="K17" s="118">
        <v>2381.8205899999998</v>
      </c>
      <c r="L17" s="118">
        <v>2381.8205899999998</v>
      </c>
      <c r="M17" s="118">
        <v>2381.8205899999998</v>
      </c>
      <c r="N17" s="118">
        <v>2381.8205899999998</v>
      </c>
      <c r="O17" s="118">
        <v>2381.8205899999998</v>
      </c>
      <c r="P17" s="118">
        <v>2381.8205899999998</v>
      </c>
      <c r="Q17" s="118">
        <v>2381.8205899999998</v>
      </c>
      <c r="R17" s="118">
        <v>2381.8205899999998</v>
      </c>
      <c r="T17" s="118">
        <f t="shared" si="3"/>
        <v>2381.8205899999998</v>
      </c>
    </row>
    <row r="18" spans="1:20">
      <c r="A18" s="118" t="str">
        <f t="shared" si="0"/>
        <v>LGE</v>
      </c>
      <c r="B18" s="118" t="s">
        <v>545</v>
      </c>
      <c r="C18" s="118" t="str">
        <f t="shared" si="1"/>
        <v>352</v>
      </c>
      <c r="D18" s="113" t="s">
        <v>516</v>
      </c>
      <c r="E18" s="113" t="str">
        <f t="shared" si="2"/>
        <v/>
      </c>
      <c r="F18" s="118">
        <v>2955.47957</v>
      </c>
      <c r="G18" s="118">
        <v>2955.47957</v>
      </c>
      <c r="H18" s="118">
        <v>2955.47957</v>
      </c>
      <c r="I18" s="118">
        <v>2955.47957</v>
      </c>
      <c r="J18" s="118">
        <v>2955.47957</v>
      </c>
      <c r="K18" s="118">
        <v>2955.47957</v>
      </c>
      <c r="L18" s="118">
        <v>2955.47957</v>
      </c>
      <c r="M18" s="118">
        <v>2955.47957</v>
      </c>
      <c r="N18" s="118">
        <v>2955.47957</v>
      </c>
      <c r="O18" s="118">
        <v>2955.47957</v>
      </c>
      <c r="P18" s="118">
        <v>2955.47957</v>
      </c>
      <c r="Q18" s="118">
        <v>2955.47957</v>
      </c>
      <c r="R18" s="118">
        <v>2955.47957</v>
      </c>
      <c r="T18" s="118">
        <f t="shared" si="3"/>
        <v>2955.4795700000004</v>
      </c>
    </row>
    <row r="19" spans="1:20">
      <c r="A19" s="118" t="str">
        <f t="shared" si="0"/>
        <v>LGE</v>
      </c>
      <c r="B19" s="118" t="s">
        <v>545</v>
      </c>
      <c r="C19" s="118" t="str">
        <f t="shared" si="1"/>
        <v>352</v>
      </c>
      <c r="D19" s="113" t="s">
        <v>517</v>
      </c>
      <c r="E19" s="113" t="str">
        <f t="shared" si="2"/>
        <v/>
      </c>
      <c r="F19" s="118">
        <v>4235.5335299999997</v>
      </c>
      <c r="G19" s="118">
        <v>4848.3797800000002</v>
      </c>
      <c r="H19" s="118">
        <v>4886.1664300000002</v>
      </c>
      <c r="I19" s="118">
        <v>4890.3931000000002</v>
      </c>
      <c r="J19" s="118">
        <v>4894.6197700000002</v>
      </c>
      <c r="K19" s="118">
        <v>4894.2864399999999</v>
      </c>
      <c r="L19" s="118">
        <v>4893.9531100000004</v>
      </c>
      <c r="M19" s="118">
        <v>4893.9531100000004</v>
      </c>
      <c r="N19" s="118">
        <v>4893.9531100000004</v>
      </c>
      <c r="O19" s="118">
        <v>4893.9531100000004</v>
      </c>
      <c r="P19" s="118">
        <v>4893.9531100000004</v>
      </c>
      <c r="Q19" s="118">
        <v>4893.9531100000004</v>
      </c>
      <c r="R19" s="118">
        <v>4893.9531100000004</v>
      </c>
      <c r="T19" s="118">
        <f t="shared" si="3"/>
        <v>4839.0039092307707</v>
      </c>
    </row>
    <row r="20" spans="1:20">
      <c r="A20" s="118" t="str">
        <f t="shared" si="0"/>
        <v>LGE</v>
      </c>
      <c r="B20" s="118" t="s">
        <v>545</v>
      </c>
      <c r="C20" s="118" t="str">
        <f t="shared" si="1"/>
        <v>352</v>
      </c>
      <c r="D20" s="113" t="s">
        <v>518</v>
      </c>
      <c r="E20" s="113" t="str">
        <f t="shared" si="2"/>
        <v/>
      </c>
      <c r="F20" s="118">
        <v>11272.655919999999</v>
      </c>
      <c r="G20" s="118">
        <v>11330.57574</v>
      </c>
      <c r="H20" s="118">
        <v>11378.015380000001</v>
      </c>
      <c r="I20" s="118">
        <v>11721.855020000001</v>
      </c>
      <c r="J20" s="118">
        <v>11721.855020000001</v>
      </c>
      <c r="K20" s="118">
        <v>11721.855020000001</v>
      </c>
      <c r="L20" s="118">
        <v>11721.855020000001</v>
      </c>
      <c r="M20" s="118">
        <v>11721.855020000001</v>
      </c>
      <c r="N20" s="118">
        <v>11721.855020000001</v>
      </c>
      <c r="O20" s="118">
        <v>11721.855020000001</v>
      </c>
      <c r="P20" s="118">
        <v>11721.855020000001</v>
      </c>
      <c r="Q20" s="118">
        <v>11721.855020000001</v>
      </c>
      <c r="R20" s="118">
        <v>11721.855020000001</v>
      </c>
      <c r="T20" s="118">
        <f t="shared" si="3"/>
        <v>11630.753633846154</v>
      </c>
    </row>
    <row r="21" spans="1:20">
      <c r="A21" s="118" t="str">
        <f t="shared" si="0"/>
        <v>LGE</v>
      </c>
      <c r="B21" s="118" t="s">
        <v>545</v>
      </c>
      <c r="C21" s="118" t="str">
        <f t="shared" si="1"/>
        <v>353</v>
      </c>
      <c r="D21" s="113" t="s">
        <v>519</v>
      </c>
      <c r="E21" s="113" t="str">
        <f t="shared" si="2"/>
        <v/>
      </c>
      <c r="F21" s="118">
        <v>5001.6286899999996</v>
      </c>
      <c r="G21" s="118">
        <v>5001.6286899999996</v>
      </c>
      <c r="H21" s="118">
        <v>5001.6286899999996</v>
      </c>
      <c r="I21" s="118">
        <v>5001.6286899999996</v>
      </c>
      <c r="J21" s="118">
        <v>5001.6286899999996</v>
      </c>
      <c r="K21" s="118">
        <v>5001.6286899999996</v>
      </c>
      <c r="L21" s="118">
        <v>5001.6286899999996</v>
      </c>
      <c r="M21" s="118">
        <v>5001.6286899999996</v>
      </c>
      <c r="N21" s="118">
        <v>5001.6286899999996</v>
      </c>
      <c r="O21" s="118">
        <v>5001.6286899999996</v>
      </c>
      <c r="P21" s="118">
        <v>5001.6286899999996</v>
      </c>
      <c r="Q21" s="118">
        <v>5001.6286899999996</v>
      </c>
      <c r="R21" s="118">
        <v>5001.6286899999996</v>
      </c>
      <c r="T21" s="118">
        <f t="shared" si="3"/>
        <v>5001.6286899999986</v>
      </c>
    </row>
    <row r="22" spans="1:20">
      <c r="A22" s="118" t="str">
        <f t="shared" si="0"/>
        <v>LGE</v>
      </c>
      <c r="B22" s="118" t="s">
        <v>545</v>
      </c>
      <c r="C22" s="118" t="str">
        <f t="shared" si="1"/>
        <v>353</v>
      </c>
      <c r="D22" s="113" t="s">
        <v>520</v>
      </c>
      <c r="E22" s="113" t="str">
        <f t="shared" si="2"/>
        <v/>
      </c>
      <c r="F22" s="118">
        <v>18079.25791</v>
      </c>
      <c r="G22" s="118">
        <v>18079.25791</v>
      </c>
      <c r="H22" s="118">
        <v>18079.25791</v>
      </c>
      <c r="I22" s="118">
        <v>18079.25791</v>
      </c>
      <c r="J22" s="118">
        <v>18079.25791</v>
      </c>
      <c r="K22" s="118">
        <v>18079.25791</v>
      </c>
      <c r="L22" s="118">
        <v>18079.25791</v>
      </c>
      <c r="M22" s="118">
        <v>18079.25791</v>
      </c>
      <c r="N22" s="118">
        <v>18079.25791</v>
      </c>
      <c r="O22" s="118">
        <v>18079.25791</v>
      </c>
      <c r="P22" s="118">
        <v>18079.25791</v>
      </c>
      <c r="Q22" s="118">
        <v>18079.25791</v>
      </c>
      <c r="R22" s="118">
        <v>18079.25791</v>
      </c>
      <c r="T22" s="118">
        <f t="shared" si="3"/>
        <v>18079.257909999993</v>
      </c>
    </row>
    <row r="23" spans="1:20">
      <c r="A23" s="118" t="str">
        <f t="shared" si="0"/>
        <v>LGE</v>
      </c>
      <c r="B23" s="118" t="s">
        <v>545</v>
      </c>
      <c r="C23" s="118" t="str">
        <f t="shared" si="1"/>
        <v>354</v>
      </c>
      <c r="D23" s="113" t="s">
        <v>521</v>
      </c>
      <c r="E23" s="113" t="str">
        <f t="shared" si="2"/>
        <v/>
      </c>
      <c r="F23" s="118">
        <v>56967.504820000002</v>
      </c>
      <c r="G23" s="118">
        <v>57125.734640000002</v>
      </c>
      <c r="H23" s="118">
        <v>57388.746290000003</v>
      </c>
      <c r="I23" s="118">
        <v>57501.993690000003</v>
      </c>
      <c r="J23" s="118">
        <v>58329.722309999997</v>
      </c>
      <c r="K23" s="118">
        <v>58391.506950000003</v>
      </c>
      <c r="L23" s="118">
        <v>58615.611949999999</v>
      </c>
      <c r="M23" s="118">
        <v>58628.151949999999</v>
      </c>
      <c r="N23" s="118">
        <v>58640.69195</v>
      </c>
      <c r="O23" s="118">
        <v>58653.231950000001</v>
      </c>
      <c r="P23" s="118">
        <v>58746.013189999998</v>
      </c>
      <c r="Q23" s="118">
        <v>58898.27231</v>
      </c>
      <c r="R23" s="118">
        <v>59159.986369999999</v>
      </c>
      <c r="T23" s="118">
        <f t="shared" si="3"/>
        <v>58234.397566923086</v>
      </c>
    </row>
    <row r="24" spans="1:20">
      <c r="A24" s="118" t="str">
        <f t="shared" si="0"/>
        <v>LGE</v>
      </c>
      <c r="B24" s="118" t="s">
        <v>545</v>
      </c>
      <c r="C24" s="118" t="str">
        <f t="shared" si="1"/>
        <v>355</v>
      </c>
      <c r="D24" s="113" t="s">
        <v>522</v>
      </c>
      <c r="E24" s="113" t="str">
        <f t="shared" si="2"/>
        <v/>
      </c>
      <c r="F24" s="118">
        <v>2274.97642</v>
      </c>
      <c r="G24" s="118">
        <v>2274.97642</v>
      </c>
      <c r="H24" s="118">
        <v>2274.97642</v>
      </c>
      <c r="I24" s="118">
        <v>2274.97642</v>
      </c>
      <c r="J24" s="118">
        <v>2274.97642</v>
      </c>
      <c r="K24" s="118">
        <v>2274.97642</v>
      </c>
      <c r="L24" s="118">
        <v>2274.97642</v>
      </c>
      <c r="M24" s="118">
        <v>2274.97642</v>
      </c>
      <c r="N24" s="118">
        <v>2274.97642</v>
      </c>
      <c r="O24" s="118">
        <v>2274.97642</v>
      </c>
      <c r="P24" s="118">
        <v>2274.97642</v>
      </c>
      <c r="Q24" s="118">
        <v>2274.97642</v>
      </c>
      <c r="R24" s="118">
        <v>2274.97642</v>
      </c>
      <c r="T24" s="118">
        <f t="shared" si="3"/>
        <v>2274.9764199999995</v>
      </c>
    </row>
    <row r="25" spans="1:20">
      <c r="A25" s="118" t="str">
        <f t="shared" si="0"/>
        <v>LGE</v>
      </c>
      <c r="B25" s="118" t="s">
        <v>545</v>
      </c>
      <c r="C25" s="118" t="str">
        <f t="shared" si="1"/>
        <v>356</v>
      </c>
      <c r="D25" s="113" t="s">
        <v>523</v>
      </c>
      <c r="E25" s="113" t="str">
        <f t="shared" si="2"/>
        <v/>
      </c>
      <c r="F25" s="118">
        <v>23025.971409999998</v>
      </c>
      <c r="G25" s="118">
        <v>23130.33137</v>
      </c>
      <c r="H25" s="118">
        <v>23134.51137</v>
      </c>
      <c r="I25" s="118">
        <v>23138.69137</v>
      </c>
      <c r="J25" s="118">
        <v>23811.511340000001</v>
      </c>
      <c r="K25" s="118">
        <v>23815.691340000001</v>
      </c>
      <c r="L25" s="118">
        <v>24469.764520000001</v>
      </c>
      <c r="M25" s="118">
        <v>24469.764520000001</v>
      </c>
      <c r="N25" s="118">
        <v>24469.764520000001</v>
      </c>
      <c r="O25" s="118">
        <v>24469.764520000001</v>
      </c>
      <c r="P25" s="118">
        <v>24469.764520000001</v>
      </c>
      <c r="Q25" s="118">
        <v>24469.764520000001</v>
      </c>
      <c r="R25" s="118">
        <v>24498.264520000001</v>
      </c>
      <c r="T25" s="118">
        <f t="shared" si="3"/>
        <v>23951.812295384621</v>
      </c>
    </row>
    <row r="26" spans="1:20">
      <c r="A26" s="118" t="str">
        <f t="shared" si="0"/>
        <v>LGE</v>
      </c>
      <c r="B26" s="118" t="s">
        <v>545</v>
      </c>
      <c r="C26" s="118" t="str">
        <f t="shared" si="1"/>
        <v>357</v>
      </c>
      <c r="D26" s="113" t="s">
        <v>524</v>
      </c>
      <c r="E26" s="113" t="str">
        <f t="shared" si="2"/>
        <v/>
      </c>
      <c r="F26" s="118">
        <v>1961.5789500000001</v>
      </c>
      <c r="G26" s="118">
        <v>1961.5789500000001</v>
      </c>
      <c r="H26" s="118">
        <v>1961.5789500000001</v>
      </c>
      <c r="I26" s="118">
        <v>1961.5789500000001</v>
      </c>
      <c r="J26" s="118">
        <v>1961.5789500000001</v>
      </c>
      <c r="K26" s="118">
        <v>1961.5789500000001</v>
      </c>
      <c r="L26" s="118">
        <v>1961.5789500000001</v>
      </c>
      <c r="M26" s="118">
        <v>1961.5789500000001</v>
      </c>
      <c r="N26" s="118">
        <v>1961.5789500000001</v>
      </c>
      <c r="O26" s="118">
        <v>1961.5789500000001</v>
      </c>
      <c r="P26" s="118">
        <v>1961.5789500000001</v>
      </c>
      <c r="Q26" s="118">
        <v>1961.5789500000001</v>
      </c>
      <c r="R26" s="118">
        <v>1961.5789500000001</v>
      </c>
      <c r="T26" s="118">
        <f t="shared" si="3"/>
        <v>1961.5789499999994</v>
      </c>
    </row>
    <row r="27" spans="1:20">
      <c r="A27" s="118" t="str">
        <f t="shared" si="0"/>
        <v>LGE</v>
      </c>
      <c r="B27" s="118" t="s">
        <v>545</v>
      </c>
      <c r="C27" s="118" t="str">
        <f t="shared" si="1"/>
        <v>357</v>
      </c>
      <c r="D27" s="113" t="s">
        <v>525</v>
      </c>
      <c r="E27" s="113" t="str">
        <f t="shared" si="2"/>
        <v/>
      </c>
      <c r="F27" s="118">
        <v>3348.4715299999998</v>
      </c>
      <c r="G27" s="118">
        <v>3631.9260799999902</v>
      </c>
      <c r="H27" s="118">
        <v>3905.9468299999999</v>
      </c>
      <c r="I27" s="118">
        <v>4078.3152</v>
      </c>
      <c r="J27" s="118">
        <v>4174.4727499999999</v>
      </c>
      <c r="K27" s="118">
        <v>4334.17904</v>
      </c>
      <c r="L27" s="118">
        <v>6218.67749</v>
      </c>
      <c r="M27" s="118">
        <v>6218.42749</v>
      </c>
      <c r="N27" s="118">
        <v>6221.7277199999999</v>
      </c>
      <c r="O27" s="118">
        <v>6257.9268199999997</v>
      </c>
      <c r="P27" s="118">
        <v>6353.2585899999904</v>
      </c>
      <c r="Q27" s="118">
        <v>6585.6199199999901</v>
      </c>
      <c r="R27" s="118">
        <v>6846.9842899999903</v>
      </c>
      <c r="T27" s="118">
        <f t="shared" si="3"/>
        <v>5244.3025961538433</v>
      </c>
    </row>
    <row r="28" spans="1:20">
      <c r="A28" s="118" t="str">
        <f t="shared" si="0"/>
        <v>LGE</v>
      </c>
      <c r="B28" s="118" t="s">
        <v>545</v>
      </c>
      <c r="C28" s="118" t="str">
        <f t="shared" si="1"/>
        <v>358</v>
      </c>
      <c r="D28" s="113" t="s">
        <v>526</v>
      </c>
      <c r="E28" s="113" t="str">
        <f t="shared" si="2"/>
        <v>ARO</v>
      </c>
      <c r="F28" s="118">
        <v>4432.6978399999998</v>
      </c>
      <c r="G28" s="118">
        <v>4432.6978399999998</v>
      </c>
      <c r="H28" s="118">
        <v>4432.6978399999998</v>
      </c>
      <c r="I28" s="118">
        <v>4432.6978399999998</v>
      </c>
      <c r="J28" s="118">
        <v>4432.6978399999998</v>
      </c>
      <c r="K28" s="118">
        <v>4432.6978399999998</v>
      </c>
      <c r="L28" s="118">
        <v>4432.6978399999998</v>
      </c>
      <c r="M28" s="118">
        <v>4432.6978399999998</v>
      </c>
      <c r="N28" s="118">
        <v>4432.6978399999998</v>
      </c>
      <c r="O28" s="118">
        <v>4432.6978399999998</v>
      </c>
      <c r="P28" s="118">
        <v>4432.6978399999998</v>
      </c>
      <c r="Q28" s="118">
        <v>4432.6978399999998</v>
      </c>
      <c r="R28" s="118">
        <v>4432.6978399999998</v>
      </c>
      <c r="T28" s="118">
        <f t="shared" si="3"/>
        <v>4432.6978399999998</v>
      </c>
    </row>
    <row r="29" spans="1:20">
      <c r="A29" s="118" t="str">
        <f t="shared" si="0"/>
        <v>LGE</v>
      </c>
      <c r="B29" s="118" t="s">
        <v>545</v>
      </c>
      <c r="C29" s="118" t="str">
        <f t="shared" si="1"/>
        <v>365</v>
      </c>
      <c r="D29" s="113" t="s">
        <v>527</v>
      </c>
      <c r="E29" s="113" t="str">
        <f t="shared" si="2"/>
        <v/>
      </c>
      <c r="F29" s="118">
        <v>220.65904999999901</v>
      </c>
      <c r="G29" s="118">
        <v>220.65904999999901</v>
      </c>
      <c r="H29" s="118">
        <v>220.65904999999901</v>
      </c>
      <c r="I29" s="118">
        <v>220.65904999999901</v>
      </c>
      <c r="J29" s="118">
        <v>220.65904999999901</v>
      </c>
      <c r="K29" s="118">
        <v>220.65904999999901</v>
      </c>
      <c r="L29" s="118">
        <v>220.65904999999901</v>
      </c>
      <c r="M29" s="118">
        <v>220.65904999999901</v>
      </c>
      <c r="N29" s="118">
        <v>220.65904999999901</v>
      </c>
      <c r="O29" s="118">
        <v>220.65904999999901</v>
      </c>
      <c r="P29" s="118">
        <v>220.65904999999901</v>
      </c>
      <c r="Q29" s="118">
        <v>220.65904999999901</v>
      </c>
      <c r="R29" s="118">
        <v>220.65904999999901</v>
      </c>
      <c r="T29" s="118">
        <f t="shared" si="3"/>
        <v>220.65904999999898</v>
      </c>
    </row>
    <row r="30" spans="1:20">
      <c r="A30" s="118" t="str">
        <f t="shared" si="0"/>
        <v>LGE</v>
      </c>
      <c r="B30" s="118" t="s">
        <v>545</v>
      </c>
      <c r="C30" s="118" t="str">
        <f t="shared" si="1"/>
        <v>367</v>
      </c>
      <c r="D30" s="113" t="s">
        <v>528</v>
      </c>
      <c r="E30" s="113" t="str">
        <f t="shared" si="2"/>
        <v/>
      </c>
      <c r="F30" s="118">
        <v>52925.318019999999</v>
      </c>
      <c r="G30" s="118">
        <v>52928.260060000001</v>
      </c>
      <c r="H30" s="118">
        <v>52928.260060000001</v>
      </c>
      <c r="I30" s="118">
        <v>52928.260060000001</v>
      </c>
      <c r="J30" s="118">
        <v>52928.260060000001</v>
      </c>
      <c r="K30" s="118">
        <v>52928.260060000001</v>
      </c>
      <c r="L30" s="118">
        <v>52928.020149999997</v>
      </c>
      <c r="M30" s="118">
        <v>52928.020149999997</v>
      </c>
      <c r="N30" s="118">
        <v>52928.020149999997</v>
      </c>
      <c r="O30" s="118">
        <v>52928.020149999997</v>
      </c>
      <c r="P30" s="118">
        <v>52928.020149999997</v>
      </c>
      <c r="Q30" s="118">
        <v>52928.020149999997</v>
      </c>
      <c r="R30" s="118">
        <v>52956.520149999997</v>
      </c>
      <c r="T30" s="118">
        <f t="shared" si="3"/>
        <v>52930.096874615381</v>
      </c>
    </row>
    <row r="31" spans="1:20">
      <c r="A31" s="118" t="str">
        <f t="shared" si="0"/>
        <v>LGE</v>
      </c>
      <c r="B31" s="118" t="s">
        <v>545</v>
      </c>
      <c r="C31" s="118" t="str">
        <f t="shared" si="1"/>
        <v>372</v>
      </c>
      <c r="D31" s="113" t="s">
        <v>729</v>
      </c>
      <c r="E31" s="113" t="str">
        <f t="shared" si="2"/>
        <v>ARO</v>
      </c>
      <c r="F31" s="118">
        <v>2332.0049100000001</v>
      </c>
      <c r="G31" s="118">
        <v>2332.0049100000001</v>
      </c>
      <c r="H31" s="118">
        <v>2332.0049100000001</v>
      </c>
      <c r="I31" s="118">
        <v>2332.0049100000001</v>
      </c>
      <c r="J31" s="118">
        <v>2332.0049100000001</v>
      </c>
      <c r="K31" s="118">
        <v>2332.0049100000001</v>
      </c>
      <c r="L31" s="118">
        <v>2332.0049100000001</v>
      </c>
      <c r="M31" s="118">
        <v>2332.0049100000001</v>
      </c>
      <c r="N31" s="118">
        <v>2332.0049100000001</v>
      </c>
      <c r="O31" s="118">
        <v>2332.0049100000001</v>
      </c>
      <c r="P31" s="118">
        <v>2332.0049100000001</v>
      </c>
      <c r="Q31" s="118">
        <v>2332.0049100000001</v>
      </c>
      <c r="R31" s="118">
        <v>2332.0049100000001</v>
      </c>
      <c r="T31" s="118">
        <f t="shared" si="3"/>
        <v>2332.0049100000001</v>
      </c>
    </row>
    <row r="32" spans="1:20">
      <c r="A32" s="118" t="str">
        <f t="shared" si="0"/>
        <v>LGE</v>
      </c>
      <c r="B32" s="118" t="s">
        <v>545</v>
      </c>
      <c r="C32" s="118" t="str">
        <f t="shared" si="1"/>
        <v>374</v>
      </c>
      <c r="D32" s="113" t="s">
        <v>529</v>
      </c>
      <c r="E32" s="113" t="str">
        <f t="shared" si="2"/>
        <v/>
      </c>
      <c r="F32" s="118">
        <v>134.49691000000001</v>
      </c>
      <c r="G32" s="118">
        <v>134.49691000000001</v>
      </c>
      <c r="H32" s="118">
        <v>134.49691000000001</v>
      </c>
      <c r="I32" s="118">
        <v>134.49691000000001</v>
      </c>
      <c r="J32" s="118">
        <v>134.49691000000001</v>
      </c>
      <c r="K32" s="118">
        <v>134.49691000000001</v>
      </c>
      <c r="L32" s="118">
        <v>134.49691000000001</v>
      </c>
      <c r="M32" s="118">
        <v>134.49691000000001</v>
      </c>
      <c r="N32" s="118">
        <v>134.49691000000001</v>
      </c>
      <c r="O32" s="118">
        <v>134.49691000000001</v>
      </c>
      <c r="P32" s="118">
        <v>134.49691000000001</v>
      </c>
      <c r="Q32" s="118">
        <v>134.49691000000001</v>
      </c>
      <c r="R32" s="118">
        <v>134.49691000000001</v>
      </c>
      <c r="T32" s="118">
        <f t="shared" si="3"/>
        <v>134.49691000000004</v>
      </c>
    </row>
    <row r="33" spans="1:20">
      <c r="A33" s="118" t="str">
        <f t="shared" si="0"/>
        <v>LGE</v>
      </c>
      <c r="B33" s="118" t="s">
        <v>545</v>
      </c>
      <c r="C33" s="118" t="str">
        <f t="shared" si="1"/>
        <v>375</v>
      </c>
      <c r="D33" s="113" t="s">
        <v>530</v>
      </c>
      <c r="E33" s="113" t="str">
        <f t="shared" si="2"/>
        <v/>
      </c>
      <c r="F33" s="118">
        <v>1155.8124299999999</v>
      </c>
      <c r="G33" s="118">
        <v>1155.8124299999999</v>
      </c>
      <c r="H33" s="118">
        <v>1155.8124299999999</v>
      </c>
      <c r="I33" s="118">
        <v>1155.8124299999999</v>
      </c>
      <c r="J33" s="118">
        <v>1155.8124299999999</v>
      </c>
      <c r="K33" s="118">
        <v>1155.8124299999999</v>
      </c>
      <c r="L33" s="118">
        <v>1155.8124299999999</v>
      </c>
      <c r="M33" s="118">
        <v>1155.8124299999999</v>
      </c>
      <c r="N33" s="118">
        <v>1155.8124299999999</v>
      </c>
      <c r="O33" s="118">
        <v>1155.8124299999999</v>
      </c>
      <c r="P33" s="118">
        <v>1155.8124299999999</v>
      </c>
      <c r="Q33" s="118">
        <v>1155.8124299999999</v>
      </c>
      <c r="R33" s="118">
        <v>1155.8124299999999</v>
      </c>
      <c r="T33" s="118">
        <f t="shared" si="3"/>
        <v>1155.8124299999999</v>
      </c>
    </row>
    <row r="34" spans="1:20">
      <c r="A34" s="118" t="str">
        <f t="shared" si="0"/>
        <v>LGE</v>
      </c>
      <c r="B34" s="118" t="s">
        <v>545</v>
      </c>
      <c r="C34" s="118" t="str">
        <f t="shared" si="1"/>
        <v>376</v>
      </c>
      <c r="D34" s="113" t="s">
        <v>531</v>
      </c>
      <c r="E34" s="113" t="str">
        <f t="shared" si="2"/>
        <v/>
      </c>
      <c r="F34" s="118">
        <f>349348.362519999+75535.1214599999</f>
        <v>424883.48397999885</v>
      </c>
      <c r="G34" s="118">
        <v>425265.91569999902</v>
      </c>
      <c r="H34" s="118">
        <v>426129.30949999997</v>
      </c>
      <c r="I34" s="118">
        <v>426659.47483999998</v>
      </c>
      <c r="J34" s="118">
        <v>426389.84862999897</v>
      </c>
      <c r="K34" s="118">
        <v>426118.18663999898</v>
      </c>
      <c r="L34" s="118">
        <v>426892.18346999999</v>
      </c>
      <c r="M34" s="118">
        <v>427229.56014999998</v>
      </c>
      <c r="N34" s="118">
        <v>427589.74195999902</v>
      </c>
      <c r="O34" s="118">
        <v>427986.24089999998</v>
      </c>
      <c r="P34" s="118">
        <v>428375.84165999998</v>
      </c>
      <c r="Q34" s="118">
        <v>428856.10175999999</v>
      </c>
      <c r="R34" s="118">
        <v>429338.40207999898</v>
      </c>
      <c r="T34" s="118">
        <f>SUM(F34:R34)/13</f>
        <v>427054.94548230717</v>
      </c>
    </row>
    <row r="35" spans="1:20">
      <c r="A35" s="118" t="str">
        <f t="shared" si="0"/>
        <v>LGE</v>
      </c>
      <c r="B35" s="118" t="s">
        <v>545</v>
      </c>
      <c r="C35" s="118" t="str">
        <f t="shared" si="1"/>
        <v>376</v>
      </c>
      <c r="D35" s="113" t="s">
        <v>532</v>
      </c>
      <c r="E35" s="113" t="str">
        <f t="shared" si="2"/>
        <v>GLT</v>
      </c>
      <c r="F35" s="118">
        <v>0</v>
      </c>
      <c r="G35" s="118">
        <v>1522.7314699999799</v>
      </c>
      <c r="H35" s="118">
        <v>3073.7617599999799</v>
      </c>
      <c r="I35" s="118">
        <v>4446.31375999998</v>
      </c>
      <c r="J35" s="118">
        <v>5590.2832399999797</v>
      </c>
      <c r="K35" s="118">
        <v>6572.7206899999801</v>
      </c>
      <c r="L35" s="118">
        <v>7480.7000099999796</v>
      </c>
      <c r="M35" s="118">
        <v>8247.3892899999792</v>
      </c>
      <c r="N35" s="118">
        <v>9009.7742299999809</v>
      </c>
      <c r="O35" s="118">
        <v>9785.3960299999799</v>
      </c>
      <c r="P35" s="118">
        <v>10544.5215899999</v>
      </c>
      <c r="Q35" s="118">
        <v>11316.367469999899</v>
      </c>
      <c r="R35" s="118">
        <v>12078.140789999899</v>
      </c>
      <c r="T35" s="118">
        <f>SUM(F35:R35)/13</f>
        <v>6897.5461792307324</v>
      </c>
    </row>
    <row r="36" spans="1:20">
      <c r="A36" s="118" t="str">
        <f t="shared" si="0"/>
        <v>LGE</v>
      </c>
      <c r="B36" s="118" t="s">
        <v>545</v>
      </c>
      <c r="C36" s="118" t="str">
        <f t="shared" si="1"/>
        <v>378</v>
      </c>
      <c r="D36" s="113" t="s">
        <v>533</v>
      </c>
      <c r="E36" s="113" t="str">
        <f t="shared" si="2"/>
        <v/>
      </c>
      <c r="F36" s="118">
        <v>23221.09967</v>
      </c>
      <c r="G36" s="118">
        <v>23522.598249999999</v>
      </c>
      <c r="H36" s="118">
        <v>23666.776829999999</v>
      </c>
      <c r="I36" s="118">
        <v>23835.8756499999</v>
      </c>
      <c r="J36" s="118">
        <v>23901.3942299999</v>
      </c>
      <c r="K36" s="118">
        <v>23956.776089999999</v>
      </c>
      <c r="L36" s="118">
        <v>24005.54953</v>
      </c>
      <c r="M36" s="118">
        <v>24005.54953</v>
      </c>
      <c r="N36" s="118">
        <v>24016.949530000002</v>
      </c>
      <c r="O36" s="118">
        <v>24094.325110000002</v>
      </c>
      <c r="P36" s="118">
        <v>24177.400689999999</v>
      </c>
      <c r="Q36" s="118">
        <v>24317.331849999999</v>
      </c>
      <c r="R36" s="118">
        <v>24459.39745</v>
      </c>
      <c r="T36" s="118">
        <f t="shared" si="3"/>
        <v>23937.001877692292</v>
      </c>
    </row>
    <row r="37" spans="1:20">
      <c r="A37" s="118" t="str">
        <f t="shared" si="0"/>
        <v>LGE</v>
      </c>
      <c r="B37" s="118" t="s">
        <v>545</v>
      </c>
      <c r="C37" s="118" t="str">
        <f t="shared" si="1"/>
        <v>379</v>
      </c>
      <c r="D37" s="113" t="s">
        <v>534</v>
      </c>
      <c r="E37" s="113" t="str">
        <f t="shared" si="2"/>
        <v/>
      </c>
      <c r="F37" s="118">
        <v>12163.3948799999</v>
      </c>
      <c r="G37" s="118">
        <v>12229.2318399999</v>
      </c>
      <c r="H37" s="118">
        <v>12276.9885599999</v>
      </c>
      <c r="I37" s="118">
        <v>12299.6287999999</v>
      </c>
      <c r="J37" s="118">
        <v>12310.8690399999</v>
      </c>
      <c r="K37" s="118">
        <v>12310.8690399999</v>
      </c>
      <c r="L37" s="118">
        <v>12409.432639999901</v>
      </c>
      <c r="M37" s="118">
        <v>12409.432639999901</v>
      </c>
      <c r="N37" s="118">
        <v>12409.432639999901</v>
      </c>
      <c r="O37" s="118">
        <v>12409.432639999901</v>
      </c>
      <c r="P37" s="118">
        <v>12409.432639999901</v>
      </c>
      <c r="Q37" s="118">
        <v>12434.3682199999</v>
      </c>
      <c r="R37" s="118">
        <v>12507.811099999901</v>
      </c>
      <c r="T37" s="118">
        <f t="shared" si="3"/>
        <v>12352.332667692206</v>
      </c>
    </row>
    <row r="38" spans="1:20">
      <c r="A38" s="118" t="str">
        <f t="shared" si="0"/>
        <v>LGE</v>
      </c>
      <c r="B38" s="118" t="s">
        <v>545</v>
      </c>
      <c r="C38" s="118" t="str">
        <f t="shared" si="1"/>
        <v>380</v>
      </c>
      <c r="D38" s="113" t="s">
        <v>535</v>
      </c>
      <c r="E38" s="113" t="str">
        <f t="shared" si="2"/>
        <v/>
      </c>
      <c r="F38" s="118">
        <f>201766.639159999+171825.76975</f>
        <v>373592.40890999901</v>
      </c>
      <c r="G38" s="118">
        <v>373897.02267999901</v>
      </c>
      <c r="H38" s="118">
        <v>374108.03466999898</v>
      </c>
      <c r="I38" s="118">
        <v>377212.56469999999</v>
      </c>
      <c r="J38" s="118">
        <v>377360.34216</v>
      </c>
      <c r="K38" s="118">
        <v>374128.11054999998</v>
      </c>
      <c r="L38" s="118">
        <v>374257.94660999998</v>
      </c>
      <c r="M38" s="118">
        <v>374417.03258</v>
      </c>
      <c r="N38" s="118">
        <v>374552.37913000002</v>
      </c>
      <c r="O38" s="118">
        <v>374700.50665</v>
      </c>
      <c r="P38" s="118">
        <v>374842.39753000002</v>
      </c>
      <c r="Q38" s="118">
        <v>374997.86807999999</v>
      </c>
      <c r="R38" s="118">
        <v>375137.6116</v>
      </c>
      <c r="T38" s="118">
        <f t="shared" si="3"/>
        <v>374861.86352692288</v>
      </c>
    </row>
    <row r="39" spans="1:20">
      <c r="A39" s="118" t="str">
        <f t="shared" si="0"/>
        <v>LGE</v>
      </c>
      <c r="B39" s="118" t="s">
        <v>545</v>
      </c>
      <c r="C39" s="118" t="str">
        <f t="shared" si="1"/>
        <v>380</v>
      </c>
      <c r="D39" s="113" t="s">
        <v>536</v>
      </c>
      <c r="E39" s="113" t="str">
        <f t="shared" si="2"/>
        <v>GLT</v>
      </c>
      <c r="F39" s="118">
        <v>0</v>
      </c>
      <c r="G39" s="118">
        <v>2840.4236700000101</v>
      </c>
      <c r="H39" s="118">
        <v>6027.7320900000104</v>
      </c>
      <c r="I39" s="118">
        <v>8933.2234600000102</v>
      </c>
      <c r="J39" s="118">
        <v>12058.300579999999</v>
      </c>
      <c r="K39" s="118">
        <v>14974.21521</v>
      </c>
      <c r="L39" s="118">
        <v>17456.266640000002</v>
      </c>
      <c r="M39" s="118">
        <v>18238.06956</v>
      </c>
      <c r="N39" s="118">
        <v>18899.715970000001</v>
      </c>
      <c r="O39" s="118">
        <v>19628.312119999999</v>
      </c>
      <c r="P39" s="118">
        <v>20325.138429999999</v>
      </c>
      <c r="Q39" s="118">
        <v>21104.954129999998</v>
      </c>
      <c r="R39" s="118">
        <v>21819.859949999998</v>
      </c>
      <c r="T39" s="118">
        <f t="shared" si="3"/>
        <v>14023.554754615385</v>
      </c>
    </row>
    <row r="40" spans="1:20">
      <c r="A40" s="118" t="str">
        <f t="shared" si="0"/>
        <v>LGE</v>
      </c>
      <c r="B40" s="118" t="s">
        <v>545</v>
      </c>
      <c r="C40" s="118" t="str">
        <f t="shared" si="1"/>
        <v>381</v>
      </c>
      <c r="D40" s="113" t="s">
        <v>537</v>
      </c>
      <c r="E40" s="113" t="str">
        <f t="shared" si="2"/>
        <v/>
      </c>
      <c r="F40" s="118">
        <v>52284.127509999897</v>
      </c>
      <c r="G40" s="118">
        <v>52749.312179999899</v>
      </c>
      <c r="H40" s="118">
        <v>52865.323839999903</v>
      </c>
      <c r="I40" s="118">
        <v>53080.659959999903</v>
      </c>
      <c r="J40" s="118">
        <v>54163.695489999896</v>
      </c>
      <c r="K40" s="118">
        <v>55278.005459999898</v>
      </c>
      <c r="L40" s="118">
        <v>56299.782419999901</v>
      </c>
      <c r="M40" s="118">
        <v>57505.698409999997</v>
      </c>
      <c r="N40" s="118">
        <v>59043.5527899999</v>
      </c>
      <c r="O40" s="118">
        <v>60422.656579999901</v>
      </c>
      <c r="P40" s="118">
        <v>61927.938309999998</v>
      </c>
      <c r="Q40" s="118">
        <v>63188.020709999997</v>
      </c>
      <c r="R40" s="118">
        <v>64484.222329999997</v>
      </c>
      <c r="T40" s="118">
        <f t="shared" si="3"/>
        <v>57176.384306923013</v>
      </c>
    </row>
    <row r="41" spans="1:20">
      <c r="A41" s="118" t="str">
        <f t="shared" si="0"/>
        <v>LGE</v>
      </c>
      <c r="B41" s="118" t="s">
        <v>545</v>
      </c>
      <c r="C41" s="118" t="str">
        <f t="shared" si="1"/>
        <v>383</v>
      </c>
      <c r="D41" s="113" t="s">
        <v>538</v>
      </c>
      <c r="E41" s="113" t="str">
        <f t="shared" si="2"/>
        <v/>
      </c>
      <c r="F41" s="118">
        <v>25550.379959999998</v>
      </c>
      <c r="G41" s="118">
        <v>25550.379959999998</v>
      </c>
      <c r="H41" s="118">
        <v>25550.379959999998</v>
      </c>
      <c r="I41" s="118">
        <v>25550.379959999998</v>
      </c>
      <c r="J41" s="118">
        <v>25550.379959999998</v>
      </c>
      <c r="K41" s="118">
        <v>25550.379959999998</v>
      </c>
      <c r="L41" s="118">
        <v>25550.379959999998</v>
      </c>
      <c r="M41" s="118">
        <v>25550.379959999998</v>
      </c>
      <c r="N41" s="118">
        <v>25550.379959999998</v>
      </c>
      <c r="O41" s="118">
        <v>25550.379959999998</v>
      </c>
      <c r="P41" s="118">
        <v>25550.379959999998</v>
      </c>
      <c r="Q41" s="118">
        <v>25550.379959999998</v>
      </c>
      <c r="R41" s="118">
        <v>25550.379959999998</v>
      </c>
      <c r="T41" s="118">
        <f t="shared" si="3"/>
        <v>25550.379959999995</v>
      </c>
    </row>
    <row r="42" spans="1:20">
      <c r="A42" s="118" t="str">
        <f t="shared" si="0"/>
        <v>LGE</v>
      </c>
      <c r="B42" s="118" t="s">
        <v>545</v>
      </c>
      <c r="C42" s="118" t="str">
        <f t="shared" si="1"/>
        <v>385</v>
      </c>
      <c r="D42" s="113" t="s">
        <v>539</v>
      </c>
      <c r="E42" s="113" t="str">
        <f t="shared" si="2"/>
        <v/>
      </c>
      <c r="F42" s="118">
        <v>1776.73759</v>
      </c>
      <c r="G42" s="118">
        <v>1870.72083</v>
      </c>
      <c r="H42" s="118">
        <v>2061.94641</v>
      </c>
      <c r="I42" s="118">
        <v>2123.1880299999998</v>
      </c>
      <c r="J42" s="118">
        <v>2204.9485099999902</v>
      </c>
      <c r="K42" s="118">
        <v>2291.1103699999999</v>
      </c>
      <c r="L42" s="118">
        <v>2361.7903699999902</v>
      </c>
      <c r="M42" s="118">
        <v>2361.7903699999902</v>
      </c>
      <c r="N42" s="118">
        <v>2361.7903699999902</v>
      </c>
      <c r="O42" s="118">
        <v>2407.3903699999901</v>
      </c>
      <c r="P42" s="118">
        <v>2452.99036999999</v>
      </c>
      <c r="Q42" s="118">
        <v>2511.9803899999902</v>
      </c>
      <c r="R42" s="118">
        <v>2600.6115499999901</v>
      </c>
      <c r="T42" s="118">
        <f t="shared" si="3"/>
        <v>2260.5381176923015</v>
      </c>
    </row>
    <row r="43" spans="1:20">
      <c r="A43" s="118" t="str">
        <f t="shared" si="0"/>
        <v>LGE</v>
      </c>
      <c r="B43" s="118" t="s">
        <v>545</v>
      </c>
      <c r="C43" s="118" t="str">
        <f t="shared" si="1"/>
        <v>387</v>
      </c>
      <c r="D43" s="113" t="s">
        <v>540</v>
      </c>
      <c r="E43" s="113" t="str">
        <f t="shared" si="2"/>
        <v/>
      </c>
      <c r="F43" s="118">
        <v>458.43266999999997</v>
      </c>
      <c r="G43" s="118">
        <v>600.93267000000003</v>
      </c>
      <c r="H43" s="118">
        <v>694.41267000000005</v>
      </c>
      <c r="I43" s="118">
        <v>1726.75955</v>
      </c>
      <c r="J43" s="118">
        <v>1966.1595500000001</v>
      </c>
      <c r="K43" s="118">
        <v>2195.2995500000002</v>
      </c>
      <c r="L43" s="118">
        <v>2473.9821499999998</v>
      </c>
      <c r="M43" s="118">
        <v>2473.9821499999998</v>
      </c>
      <c r="N43" s="118">
        <v>2473.9821499999998</v>
      </c>
      <c r="O43" s="118">
        <v>2473.9821499999998</v>
      </c>
      <c r="P43" s="118">
        <v>2473.9821499999998</v>
      </c>
      <c r="Q43" s="118">
        <v>2473.9821499999998</v>
      </c>
      <c r="R43" s="118">
        <v>2587.9821499999998</v>
      </c>
      <c r="T43" s="118">
        <f t="shared" si="3"/>
        <v>1928.7593623076923</v>
      </c>
    </row>
    <row r="44" spans="1:20">
      <c r="A44" s="118" t="str">
        <f t="shared" si="0"/>
        <v>LGE</v>
      </c>
      <c r="B44" s="118" t="s">
        <v>545</v>
      </c>
      <c r="C44" s="118" t="str">
        <f t="shared" si="1"/>
        <v>388</v>
      </c>
      <c r="D44" s="113" t="s">
        <v>541</v>
      </c>
      <c r="E44" s="113" t="str">
        <f t="shared" si="2"/>
        <v>ARO</v>
      </c>
      <c r="F44" s="118">
        <v>10475.15266</v>
      </c>
      <c r="G44" s="118">
        <v>10475.15266</v>
      </c>
      <c r="H44" s="118">
        <v>10475.15266</v>
      </c>
      <c r="I44" s="118">
        <v>10475.15266</v>
      </c>
      <c r="J44" s="118">
        <v>10475.15266</v>
      </c>
      <c r="K44" s="118">
        <v>10475.15266</v>
      </c>
      <c r="L44" s="118">
        <v>10475.15266</v>
      </c>
      <c r="M44" s="118">
        <v>10475.15266</v>
      </c>
      <c r="N44" s="118">
        <v>10475.15266</v>
      </c>
      <c r="O44" s="118">
        <v>10475.15266</v>
      </c>
      <c r="P44" s="118">
        <v>10475.15266</v>
      </c>
      <c r="Q44" s="118">
        <v>10475.15266</v>
      </c>
      <c r="R44" s="118">
        <v>10475.15266</v>
      </c>
      <c r="T44" s="118">
        <f t="shared" si="3"/>
        <v>10475.152659999996</v>
      </c>
    </row>
    <row r="45" spans="1:20">
      <c r="A45" s="118" t="str">
        <f t="shared" si="0"/>
        <v>LGE</v>
      </c>
      <c r="B45" s="118" t="s">
        <v>545</v>
      </c>
      <c r="C45" s="118" t="str">
        <f t="shared" si="1"/>
        <v>392</v>
      </c>
      <c r="D45" s="113" t="s">
        <v>1327</v>
      </c>
      <c r="E45" s="113" t="str">
        <f t="shared" si="2"/>
        <v/>
      </c>
      <c r="F45" s="118">
        <v>1222.7498599999999</v>
      </c>
      <c r="G45" s="118">
        <v>1292.7499599999901</v>
      </c>
      <c r="H45" s="118">
        <v>1292.7499599999901</v>
      </c>
      <c r="I45" s="118">
        <v>1292.7499599999901</v>
      </c>
      <c r="J45" s="118">
        <v>1292.7499599999901</v>
      </c>
      <c r="K45" s="118">
        <v>1292.7499599999901</v>
      </c>
      <c r="L45" s="118">
        <v>1292.7499599999901</v>
      </c>
      <c r="M45" s="118">
        <v>1292.7499599999901</v>
      </c>
      <c r="N45" s="118">
        <v>1292.7499599999901</v>
      </c>
      <c r="O45" s="118">
        <v>1292.7499599999901</v>
      </c>
      <c r="P45" s="118">
        <v>1624.4899599999901</v>
      </c>
      <c r="Q45" s="118">
        <v>1624.4899599999901</v>
      </c>
      <c r="R45" s="118">
        <v>1624.4899599999901</v>
      </c>
      <c r="T45" s="118">
        <f t="shared" si="3"/>
        <v>1363.9207215384524</v>
      </c>
    </row>
    <row r="46" spans="1:20">
      <c r="A46" s="118" t="str">
        <f t="shared" si="0"/>
        <v>LGE</v>
      </c>
      <c r="B46" s="118" t="s">
        <v>545</v>
      </c>
      <c r="C46" s="118" t="str">
        <f t="shared" si="1"/>
        <v>392</v>
      </c>
      <c r="D46" s="113" t="s">
        <v>542</v>
      </c>
      <c r="E46" s="113" t="str">
        <f t="shared" si="2"/>
        <v/>
      </c>
      <c r="F46" s="118">
        <v>1087.38948</v>
      </c>
      <c r="G46" s="118">
        <v>1087.38948</v>
      </c>
      <c r="H46" s="118">
        <v>1087.38948</v>
      </c>
      <c r="I46" s="118">
        <v>1087.38948</v>
      </c>
      <c r="J46" s="118">
        <v>1087.38948</v>
      </c>
      <c r="K46" s="118">
        <v>1087.38948</v>
      </c>
      <c r="L46" s="118">
        <v>1087.38948</v>
      </c>
      <c r="M46" s="118">
        <v>1087.38948</v>
      </c>
      <c r="N46" s="118">
        <v>1087.38948</v>
      </c>
      <c r="O46" s="118">
        <v>1087.38948</v>
      </c>
      <c r="P46" s="118">
        <v>1112.46948</v>
      </c>
      <c r="Q46" s="118">
        <v>1112.46948</v>
      </c>
      <c r="R46" s="118">
        <v>1112.46948</v>
      </c>
      <c r="T46" s="118">
        <f t="shared" si="3"/>
        <v>1093.1771723076922</v>
      </c>
    </row>
    <row r="47" spans="1:20">
      <c r="A47" s="118" t="str">
        <f t="shared" si="0"/>
        <v>LGE</v>
      </c>
      <c r="B47" s="118" t="s">
        <v>545</v>
      </c>
      <c r="C47" s="118" t="str">
        <f t="shared" si="1"/>
        <v>394</v>
      </c>
      <c r="D47" s="113" t="s">
        <v>543</v>
      </c>
      <c r="E47" s="113" t="str">
        <f t="shared" si="2"/>
        <v/>
      </c>
      <c r="F47" s="118">
        <v>6791.6963900000001</v>
      </c>
      <c r="G47" s="118">
        <v>6821.3363900000004</v>
      </c>
      <c r="H47" s="118">
        <v>6821.3363900000004</v>
      </c>
      <c r="I47" s="118">
        <v>6821.3363900000004</v>
      </c>
      <c r="J47" s="118">
        <v>6821.3363900000004</v>
      </c>
      <c r="K47" s="118">
        <v>6951.2963900000004</v>
      </c>
      <c r="L47" s="118">
        <v>7049.3363900000004</v>
      </c>
      <c r="M47" s="118">
        <v>7049.3363900000004</v>
      </c>
      <c r="N47" s="118">
        <v>7049.3363900000004</v>
      </c>
      <c r="O47" s="118">
        <v>7049.3363900000004</v>
      </c>
      <c r="P47" s="118">
        <v>7049.3363900000004</v>
      </c>
      <c r="Q47" s="118">
        <v>7049.3363900000004</v>
      </c>
      <c r="R47" s="118">
        <v>6901.2293900000004</v>
      </c>
      <c r="T47" s="118">
        <f t="shared" si="3"/>
        <v>6940.4296976923069</v>
      </c>
    </row>
    <row r="48" spans="1:20">
      <c r="A48" s="118" t="str">
        <f t="shared" si="0"/>
        <v>LGE</v>
      </c>
      <c r="B48" s="118" t="s">
        <v>545</v>
      </c>
      <c r="C48" s="118" t="str">
        <f t="shared" si="1"/>
        <v>396</v>
      </c>
      <c r="D48" s="113" t="s">
        <v>544</v>
      </c>
      <c r="E48" s="113" t="str">
        <f t="shared" si="2"/>
        <v/>
      </c>
      <c r="F48" s="118">
        <v>250.32852</v>
      </c>
      <c r="G48" s="118">
        <v>250.32852</v>
      </c>
      <c r="H48" s="118">
        <v>250.32852</v>
      </c>
      <c r="I48" s="118">
        <v>250.32852</v>
      </c>
      <c r="J48" s="118">
        <v>250.32852</v>
      </c>
      <c r="K48" s="118">
        <v>250.32852</v>
      </c>
      <c r="L48" s="118">
        <v>250.32852</v>
      </c>
      <c r="M48" s="118">
        <v>250.32852</v>
      </c>
      <c r="N48" s="118">
        <v>250.32852</v>
      </c>
      <c r="O48" s="118">
        <v>250.32852</v>
      </c>
      <c r="P48" s="118">
        <v>250.32852</v>
      </c>
      <c r="Q48" s="118">
        <v>250.32852</v>
      </c>
      <c r="R48" s="118">
        <v>250.32852</v>
      </c>
      <c r="T48" s="118">
        <f t="shared" si="3"/>
        <v>250.32852</v>
      </c>
    </row>
    <row r="49" spans="1:20">
      <c r="A49" s="118" t="str">
        <f t="shared" si="0"/>
        <v>LGE</v>
      </c>
      <c r="B49" s="118" t="s">
        <v>545</v>
      </c>
      <c r="C49" s="118" t="str">
        <f t="shared" si="1"/>
        <v>396</v>
      </c>
      <c r="D49" s="113" t="s">
        <v>1328</v>
      </c>
      <c r="E49" s="113" t="str">
        <f t="shared" si="2"/>
        <v/>
      </c>
      <c r="F49" s="118">
        <v>3520.9009000000001</v>
      </c>
      <c r="G49" s="118">
        <v>3520.9009000000001</v>
      </c>
      <c r="H49" s="118">
        <v>3520.9009000000001</v>
      </c>
      <c r="I49" s="118">
        <v>3520.9009000000001</v>
      </c>
      <c r="J49" s="118">
        <v>3520.9009000000001</v>
      </c>
      <c r="K49" s="118">
        <v>3520.9009000000001</v>
      </c>
      <c r="L49" s="118">
        <v>3520.9009000000001</v>
      </c>
      <c r="M49" s="118">
        <v>3520.9009000000001</v>
      </c>
      <c r="N49" s="118">
        <v>3520.9009000000001</v>
      </c>
      <c r="O49" s="118">
        <v>3520.9009000000001</v>
      </c>
      <c r="P49" s="118">
        <v>3520.9009000000001</v>
      </c>
      <c r="Q49" s="118">
        <v>3520.9009000000001</v>
      </c>
      <c r="R49" s="118">
        <v>3520.9009000000001</v>
      </c>
      <c r="T49" s="118">
        <f t="shared" si="3"/>
        <v>3520.9009000000001</v>
      </c>
    </row>
    <row r="50" spans="1:20">
      <c r="E50" s="113" t="str">
        <f t="shared" si="2"/>
        <v/>
      </c>
      <c r="T50" s="118">
        <f t="shared" si="3"/>
        <v>0</v>
      </c>
    </row>
    <row r="51" spans="1:20">
      <c r="E51" s="113" t="str">
        <f t="shared" si="2"/>
        <v/>
      </c>
      <c r="T51" s="118">
        <f t="shared" si="3"/>
        <v>0</v>
      </c>
    </row>
    <row r="52" spans="1:20">
      <c r="E52" s="113" t="str">
        <f t="shared" si="2"/>
        <v/>
      </c>
      <c r="T52" s="118">
        <f t="shared" si="3"/>
        <v>0</v>
      </c>
    </row>
    <row r="53" spans="1:20">
      <c r="E53" s="113" t="str">
        <f t="shared" si="2"/>
        <v/>
      </c>
      <c r="T53" s="118">
        <f t="shared" si="3"/>
        <v>0</v>
      </c>
    </row>
    <row r="54" spans="1:20">
      <c r="E54" s="113" t="str">
        <f t="shared" si="2"/>
        <v/>
      </c>
      <c r="T54" s="118">
        <f t="shared" si="3"/>
        <v>0</v>
      </c>
    </row>
    <row r="55" spans="1:20">
      <c r="E55" s="113" t="str">
        <f t="shared" si="2"/>
        <v/>
      </c>
      <c r="T55" s="118">
        <f t="shared" si="3"/>
        <v>0</v>
      </c>
    </row>
    <row r="56" spans="1:20">
      <c r="E56" s="113" t="str">
        <f t="shared" si="2"/>
        <v/>
      </c>
      <c r="T56" s="118">
        <f t="shared" si="3"/>
        <v>0</v>
      </c>
    </row>
    <row r="57" spans="1:20">
      <c r="E57" s="113" t="str">
        <f t="shared" si="2"/>
        <v/>
      </c>
      <c r="T57" s="118">
        <f t="shared" si="3"/>
        <v>0</v>
      </c>
    </row>
    <row r="58" spans="1:20">
      <c r="E58" s="113" t="str">
        <f t="shared" si="2"/>
        <v/>
      </c>
      <c r="T58" s="118">
        <f t="shared" si="3"/>
        <v>0</v>
      </c>
    </row>
    <row r="59" spans="1:20">
      <c r="E59" s="113" t="str">
        <f t="shared" si="2"/>
        <v/>
      </c>
      <c r="T59" s="118">
        <f t="shared" si="3"/>
        <v>0</v>
      </c>
    </row>
    <row r="60" spans="1:20">
      <c r="E60" s="113" t="str">
        <f t="shared" si="2"/>
        <v/>
      </c>
      <c r="T60" s="118">
        <f t="shared" si="3"/>
        <v>0</v>
      </c>
    </row>
    <row r="61" spans="1:20">
      <c r="E61" s="113" t="str">
        <f t="shared" si="2"/>
        <v/>
      </c>
      <c r="T61" s="118">
        <f t="shared" si="3"/>
        <v>0</v>
      </c>
    </row>
    <row r="62" spans="1:20">
      <c r="E62" s="113" t="str">
        <f t="shared" si="2"/>
        <v/>
      </c>
      <c r="T62" s="118">
        <f t="shared" si="3"/>
        <v>0</v>
      </c>
    </row>
    <row r="63" spans="1:20">
      <c r="E63" s="113" t="str">
        <f t="shared" si="2"/>
        <v/>
      </c>
      <c r="T63" s="118">
        <f t="shared" si="3"/>
        <v>0</v>
      </c>
    </row>
    <row r="64" spans="1:20">
      <c r="E64" s="113" t="str">
        <f t="shared" si="2"/>
        <v/>
      </c>
      <c r="T64" s="118">
        <f t="shared" si="3"/>
        <v>0</v>
      </c>
    </row>
    <row r="65" spans="1:20">
      <c r="E65" s="113" t="str">
        <f t="shared" si="2"/>
        <v/>
      </c>
      <c r="T65" s="118">
        <f t="shared" si="3"/>
        <v>0</v>
      </c>
    </row>
    <row r="66" spans="1:20">
      <c r="E66" s="113" t="str">
        <f t="shared" si="2"/>
        <v/>
      </c>
      <c r="T66" s="118">
        <f t="shared" si="3"/>
        <v>0</v>
      </c>
    </row>
    <row r="67" spans="1:20">
      <c r="E67" s="113" t="str">
        <f t="shared" si="2"/>
        <v/>
      </c>
      <c r="T67" s="118">
        <f t="shared" si="3"/>
        <v>0</v>
      </c>
    </row>
    <row r="68" spans="1:20">
      <c r="E68" s="113" t="str">
        <f t="shared" si="2"/>
        <v/>
      </c>
      <c r="T68" s="118">
        <f t="shared" si="3"/>
        <v>0</v>
      </c>
    </row>
    <row r="69" spans="1:20">
      <c r="E69" s="113" t="str">
        <f t="shared" si="2"/>
        <v/>
      </c>
      <c r="T69" s="118">
        <f t="shared" si="3"/>
        <v>0</v>
      </c>
    </row>
    <row r="70" spans="1:20">
      <c r="E70" s="113" t="str">
        <f t="shared" si="2"/>
        <v/>
      </c>
      <c r="T70" s="118">
        <f t="shared" si="3"/>
        <v>0</v>
      </c>
    </row>
    <row r="71" spans="1:20">
      <c r="E71" s="113" t="str">
        <f t="shared" ref="E71:E133" si="4">IF(ISTEXT(MID($D71,SEARCH("FUTURE USE",$D71),3)),"FUTURE USE",IF(ISTEXT(MID($D71,SEARCH("GLT",$D71),3)),"GLT",IF(ISTEXT(MID($D71,SEARCH("ARO",$D71),3)),"ARO",IF(ISTEXT(MID($D71,SEARCH("DSM",$D71),3)),"DSM",""))))</f>
        <v/>
      </c>
      <c r="T71" s="118">
        <f t="shared" ref="T71:T133" si="5">SUM(F71:R71)/13</f>
        <v>0</v>
      </c>
    </row>
    <row r="72" spans="1:20">
      <c r="E72" s="113" t="str">
        <f t="shared" si="4"/>
        <v/>
      </c>
      <c r="T72" s="118">
        <f t="shared" si="5"/>
        <v>0</v>
      </c>
    </row>
    <row r="73" spans="1:20">
      <c r="D73" s="113" t="s">
        <v>450</v>
      </c>
      <c r="E73" s="113" t="str">
        <f t="shared" si="4"/>
        <v/>
      </c>
      <c r="T73" s="118">
        <f t="shared" si="5"/>
        <v>0</v>
      </c>
    </row>
    <row r="74" spans="1:20">
      <c r="A74" s="118" t="str">
        <f t="shared" ref="A74:A90" si="6">MID($D74,4,3)</f>
        <v>LGE</v>
      </c>
      <c r="B74" s="118" t="s">
        <v>452</v>
      </c>
      <c r="C74" s="118" t="str">
        <f t="shared" ref="C74:C90" si="7">MID($D74,9,3)</f>
        <v>121</v>
      </c>
      <c r="D74" s="113" t="s">
        <v>435</v>
      </c>
      <c r="E74" s="113" t="str">
        <f t="shared" si="4"/>
        <v/>
      </c>
      <c r="F74" s="118">
        <v>630.89697999999999</v>
      </c>
      <c r="G74" s="118">
        <v>630.89697999999999</v>
      </c>
      <c r="H74" s="118">
        <v>630.89697999999999</v>
      </c>
      <c r="I74" s="118">
        <v>630.89697999999999</v>
      </c>
      <c r="J74" s="118">
        <v>630.89697999999999</v>
      </c>
      <c r="K74" s="118">
        <v>630.89697999999999</v>
      </c>
      <c r="L74" s="118">
        <v>630.89697999999999</v>
      </c>
      <c r="M74" s="118">
        <v>630.89697999999999</v>
      </c>
      <c r="N74" s="118">
        <v>630.89697999999999</v>
      </c>
      <c r="O74" s="118">
        <v>630.89697999999999</v>
      </c>
      <c r="P74" s="118">
        <v>630.89697999999999</v>
      </c>
      <c r="Q74" s="118">
        <v>630.89697999999999</v>
      </c>
      <c r="R74" s="118">
        <v>630.89697999999999</v>
      </c>
      <c r="T74" s="118">
        <f t="shared" si="5"/>
        <v>630.89697999999976</v>
      </c>
    </row>
    <row r="75" spans="1:20">
      <c r="A75" s="118" t="str">
        <f t="shared" si="6"/>
        <v>LGE</v>
      </c>
      <c r="B75" s="118" t="s">
        <v>452</v>
      </c>
      <c r="C75" s="118" t="str">
        <f t="shared" si="7"/>
        <v>301</v>
      </c>
      <c r="D75" s="113" t="s">
        <v>436</v>
      </c>
      <c r="E75" s="113" t="str">
        <f t="shared" si="4"/>
        <v/>
      </c>
      <c r="F75" s="118">
        <v>83.782289999999904</v>
      </c>
      <c r="G75" s="118">
        <v>83.782289999999904</v>
      </c>
      <c r="H75" s="118">
        <v>83.782289999999904</v>
      </c>
      <c r="I75" s="118">
        <v>83.782289999999904</v>
      </c>
      <c r="J75" s="118">
        <v>83.782289999999904</v>
      </c>
      <c r="K75" s="118">
        <v>83.782289999999904</v>
      </c>
      <c r="L75" s="118">
        <v>83.782289999999904</v>
      </c>
      <c r="M75" s="118">
        <v>83.782289999999904</v>
      </c>
      <c r="N75" s="118">
        <v>83.782289999999904</v>
      </c>
      <c r="O75" s="118">
        <v>83.782289999999904</v>
      </c>
      <c r="P75" s="118">
        <v>83.782289999999904</v>
      </c>
      <c r="Q75" s="118">
        <v>83.782289999999904</v>
      </c>
      <c r="R75" s="118">
        <v>83.782289999999904</v>
      </c>
      <c r="T75" s="118">
        <f t="shared" si="5"/>
        <v>83.78228999999989</v>
      </c>
    </row>
    <row r="76" spans="1:20">
      <c r="A76" s="118" t="str">
        <f t="shared" si="6"/>
        <v>LGE</v>
      </c>
      <c r="B76" s="118" t="s">
        <v>452</v>
      </c>
      <c r="C76" s="118" t="str">
        <f t="shared" si="7"/>
        <v>303</v>
      </c>
      <c r="D76" s="113" t="s">
        <v>437</v>
      </c>
      <c r="E76" s="113" t="str">
        <f t="shared" si="4"/>
        <v/>
      </c>
      <c r="F76" s="118">
        <v>55178.54825</v>
      </c>
      <c r="G76" s="118">
        <v>54139.012849999999</v>
      </c>
      <c r="H76" s="118">
        <v>55130.907679999997</v>
      </c>
      <c r="I76" s="118">
        <v>56660.745649999997</v>
      </c>
      <c r="J76" s="118">
        <v>57170.901610000001</v>
      </c>
      <c r="K76" s="118">
        <v>57589.555760000003</v>
      </c>
      <c r="L76" s="118">
        <v>58947.585249999996</v>
      </c>
      <c r="M76" s="118">
        <v>58820.90425</v>
      </c>
      <c r="N76" s="118">
        <v>57990.027249999999</v>
      </c>
      <c r="O76" s="118">
        <v>58154.027249999999</v>
      </c>
      <c r="P76" s="118">
        <v>57614.140209999998</v>
      </c>
      <c r="Q76" s="118">
        <v>58288.6495</v>
      </c>
      <c r="R76" s="118">
        <v>60842.258289999998</v>
      </c>
      <c r="T76" s="118">
        <f t="shared" si="5"/>
        <v>57425.174138461545</v>
      </c>
    </row>
    <row r="77" spans="1:20">
      <c r="A77" s="118" t="str">
        <f t="shared" si="6"/>
        <v>LGE</v>
      </c>
      <c r="B77" s="118" t="s">
        <v>452</v>
      </c>
      <c r="C77" s="118" t="str">
        <f t="shared" si="7"/>
        <v>303</v>
      </c>
      <c r="D77" s="113" t="s">
        <v>438</v>
      </c>
      <c r="E77" s="113" t="str">
        <f t="shared" si="4"/>
        <v/>
      </c>
      <c r="F77" s="118">
        <v>45453.435189999997</v>
      </c>
      <c r="G77" s="118">
        <v>45453.435189999997</v>
      </c>
      <c r="H77" s="118">
        <v>57334.331550000003</v>
      </c>
      <c r="I77" s="118">
        <v>57334.331550000003</v>
      </c>
      <c r="J77" s="118">
        <v>57334.331550000003</v>
      </c>
      <c r="K77" s="118">
        <v>57444.331550000003</v>
      </c>
      <c r="L77" s="118">
        <v>57576.331660000003</v>
      </c>
      <c r="M77" s="118">
        <v>57576.331660000003</v>
      </c>
      <c r="N77" s="118">
        <v>57576.331660000003</v>
      </c>
      <c r="O77" s="118">
        <v>57768.831660000003</v>
      </c>
      <c r="P77" s="118">
        <v>57796.331660000003</v>
      </c>
      <c r="Q77" s="118">
        <v>57796.331660000003</v>
      </c>
      <c r="R77" s="118">
        <v>57796.331660000003</v>
      </c>
      <c r="T77" s="118">
        <f t="shared" si="5"/>
        <v>55710.847553846164</v>
      </c>
    </row>
    <row r="78" spans="1:20">
      <c r="A78" s="118" t="str">
        <f t="shared" si="6"/>
        <v>LGE</v>
      </c>
      <c r="B78" s="118" t="s">
        <v>452</v>
      </c>
      <c r="C78" s="118" t="str">
        <f t="shared" si="7"/>
        <v>389</v>
      </c>
      <c r="D78" s="113" t="s">
        <v>439</v>
      </c>
      <c r="E78" s="113" t="str">
        <f t="shared" si="4"/>
        <v/>
      </c>
      <c r="F78" s="118">
        <v>1766.4893099999999</v>
      </c>
      <c r="G78" s="118">
        <v>1766.4893099999999</v>
      </c>
      <c r="H78" s="118">
        <v>1766.4893099999999</v>
      </c>
      <c r="I78" s="118">
        <v>1766.4893099999999</v>
      </c>
      <c r="J78" s="118">
        <v>1766.4893099999999</v>
      </c>
      <c r="K78" s="118">
        <v>1766.4893099999999</v>
      </c>
      <c r="L78" s="118">
        <v>1766.4893099999999</v>
      </c>
      <c r="M78" s="118">
        <v>1766.4893099999999</v>
      </c>
      <c r="N78" s="118">
        <v>1766.4893099999999</v>
      </c>
      <c r="O78" s="118">
        <v>1766.4893099999999</v>
      </c>
      <c r="P78" s="118">
        <v>1766.4893099999999</v>
      </c>
      <c r="Q78" s="118">
        <v>1766.4893099999999</v>
      </c>
      <c r="R78" s="118">
        <v>1766.4893099999999</v>
      </c>
      <c r="T78" s="118">
        <f t="shared" si="5"/>
        <v>1766.4893100000006</v>
      </c>
    </row>
    <row r="79" spans="1:20">
      <c r="A79" s="118" t="str">
        <f t="shared" si="6"/>
        <v>LGE</v>
      </c>
      <c r="B79" s="118" t="s">
        <v>452</v>
      </c>
      <c r="C79" s="118" t="str">
        <f t="shared" si="7"/>
        <v>390</v>
      </c>
      <c r="D79" s="113" t="s">
        <v>440</v>
      </c>
      <c r="E79" s="113" t="str">
        <f t="shared" si="4"/>
        <v/>
      </c>
      <c r="F79" s="118">
        <v>80761.698739999905</v>
      </c>
      <c r="G79" s="118">
        <v>80811.698739999905</v>
      </c>
      <c r="H79" s="118">
        <v>80811.698739999905</v>
      </c>
      <c r="I79" s="118">
        <v>80811.698739999905</v>
      </c>
      <c r="J79" s="118">
        <v>80821.698739999905</v>
      </c>
      <c r="K79" s="118">
        <v>80923.698739999905</v>
      </c>
      <c r="L79" s="118">
        <v>81479.698739999905</v>
      </c>
      <c r="M79" s="118">
        <v>81479.698739999905</v>
      </c>
      <c r="N79" s="118">
        <v>81479.698739999905</v>
      </c>
      <c r="O79" s="118">
        <v>81479.698739999905</v>
      </c>
      <c r="P79" s="118">
        <v>81544.698739999905</v>
      </c>
      <c r="Q79" s="118">
        <v>81544.698739999905</v>
      </c>
      <c r="R79" s="118">
        <v>81544.698739999905</v>
      </c>
      <c r="T79" s="118">
        <f t="shared" si="5"/>
        <v>81191.929509230671</v>
      </c>
    </row>
    <row r="80" spans="1:20">
      <c r="A80" s="118" t="str">
        <f t="shared" si="6"/>
        <v>LGE</v>
      </c>
      <c r="B80" s="118" t="s">
        <v>452</v>
      </c>
      <c r="C80" s="118" t="str">
        <f t="shared" si="7"/>
        <v>391</v>
      </c>
      <c r="D80" s="113" t="s">
        <v>441</v>
      </c>
      <c r="E80" s="113" t="str">
        <f t="shared" si="4"/>
        <v/>
      </c>
      <c r="F80" s="118">
        <v>40985.315190000001</v>
      </c>
      <c r="G80" s="118">
        <v>41249.492680000003</v>
      </c>
      <c r="H80" s="118">
        <v>41442.80416</v>
      </c>
      <c r="I80" s="118">
        <v>42175.801699999902</v>
      </c>
      <c r="J80" s="118">
        <v>42982.644659999998</v>
      </c>
      <c r="K80" s="118">
        <v>43454.867839999999</v>
      </c>
      <c r="L80" s="118">
        <v>45791.752520000002</v>
      </c>
      <c r="M80" s="118">
        <v>45680.628519999998</v>
      </c>
      <c r="N80" s="118">
        <v>45360.082520000004</v>
      </c>
      <c r="O80" s="118">
        <v>45470.096519999999</v>
      </c>
      <c r="P80" s="118">
        <v>45034.4859</v>
      </c>
      <c r="Q80" s="118">
        <v>45066.481740000003</v>
      </c>
      <c r="R80" s="118">
        <v>44896.045729999998</v>
      </c>
      <c r="T80" s="118">
        <f t="shared" si="5"/>
        <v>43814.65382153845</v>
      </c>
    </row>
    <row r="81" spans="1:20">
      <c r="A81" s="118" t="str">
        <f t="shared" si="6"/>
        <v>LGE</v>
      </c>
      <c r="B81" s="118" t="s">
        <v>452</v>
      </c>
      <c r="C81" s="118" t="str">
        <f t="shared" si="7"/>
        <v>392</v>
      </c>
      <c r="D81" s="113" t="s">
        <v>1329</v>
      </c>
      <c r="E81" s="113" t="str">
        <f t="shared" si="4"/>
        <v/>
      </c>
      <c r="F81" s="118">
        <v>41.842689999999997</v>
      </c>
      <c r="G81" s="118">
        <v>41.842689999999997</v>
      </c>
      <c r="H81" s="118">
        <v>41.842689999999997</v>
      </c>
      <c r="I81" s="118">
        <v>41.842689999999997</v>
      </c>
      <c r="J81" s="118">
        <v>41.842689999999997</v>
      </c>
      <c r="K81" s="118">
        <v>41.842689999999997</v>
      </c>
      <c r="L81" s="118">
        <v>41.842689999999997</v>
      </c>
      <c r="M81" s="118">
        <v>41.842689999999997</v>
      </c>
      <c r="N81" s="118">
        <v>41.842689999999997</v>
      </c>
      <c r="O81" s="118">
        <v>41.842689999999997</v>
      </c>
      <c r="P81" s="118">
        <v>41.842689999999997</v>
      </c>
      <c r="Q81" s="118">
        <v>41.842689999999997</v>
      </c>
      <c r="R81" s="118">
        <v>41.842689999999997</v>
      </c>
      <c r="T81" s="118">
        <f t="shared" si="5"/>
        <v>41.842689999999997</v>
      </c>
    </row>
    <row r="82" spans="1:20">
      <c r="A82" s="118" t="str">
        <f t="shared" si="6"/>
        <v>LGE</v>
      </c>
      <c r="B82" s="118" t="s">
        <v>452</v>
      </c>
      <c r="C82" s="118" t="str">
        <f t="shared" si="7"/>
        <v>392</v>
      </c>
      <c r="D82" s="113" t="s">
        <v>442</v>
      </c>
      <c r="E82" s="113" t="str">
        <f t="shared" si="4"/>
        <v/>
      </c>
      <c r="F82" s="118">
        <v>232.33367999999999</v>
      </c>
      <c r="G82" s="118">
        <v>232.33367999999999</v>
      </c>
      <c r="H82" s="118">
        <v>232.33367999999999</v>
      </c>
      <c r="I82" s="118">
        <v>232.33367999999999</v>
      </c>
      <c r="J82" s="118">
        <v>232.33367999999999</v>
      </c>
      <c r="K82" s="118">
        <v>232.33367999999999</v>
      </c>
      <c r="L82" s="118">
        <v>232.33367999999999</v>
      </c>
      <c r="M82" s="118">
        <v>232.33367999999999</v>
      </c>
      <c r="N82" s="118">
        <v>232.33367999999999</v>
      </c>
      <c r="O82" s="118">
        <v>232.33367999999999</v>
      </c>
      <c r="P82" s="118">
        <v>232.33367999999999</v>
      </c>
      <c r="Q82" s="118">
        <v>232.33367999999999</v>
      </c>
      <c r="R82" s="118">
        <v>232.33367999999999</v>
      </c>
      <c r="T82" s="118">
        <f t="shared" si="5"/>
        <v>232.33368000000004</v>
      </c>
    </row>
    <row r="83" spans="1:20">
      <c r="A83" s="118" t="str">
        <f t="shared" si="6"/>
        <v>LGE</v>
      </c>
      <c r="B83" s="118" t="s">
        <v>452</v>
      </c>
      <c r="C83" s="118" t="str">
        <f t="shared" si="7"/>
        <v>393</v>
      </c>
      <c r="D83" s="113" t="s">
        <v>443</v>
      </c>
      <c r="E83" s="113" t="str">
        <f t="shared" si="4"/>
        <v/>
      </c>
      <c r="F83" s="118">
        <v>1471.07502</v>
      </c>
      <c r="G83" s="118">
        <v>1471.07502</v>
      </c>
      <c r="H83" s="118">
        <v>1471.07502</v>
      </c>
      <c r="I83" s="118">
        <v>1471.07502</v>
      </c>
      <c r="J83" s="118">
        <v>1471.07502</v>
      </c>
      <c r="K83" s="118">
        <v>1471.07502</v>
      </c>
      <c r="L83" s="118">
        <v>1471.07502</v>
      </c>
      <c r="M83" s="118">
        <v>1471.07502</v>
      </c>
      <c r="N83" s="118">
        <v>1471.07502</v>
      </c>
      <c r="O83" s="118">
        <v>1471.07502</v>
      </c>
      <c r="P83" s="118">
        <v>1471.07502</v>
      </c>
      <c r="Q83" s="118">
        <v>1471.07502</v>
      </c>
      <c r="R83" s="118">
        <v>1471.07502</v>
      </c>
      <c r="T83" s="118">
        <f t="shared" si="5"/>
        <v>1471.07502</v>
      </c>
    </row>
    <row r="84" spans="1:20">
      <c r="A84" s="118" t="str">
        <f t="shared" si="6"/>
        <v>LGE</v>
      </c>
      <c r="B84" s="118" t="s">
        <v>452</v>
      </c>
      <c r="C84" s="118" t="str">
        <f t="shared" si="7"/>
        <v>394</v>
      </c>
      <c r="D84" s="113" t="s">
        <v>444</v>
      </c>
      <c r="E84" s="113" t="str">
        <f t="shared" si="4"/>
        <v/>
      </c>
      <c r="F84" s="118">
        <v>4032.0985799999999</v>
      </c>
      <c r="G84" s="118">
        <v>4032.0985799999999</v>
      </c>
      <c r="H84" s="118">
        <v>4067.2885799999999</v>
      </c>
      <c r="I84" s="118">
        <v>4067.2885799999999</v>
      </c>
      <c r="J84" s="118">
        <v>4087.2885799999999</v>
      </c>
      <c r="K84" s="118">
        <v>4087.2885799999999</v>
      </c>
      <c r="L84" s="118">
        <v>4117.2885800000004</v>
      </c>
      <c r="M84" s="118">
        <v>4119.7885800000004</v>
      </c>
      <c r="N84" s="118">
        <v>4122.2885800000004</v>
      </c>
      <c r="O84" s="118">
        <v>4124.7885800000004</v>
      </c>
      <c r="P84" s="118">
        <v>4127.2885800000004</v>
      </c>
      <c r="Q84" s="118">
        <v>4129.7885800000004</v>
      </c>
      <c r="R84" s="118">
        <v>4019.3575799999999</v>
      </c>
      <c r="T84" s="118">
        <f t="shared" si="5"/>
        <v>4087.2261953846164</v>
      </c>
    </row>
    <row r="85" spans="1:20">
      <c r="A85" s="118" t="str">
        <f t="shared" si="6"/>
        <v>LGE</v>
      </c>
      <c r="B85" s="118" t="s">
        <v>452</v>
      </c>
      <c r="C85" s="118" t="str">
        <f t="shared" si="7"/>
        <v>396</v>
      </c>
      <c r="D85" s="113" t="s">
        <v>445</v>
      </c>
      <c r="E85" s="113" t="str">
        <f t="shared" si="4"/>
        <v/>
      </c>
      <c r="F85" s="118">
        <v>14.147080000000001</v>
      </c>
      <c r="G85" s="118">
        <v>14.147080000000001</v>
      </c>
      <c r="H85" s="118">
        <v>14.147080000000001</v>
      </c>
      <c r="I85" s="118">
        <v>14.147080000000001</v>
      </c>
      <c r="J85" s="118">
        <v>14.147080000000001</v>
      </c>
      <c r="K85" s="118">
        <v>14.147080000000001</v>
      </c>
      <c r="L85" s="118">
        <v>14.147080000000001</v>
      </c>
      <c r="M85" s="118">
        <v>14.147080000000001</v>
      </c>
      <c r="N85" s="118">
        <v>14.147080000000001</v>
      </c>
      <c r="O85" s="118">
        <v>14.147080000000001</v>
      </c>
      <c r="P85" s="118">
        <v>14.147080000000001</v>
      </c>
      <c r="Q85" s="118">
        <v>14.147080000000001</v>
      </c>
      <c r="R85" s="118">
        <v>14.147080000000001</v>
      </c>
      <c r="T85" s="118">
        <f t="shared" si="5"/>
        <v>14.147079999999997</v>
      </c>
    </row>
    <row r="86" spans="1:20">
      <c r="A86" s="118" t="str">
        <f t="shared" si="6"/>
        <v>LGE</v>
      </c>
      <c r="B86" s="118" t="s">
        <v>452</v>
      </c>
      <c r="C86" s="118" t="str">
        <f t="shared" si="7"/>
        <v>396</v>
      </c>
      <c r="D86" s="113" t="s">
        <v>1330</v>
      </c>
      <c r="E86" s="113" t="str">
        <f t="shared" si="4"/>
        <v/>
      </c>
      <c r="F86" s="118">
        <v>328.43912999999998</v>
      </c>
      <c r="G86" s="118">
        <v>328.43912999999998</v>
      </c>
      <c r="H86" s="118">
        <v>328.43912999999998</v>
      </c>
      <c r="I86" s="118">
        <v>328.43912999999998</v>
      </c>
      <c r="J86" s="118">
        <v>328.43912999999998</v>
      </c>
      <c r="K86" s="118">
        <v>328.43912999999998</v>
      </c>
      <c r="L86" s="118">
        <v>328.43912999999998</v>
      </c>
      <c r="M86" s="118">
        <v>328.43912999999998</v>
      </c>
      <c r="N86" s="118">
        <v>328.43912999999998</v>
      </c>
      <c r="O86" s="118">
        <v>328.43912999999998</v>
      </c>
      <c r="P86" s="118">
        <v>328.43912999999998</v>
      </c>
      <c r="Q86" s="118">
        <v>328.43912999999998</v>
      </c>
      <c r="R86" s="118">
        <v>328.43912999999998</v>
      </c>
      <c r="T86" s="118">
        <f t="shared" si="5"/>
        <v>328.43912999999986</v>
      </c>
    </row>
    <row r="87" spans="1:20">
      <c r="A87" s="118" t="str">
        <f t="shared" si="6"/>
        <v>LGE</v>
      </c>
      <c r="B87" s="118" t="s">
        <v>452</v>
      </c>
      <c r="C87" s="118" t="str">
        <f t="shared" si="7"/>
        <v>397</v>
      </c>
      <c r="D87" s="113" t="s">
        <v>446</v>
      </c>
      <c r="E87" s="113" t="str">
        <f t="shared" si="4"/>
        <v/>
      </c>
      <c r="F87" s="118">
        <v>17725.81596</v>
      </c>
      <c r="G87" s="118">
        <v>17837.865969999999</v>
      </c>
      <c r="H87" s="118">
        <v>18114.076150000001</v>
      </c>
      <c r="I87" s="118">
        <v>18187.515920000002</v>
      </c>
      <c r="J87" s="118">
        <v>18435.37486</v>
      </c>
      <c r="K87" s="118">
        <v>19633.512709999999</v>
      </c>
      <c r="L87" s="118">
        <v>19696.842689999899</v>
      </c>
      <c r="M87" s="118">
        <v>19696.842689999899</v>
      </c>
      <c r="N87" s="118">
        <v>19696.842689999899</v>
      </c>
      <c r="O87" s="118">
        <v>19696.842689999899</v>
      </c>
      <c r="P87" s="118">
        <v>19696.842689999899</v>
      </c>
      <c r="Q87" s="118">
        <v>19696.842689999899</v>
      </c>
      <c r="R87" s="118">
        <v>19696.842689999899</v>
      </c>
      <c r="T87" s="118">
        <f t="shared" si="5"/>
        <v>19062.466184615332</v>
      </c>
    </row>
    <row r="88" spans="1:20">
      <c r="A88" s="118" t="str">
        <f t="shared" si="6"/>
        <v>LGE</v>
      </c>
      <c r="B88" s="118" t="s">
        <v>452</v>
      </c>
      <c r="C88" s="118" t="str">
        <f t="shared" si="7"/>
        <v>397</v>
      </c>
      <c r="D88" s="113" t="s">
        <v>447</v>
      </c>
      <c r="E88" s="113" t="str">
        <f t="shared" si="4"/>
        <v/>
      </c>
      <c r="F88" s="118">
        <v>74.394850000000005</v>
      </c>
      <c r="G88" s="118">
        <v>74.394850000000005</v>
      </c>
      <c r="H88" s="118">
        <v>74.394850000000005</v>
      </c>
      <c r="I88" s="118">
        <v>74.394850000000005</v>
      </c>
      <c r="J88" s="118">
        <v>74.394850000000005</v>
      </c>
      <c r="K88" s="118">
        <v>74.394850000000005</v>
      </c>
      <c r="L88" s="118">
        <v>74.394850000000005</v>
      </c>
      <c r="M88" s="118">
        <v>74.394850000000005</v>
      </c>
      <c r="N88" s="118">
        <v>74.394850000000005</v>
      </c>
      <c r="O88" s="118">
        <v>74.394850000000005</v>
      </c>
      <c r="P88" s="118">
        <v>74.394850000000005</v>
      </c>
      <c r="Q88" s="118">
        <v>74.394850000000005</v>
      </c>
      <c r="R88" s="118">
        <v>74.394850000000005</v>
      </c>
      <c r="T88" s="118">
        <f t="shared" si="5"/>
        <v>74.394850000000005</v>
      </c>
    </row>
    <row r="89" spans="1:20">
      <c r="A89" s="118" t="str">
        <f t="shared" si="6"/>
        <v>LGE</v>
      </c>
      <c r="B89" s="118" t="s">
        <v>452</v>
      </c>
      <c r="C89" s="118" t="str">
        <f t="shared" si="7"/>
        <v>397</v>
      </c>
      <c r="D89" s="113" t="s">
        <v>448</v>
      </c>
      <c r="E89" s="113" t="str">
        <f t="shared" si="4"/>
        <v/>
      </c>
      <c r="F89" s="118">
        <v>23605.226409999999</v>
      </c>
      <c r="G89" s="118">
        <v>23605.226409999999</v>
      </c>
      <c r="H89" s="118">
        <v>23605.226409999999</v>
      </c>
      <c r="I89" s="118">
        <v>23605.226409999999</v>
      </c>
      <c r="J89" s="118">
        <v>23605.226409999999</v>
      </c>
      <c r="K89" s="118">
        <v>23605.226409999999</v>
      </c>
      <c r="L89" s="118">
        <v>23605.226409999999</v>
      </c>
      <c r="M89" s="118">
        <v>23605.226409999999</v>
      </c>
      <c r="N89" s="118">
        <v>23605.226409999999</v>
      </c>
      <c r="O89" s="118">
        <v>23605.226409999999</v>
      </c>
      <c r="P89" s="118">
        <v>23605.226409999999</v>
      </c>
      <c r="Q89" s="118">
        <v>23605.226409999999</v>
      </c>
      <c r="R89" s="118">
        <v>23605.226409999999</v>
      </c>
      <c r="T89" s="118">
        <f t="shared" si="5"/>
        <v>23605.226409999999</v>
      </c>
    </row>
    <row r="90" spans="1:20">
      <c r="A90" s="118" t="str">
        <f t="shared" si="6"/>
        <v>LGE</v>
      </c>
      <c r="B90" s="118" t="s">
        <v>452</v>
      </c>
      <c r="C90" s="118" t="str">
        <f t="shared" si="7"/>
        <v>398</v>
      </c>
      <c r="D90" s="113" t="s">
        <v>449</v>
      </c>
      <c r="E90" s="113" t="str">
        <f t="shared" si="4"/>
        <v/>
      </c>
      <c r="F90" s="118">
        <v>0</v>
      </c>
      <c r="G90" s="118">
        <v>0</v>
      </c>
      <c r="H90" s="118">
        <v>0</v>
      </c>
      <c r="I90" s="118">
        <v>0</v>
      </c>
      <c r="J90" s="118">
        <v>0</v>
      </c>
      <c r="K90" s="118">
        <v>0</v>
      </c>
      <c r="L90" s="118">
        <v>0</v>
      </c>
      <c r="M90" s="118">
        <v>0</v>
      </c>
      <c r="N90" s="118">
        <v>0</v>
      </c>
      <c r="O90" s="118">
        <v>0</v>
      </c>
      <c r="P90" s="118">
        <v>0</v>
      </c>
      <c r="Q90" s="118">
        <v>0</v>
      </c>
      <c r="R90" s="118">
        <v>0</v>
      </c>
      <c r="T90" s="118">
        <f t="shared" si="5"/>
        <v>0</v>
      </c>
    </row>
    <row r="91" spans="1:20">
      <c r="E91" s="113"/>
    </row>
    <row r="92" spans="1:20">
      <c r="E92" s="113" t="str">
        <f t="shared" si="4"/>
        <v/>
      </c>
      <c r="T92" s="118">
        <f t="shared" si="5"/>
        <v>0</v>
      </c>
    </row>
    <row r="93" spans="1:20">
      <c r="E93" s="113" t="str">
        <f t="shared" si="4"/>
        <v/>
      </c>
      <c r="T93" s="118">
        <f t="shared" si="5"/>
        <v>0</v>
      </c>
    </row>
    <row r="94" spans="1:20">
      <c r="E94" s="113" t="str">
        <f t="shared" si="4"/>
        <v/>
      </c>
      <c r="T94" s="118">
        <f t="shared" si="5"/>
        <v>0</v>
      </c>
    </row>
    <row r="95" spans="1:20">
      <c r="E95" s="113" t="str">
        <f t="shared" si="4"/>
        <v/>
      </c>
      <c r="T95" s="118">
        <f t="shared" si="5"/>
        <v>0</v>
      </c>
    </row>
    <row r="96" spans="1:20">
      <c r="E96" s="113" t="str">
        <f t="shared" si="4"/>
        <v/>
      </c>
      <c r="T96" s="118">
        <f t="shared" si="5"/>
        <v>0</v>
      </c>
    </row>
    <row r="97" spans="1:20">
      <c r="E97" s="113" t="str">
        <f t="shared" si="4"/>
        <v/>
      </c>
      <c r="T97" s="118">
        <f t="shared" si="5"/>
        <v>0</v>
      </c>
    </row>
    <row r="98" spans="1:20">
      <c r="E98" s="113" t="str">
        <f t="shared" si="4"/>
        <v/>
      </c>
      <c r="T98" s="118">
        <f t="shared" si="5"/>
        <v>0</v>
      </c>
    </row>
    <row r="99" spans="1:20">
      <c r="E99" s="113" t="str">
        <f t="shared" si="4"/>
        <v/>
      </c>
      <c r="T99" s="118">
        <f t="shared" si="5"/>
        <v>0</v>
      </c>
    </row>
    <row r="100" spans="1:20">
      <c r="E100" s="113" t="str">
        <f t="shared" si="4"/>
        <v/>
      </c>
      <c r="T100" s="118">
        <f t="shared" si="5"/>
        <v>0</v>
      </c>
    </row>
    <row r="101" spans="1:20">
      <c r="E101" s="113" t="str">
        <f t="shared" si="4"/>
        <v/>
      </c>
      <c r="T101" s="118">
        <f t="shared" si="5"/>
        <v>0</v>
      </c>
    </row>
    <row r="102" spans="1:20">
      <c r="E102" s="113" t="str">
        <f t="shared" si="4"/>
        <v/>
      </c>
      <c r="T102" s="118">
        <f t="shared" si="5"/>
        <v>0</v>
      </c>
    </row>
    <row r="103" spans="1:20">
      <c r="E103" s="113" t="str">
        <f t="shared" si="4"/>
        <v/>
      </c>
      <c r="T103" s="118">
        <f t="shared" si="5"/>
        <v>0</v>
      </c>
    </row>
    <row r="104" spans="1:20">
      <c r="E104" s="113" t="str">
        <f t="shared" si="4"/>
        <v/>
      </c>
      <c r="T104" s="118">
        <f t="shared" si="5"/>
        <v>0</v>
      </c>
    </row>
    <row r="105" spans="1:20">
      <c r="E105" s="113" t="str">
        <f t="shared" si="4"/>
        <v/>
      </c>
      <c r="T105" s="118">
        <f t="shared" si="5"/>
        <v>0</v>
      </c>
    </row>
    <row r="106" spans="1:20">
      <c r="E106" s="113" t="str">
        <f t="shared" si="4"/>
        <v/>
      </c>
      <c r="T106" s="118">
        <f t="shared" si="5"/>
        <v>0</v>
      </c>
    </row>
    <row r="107" spans="1:20">
      <c r="E107" s="113" t="str">
        <f t="shared" si="4"/>
        <v/>
      </c>
      <c r="T107" s="118">
        <f t="shared" si="5"/>
        <v>0</v>
      </c>
    </row>
    <row r="108" spans="1:20">
      <c r="E108" s="113" t="str">
        <f t="shared" si="4"/>
        <v/>
      </c>
      <c r="T108" s="118">
        <f t="shared" si="5"/>
        <v>0</v>
      </c>
    </row>
    <row r="109" spans="1:20">
      <c r="E109" s="113" t="str">
        <f t="shared" si="4"/>
        <v/>
      </c>
      <c r="T109" s="118">
        <f t="shared" si="5"/>
        <v>0</v>
      </c>
    </row>
    <row r="110" spans="1:20">
      <c r="E110" s="113" t="str">
        <f t="shared" si="4"/>
        <v/>
      </c>
      <c r="T110" s="118">
        <f t="shared" si="5"/>
        <v>0</v>
      </c>
    </row>
    <row r="111" spans="1:20">
      <c r="A111" s="118" t="str">
        <f t="shared" ref="A111" si="8">MID($D111,4,2)</f>
        <v/>
      </c>
      <c r="B111" s="118" t="str">
        <f t="shared" ref="B111" si="9">IF(MID($D111,12,2)="- ","KY",MID($D111,12,2))</f>
        <v/>
      </c>
      <c r="C111" s="118" t="str">
        <f t="shared" ref="C111" si="10">MID($D111,8,3)</f>
        <v/>
      </c>
      <c r="E111" s="113" t="str">
        <f t="shared" si="4"/>
        <v/>
      </c>
      <c r="T111" s="118">
        <f t="shared" si="5"/>
        <v>0</v>
      </c>
    </row>
    <row r="112" spans="1:20">
      <c r="D112" s="113" t="s">
        <v>8</v>
      </c>
      <c r="E112" s="113" t="str">
        <f t="shared" si="4"/>
        <v/>
      </c>
      <c r="T112" s="118">
        <f t="shared" si="5"/>
        <v>0</v>
      </c>
    </row>
    <row r="113" spans="1:20">
      <c r="A113" s="118" t="str">
        <f t="shared" ref="A113:A140" si="11">MID($D113,4,3)</f>
        <v>LGE</v>
      </c>
      <c r="B113" s="118" t="s">
        <v>545</v>
      </c>
      <c r="C113" s="118" t="str">
        <f t="shared" ref="C113:C140" si="12">MID($D113,9,3)</f>
        <v>351</v>
      </c>
      <c r="D113" s="113" t="s">
        <v>509</v>
      </c>
      <c r="E113" s="113" t="str">
        <f t="shared" si="4"/>
        <v/>
      </c>
      <c r="F113" s="118">
        <v>0</v>
      </c>
      <c r="G113" s="118">
        <v>0</v>
      </c>
      <c r="H113" s="118">
        <v>0</v>
      </c>
      <c r="I113" s="118">
        <v>0</v>
      </c>
      <c r="J113" s="118">
        <v>0</v>
      </c>
      <c r="K113" s="118">
        <v>0</v>
      </c>
      <c r="L113" s="118">
        <v>0</v>
      </c>
      <c r="M113" s="118">
        <v>0</v>
      </c>
      <c r="N113" s="118">
        <v>0</v>
      </c>
      <c r="O113" s="118">
        <v>0</v>
      </c>
      <c r="P113" s="118">
        <v>0</v>
      </c>
      <c r="Q113" s="118">
        <v>0</v>
      </c>
      <c r="R113" s="118">
        <v>0</v>
      </c>
      <c r="S113" s="118">
        <f t="shared" ref="S113:S176" si="13">SUM(G113:R113)</f>
        <v>0</v>
      </c>
      <c r="T113" s="118">
        <f t="shared" si="5"/>
        <v>0</v>
      </c>
    </row>
    <row r="114" spans="1:20">
      <c r="A114" s="118" t="str">
        <f t="shared" si="11"/>
        <v>LGE</v>
      </c>
      <c r="B114" s="118" t="s">
        <v>545</v>
      </c>
      <c r="C114" s="118" t="str">
        <f t="shared" si="12"/>
        <v>351</v>
      </c>
      <c r="D114" s="113" t="s">
        <v>511</v>
      </c>
      <c r="E114" s="113" t="str">
        <f t="shared" si="4"/>
        <v/>
      </c>
      <c r="F114" s="118">
        <v>0</v>
      </c>
      <c r="G114" s="118">
        <v>0</v>
      </c>
      <c r="H114" s="118">
        <v>17</v>
      </c>
      <c r="I114" s="118">
        <v>0</v>
      </c>
      <c r="J114" s="118">
        <v>0</v>
      </c>
      <c r="K114" s="118">
        <v>0</v>
      </c>
      <c r="L114" s="118">
        <v>0</v>
      </c>
      <c r="M114" s="118">
        <v>0</v>
      </c>
      <c r="N114" s="118">
        <v>0</v>
      </c>
      <c r="O114" s="118">
        <v>0</v>
      </c>
      <c r="P114" s="118">
        <v>0</v>
      </c>
      <c r="Q114" s="118">
        <v>0</v>
      </c>
      <c r="R114" s="118">
        <v>0</v>
      </c>
      <c r="S114" s="118">
        <f t="shared" si="13"/>
        <v>17</v>
      </c>
      <c r="T114" s="118">
        <f t="shared" si="5"/>
        <v>1.3076923076923077</v>
      </c>
    </row>
    <row r="115" spans="1:20">
      <c r="A115" s="118" t="str">
        <f t="shared" si="11"/>
        <v>LGE</v>
      </c>
      <c r="B115" s="118" t="s">
        <v>545</v>
      </c>
      <c r="C115" s="118" t="str">
        <f t="shared" si="12"/>
        <v>352</v>
      </c>
      <c r="D115" s="113" t="s">
        <v>516</v>
      </c>
      <c r="E115" s="113" t="str">
        <f t="shared" si="4"/>
        <v/>
      </c>
      <c r="F115" s="118">
        <v>6.84</v>
      </c>
      <c r="G115" s="118">
        <v>0</v>
      </c>
      <c r="H115" s="118">
        <v>0</v>
      </c>
      <c r="I115" s="118">
        <v>0</v>
      </c>
      <c r="J115" s="118">
        <v>0</v>
      </c>
      <c r="K115" s="118">
        <v>0</v>
      </c>
      <c r="L115" s="118">
        <v>0</v>
      </c>
      <c r="M115" s="118">
        <v>0</v>
      </c>
      <c r="N115" s="118">
        <v>0</v>
      </c>
      <c r="O115" s="118">
        <v>0</v>
      </c>
      <c r="P115" s="118">
        <v>0</v>
      </c>
      <c r="Q115" s="118">
        <v>0</v>
      </c>
      <c r="R115" s="118">
        <v>0</v>
      </c>
      <c r="S115" s="118">
        <f t="shared" si="13"/>
        <v>0</v>
      </c>
      <c r="T115" s="118">
        <f t="shared" si="5"/>
        <v>0.52615384615384619</v>
      </c>
    </row>
    <row r="116" spans="1:20">
      <c r="A116" s="118" t="str">
        <f t="shared" si="11"/>
        <v>LGE</v>
      </c>
      <c r="B116" s="118" t="s">
        <v>545</v>
      </c>
      <c r="C116" s="118" t="str">
        <f t="shared" si="12"/>
        <v>352</v>
      </c>
      <c r="D116" s="113" t="s">
        <v>517</v>
      </c>
      <c r="E116" s="113" t="str">
        <f t="shared" si="4"/>
        <v/>
      </c>
      <c r="F116" s="118">
        <v>151.05099999999999</v>
      </c>
      <c r="G116" s="118">
        <v>612.84625000000005</v>
      </c>
      <c r="H116" s="118">
        <v>37.786650000000002</v>
      </c>
      <c r="I116" s="118">
        <v>4.2266700000000004</v>
      </c>
      <c r="J116" s="118">
        <v>4.2266700000000004</v>
      </c>
      <c r="K116" s="118">
        <v>-0.33333000000000002</v>
      </c>
      <c r="L116" s="118">
        <v>-0.33333000000000002</v>
      </c>
      <c r="M116" s="118">
        <v>0</v>
      </c>
      <c r="N116" s="118">
        <v>0</v>
      </c>
      <c r="O116" s="118">
        <v>0</v>
      </c>
      <c r="P116" s="118">
        <v>0</v>
      </c>
      <c r="Q116" s="118">
        <v>0</v>
      </c>
      <c r="R116" s="118">
        <v>0</v>
      </c>
      <c r="S116" s="118">
        <f t="shared" si="13"/>
        <v>658.41958</v>
      </c>
      <c r="T116" s="118">
        <f t="shared" si="5"/>
        <v>62.266967692307688</v>
      </c>
    </row>
    <row r="117" spans="1:20">
      <c r="A117" s="118" t="str">
        <f t="shared" si="11"/>
        <v>LGE</v>
      </c>
      <c r="B117" s="118" t="s">
        <v>545</v>
      </c>
      <c r="C117" s="118" t="str">
        <f t="shared" si="12"/>
        <v>352</v>
      </c>
      <c r="D117" s="113" t="s">
        <v>518</v>
      </c>
      <c r="E117" s="113" t="str">
        <f t="shared" si="4"/>
        <v/>
      </c>
      <c r="F117" s="118">
        <v>0</v>
      </c>
      <c r="G117" s="118">
        <v>57.919820000000001</v>
      </c>
      <c r="H117" s="118">
        <v>47.439639999999997</v>
      </c>
      <c r="I117" s="118">
        <v>343.83963999999997</v>
      </c>
      <c r="J117" s="118">
        <v>0</v>
      </c>
      <c r="K117" s="118">
        <v>0</v>
      </c>
      <c r="L117" s="118">
        <v>0</v>
      </c>
      <c r="M117" s="118">
        <v>0</v>
      </c>
      <c r="N117" s="118">
        <v>0</v>
      </c>
      <c r="O117" s="118">
        <v>0</v>
      </c>
      <c r="P117" s="118">
        <v>0</v>
      </c>
      <c r="Q117" s="118">
        <v>0</v>
      </c>
      <c r="R117" s="118">
        <v>0</v>
      </c>
      <c r="S117" s="118">
        <f t="shared" si="13"/>
        <v>449.19909999999999</v>
      </c>
      <c r="T117" s="118">
        <f t="shared" si="5"/>
        <v>34.553776923076924</v>
      </c>
    </row>
    <row r="118" spans="1:20">
      <c r="A118" s="118" t="str">
        <f t="shared" si="11"/>
        <v>LGE</v>
      </c>
      <c r="B118" s="118" t="s">
        <v>545</v>
      </c>
      <c r="C118" s="118" t="str">
        <f t="shared" si="12"/>
        <v>353</v>
      </c>
      <c r="D118" s="113" t="s">
        <v>519</v>
      </c>
      <c r="E118" s="113" t="str">
        <f t="shared" si="4"/>
        <v/>
      </c>
      <c r="F118" s="118">
        <v>0</v>
      </c>
      <c r="G118" s="118">
        <v>0</v>
      </c>
      <c r="H118" s="118">
        <v>0</v>
      </c>
      <c r="I118" s="118">
        <v>0</v>
      </c>
      <c r="J118" s="118">
        <v>0</v>
      </c>
      <c r="K118" s="118">
        <v>0</v>
      </c>
      <c r="L118" s="118">
        <v>0</v>
      </c>
      <c r="M118" s="118">
        <v>0</v>
      </c>
      <c r="N118" s="118">
        <v>0</v>
      </c>
      <c r="O118" s="118">
        <v>0</v>
      </c>
      <c r="P118" s="118">
        <v>0</v>
      </c>
      <c r="Q118" s="118">
        <v>0</v>
      </c>
      <c r="R118" s="118">
        <v>0</v>
      </c>
      <c r="S118" s="118">
        <f t="shared" si="13"/>
        <v>0</v>
      </c>
      <c r="T118" s="118">
        <f t="shared" si="5"/>
        <v>0</v>
      </c>
    </row>
    <row r="119" spans="1:20">
      <c r="A119" s="118" t="str">
        <f t="shared" si="11"/>
        <v>LGE</v>
      </c>
      <c r="B119" s="118" t="s">
        <v>545</v>
      </c>
      <c r="C119" s="118" t="str">
        <f t="shared" si="12"/>
        <v>353</v>
      </c>
      <c r="D119" s="113" t="s">
        <v>520</v>
      </c>
      <c r="E119" s="113" t="str">
        <f t="shared" si="4"/>
        <v/>
      </c>
      <c r="F119" s="118">
        <v>0</v>
      </c>
      <c r="G119" s="118">
        <v>0</v>
      </c>
      <c r="H119" s="118">
        <v>0</v>
      </c>
      <c r="I119" s="118">
        <v>0</v>
      </c>
      <c r="J119" s="118">
        <v>0</v>
      </c>
      <c r="K119" s="118">
        <v>0</v>
      </c>
      <c r="L119" s="118">
        <v>0</v>
      </c>
      <c r="M119" s="118">
        <v>0</v>
      </c>
      <c r="N119" s="118">
        <v>0</v>
      </c>
      <c r="O119" s="118">
        <v>0</v>
      </c>
      <c r="P119" s="118">
        <v>0</v>
      </c>
      <c r="Q119" s="118">
        <v>0</v>
      </c>
      <c r="R119" s="118">
        <v>0</v>
      </c>
      <c r="S119" s="118">
        <f t="shared" si="13"/>
        <v>0</v>
      </c>
      <c r="T119" s="118">
        <f t="shared" si="5"/>
        <v>0</v>
      </c>
    </row>
    <row r="120" spans="1:20">
      <c r="A120" s="118" t="str">
        <f t="shared" si="11"/>
        <v>LGE</v>
      </c>
      <c r="B120" s="118" t="s">
        <v>545</v>
      </c>
      <c r="C120" s="118" t="str">
        <f t="shared" si="12"/>
        <v>354</v>
      </c>
      <c r="D120" s="113" t="s">
        <v>521</v>
      </c>
      <c r="E120" s="113" t="str">
        <f t="shared" si="4"/>
        <v/>
      </c>
      <c r="F120" s="118">
        <v>213.26302000000001</v>
      </c>
      <c r="G120" s="118">
        <v>158.22981999999999</v>
      </c>
      <c r="H120" s="118">
        <v>263.01164999999997</v>
      </c>
      <c r="I120" s="118">
        <v>113.2474</v>
      </c>
      <c r="J120" s="118">
        <v>827.72861999999998</v>
      </c>
      <c r="K120" s="118">
        <v>61.784639999999897</v>
      </c>
      <c r="L120" s="118">
        <v>224.10499999999999</v>
      </c>
      <c r="M120" s="118">
        <v>12.54</v>
      </c>
      <c r="N120" s="118">
        <v>12.54</v>
      </c>
      <c r="O120" s="118">
        <v>12.54</v>
      </c>
      <c r="P120" s="118">
        <v>92.781239999999997</v>
      </c>
      <c r="Q120" s="118">
        <v>152.25912</v>
      </c>
      <c r="R120" s="118">
        <v>261.71406000000002</v>
      </c>
      <c r="S120" s="118">
        <f t="shared" si="13"/>
        <v>2192.4815499999995</v>
      </c>
      <c r="T120" s="118">
        <f t="shared" si="5"/>
        <v>185.05727461538461</v>
      </c>
    </row>
    <row r="121" spans="1:20">
      <c r="A121" s="118" t="str">
        <f t="shared" si="11"/>
        <v>LGE</v>
      </c>
      <c r="B121" s="118" t="s">
        <v>545</v>
      </c>
      <c r="C121" s="118" t="str">
        <f t="shared" si="12"/>
        <v>355</v>
      </c>
      <c r="D121" s="113" t="s">
        <v>522</v>
      </c>
      <c r="E121" s="113" t="str">
        <f t="shared" si="4"/>
        <v/>
      </c>
      <c r="F121" s="118">
        <v>0</v>
      </c>
      <c r="G121" s="118">
        <v>0</v>
      </c>
      <c r="H121" s="118">
        <v>0</v>
      </c>
      <c r="I121" s="118">
        <v>0</v>
      </c>
      <c r="J121" s="118">
        <v>0</v>
      </c>
      <c r="K121" s="118">
        <v>0</v>
      </c>
      <c r="L121" s="118">
        <v>0</v>
      </c>
      <c r="M121" s="118">
        <v>0</v>
      </c>
      <c r="N121" s="118">
        <v>0</v>
      </c>
      <c r="O121" s="118">
        <v>0</v>
      </c>
      <c r="P121" s="118">
        <v>0</v>
      </c>
      <c r="Q121" s="118">
        <v>0</v>
      </c>
      <c r="R121" s="118">
        <v>0</v>
      </c>
      <c r="S121" s="118">
        <f t="shared" si="13"/>
        <v>0</v>
      </c>
      <c r="T121" s="118">
        <f t="shared" si="5"/>
        <v>0</v>
      </c>
    </row>
    <row r="122" spans="1:20">
      <c r="A122" s="118" t="str">
        <f t="shared" si="11"/>
        <v>LGE</v>
      </c>
      <c r="B122" s="118" t="s">
        <v>545</v>
      </c>
      <c r="C122" s="118" t="str">
        <f t="shared" si="12"/>
        <v>356</v>
      </c>
      <c r="D122" s="113" t="s">
        <v>523</v>
      </c>
      <c r="E122" s="113" t="str">
        <f t="shared" si="4"/>
        <v/>
      </c>
      <c r="F122" s="118">
        <v>4.18</v>
      </c>
      <c r="G122" s="118">
        <v>104.35996</v>
      </c>
      <c r="H122" s="118">
        <v>4.18</v>
      </c>
      <c r="I122" s="118">
        <v>4.18</v>
      </c>
      <c r="J122" s="118">
        <v>672.81997000000001</v>
      </c>
      <c r="K122" s="118">
        <v>4.18</v>
      </c>
      <c r="L122" s="118">
        <v>654.07317999999998</v>
      </c>
      <c r="M122" s="118">
        <v>0</v>
      </c>
      <c r="N122" s="118">
        <v>0</v>
      </c>
      <c r="O122" s="118">
        <v>0</v>
      </c>
      <c r="P122" s="118">
        <v>0</v>
      </c>
      <c r="Q122" s="118">
        <v>0</v>
      </c>
      <c r="R122" s="118">
        <v>28.5</v>
      </c>
      <c r="S122" s="118">
        <f t="shared" si="13"/>
        <v>1472.2931100000001</v>
      </c>
      <c r="T122" s="118">
        <f t="shared" si="5"/>
        <v>113.57485461538461</v>
      </c>
    </row>
    <row r="123" spans="1:20">
      <c r="A123" s="118" t="str">
        <f t="shared" si="11"/>
        <v>LGE</v>
      </c>
      <c r="B123" s="118" t="s">
        <v>545</v>
      </c>
      <c r="C123" s="118" t="str">
        <f t="shared" si="12"/>
        <v>357</v>
      </c>
      <c r="D123" s="113" t="s">
        <v>524</v>
      </c>
      <c r="E123" s="113" t="str">
        <f t="shared" si="4"/>
        <v/>
      </c>
      <c r="F123" s="118">
        <v>0</v>
      </c>
      <c r="G123" s="118">
        <v>0</v>
      </c>
      <c r="H123" s="118">
        <v>0</v>
      </c>
      <c r="I123" s="118">
        <v>0</v>
      </c>
      <c r="J123" s="118">
        <v>0</v>
      </c>
      <c r="K123" s="118">
        <v>0</v>
      </c>
      <c r="L123" s="118">
        <v>0</v>
      </c>
      <c r="M123" s="118">
        <v>0</v>
      </c>
      <c r="N123" s="118">
        <v>0</v>
      </c>
      <c r="O123" s="118">
        <v>0</v>
      </c>
      <c r="P123" s="118">
        <v>0</v>
      </c>
      <c r="Q123" s="118">
        <v>0</v>
      </c>
      <c r="R123" s="118">
        <v>0</v>
      </c>
      <c r="S123" s="118">
        <f t="shared" si="13"/>
        <v>0</v>
      </c>
      <c r="T123" s="118">
        <f t="shared" si="5"/>
        <v>0</v>
      </c>
    </row>
    <row r="124" spans="1:20">
      <c r="A124" s="118" t="str">
        <f t="shared" si="11"/>
        <v>LGE</v>
      </c>
      <c r="B124" s="118" t="s">
        <v>545</v>
      </c>
      <c r="C124" s="118" t="str">
        <f t="shared" si="12"/>
        <v>357</v>
      </c>
      <c r="D124" s="113" t="s">
        <v>525</v>
      </c>
      <c r="E124" s="113" t="str">
        <f t="shared" si="4"/>
        <v/>
      </c>
      <c r="F124" s="118">
        <v>296.27730000000003</v>
      </c>
      <c r="G124" s="118">
        <v>283.45454999999998</v>
      </c>
      <c r="H124" s="118">
        <v>274.020749999999</v>
      </c>
      <c r="I124" s="118">
        <v>172.36837</v>
      </c>
      <c r="J124" s="118">
        <v>96.157549999999901</v>
      </c>
      <c r="K124" s="118">
        <v>159.70629</v>
      </c>
      <c r="L124" s="118">
        <v>1884.49845</v>
      </c>
      <c r="M124" s="118">
        <v>-0.25</v>
      </c>
      <c r="N124" s="118">
        <v>3.30023</v>
      </c>
      <c r="O124" s="118">
        <v>36.199100000000001</v>
      </c>
      <c r="P124" s="118">
        <v>95.331770000000006</v>
      </c>
      <c r="Q124" s="118">
        <v>232.36133000000001</v>
      </c>
      <c r="R124" s="118">
        <v>261.36437000000001</v>
      </c>
      <c r="S124" s="118">
        <f t="shared" si="13"/>
        <v>3498.5127599999987</v>
      </c>
      <c r="T124" s="118">
        <f t="shared" si="5"/>
        <v>291.90692769230759</v>
      </c>
    </row>
    <row r="125" spans="1:20">
      <c r="A125" s="118" t="str">
        <f t="shared" si="11"/>
        <v>LGE</v>
      </c>
      <c r="B125" s="118" t="s">
        <v>545</v>
      </c>
      <c r="C125" s="118" t="str">
        <f t="shared" si="12"/>
        <v>367</v>
      </c>
      <c r="D125" s="113" t="s">
        <v>528</v>
      </c>
      <c r="E125" s="113" t="str">
        <f t="shared" si="4"/>
        <v/>
      </c>
      <c r="F125" s="118">
        <v>27.36</v>
      </c>
      <c r="G125" s="118">
        <v>2.94204</v>
      </c>
      <c r="H125" s="118">
        <v>0</v>
      </c>
      <c r="I125" s="118">
        <v>0</v>
      </c>
      <c r="J125" s="118">
        <v>0</v>
      </c>
      <c r="K125" s="118">
        <v>0</v>
      </c>
      <c r="L125" s="118">
        <v>-0.23991000000000001</v>
      </c>
      <c r="M125" s="118">
        <v>0</v>
      </c>
      <c r="N125" s="118">
        <v>0</v>
      </c>
      <c r="O125" s="118">
        <v>0</v>
      </c>
      <c r="P125" s="118">
        <v>0</v>
      </c>
      <c r="Q125" s="118">
        <v>0</v>
      </c>
      <c r="R125" s="118">
        <v>28.5</v>
      </c>
      <c r="S125" s="118">
        <f t="shared" si="13"/>
        <v>31.20213</v>
      </c>
      <c r="T125" s="118">
        <f t="shared" si="5"/>
        <v>4.5047792307692305</v>
      </c>
    </row>
    <row r="126" spans="1:20">
      <c r="A126" s="118" t="str">
        <f t="shared" si="11"/>
        <v>LGE</v>
      </c>
      <c r="B126" s="118" t="s">
        <v>545</v>
      </c>
      <c r="C126" s="118" t="str">
        <f t="shared" si="12"/>
        <v>375</v>
      </c>
      <c r="D126" s="113" t="s">
        <v>530</v>
      </c>
      <c r="E126" s="113" t="str">
        <f t="shared" si="4"/>
        <v/>
      </c>
      <c r="F126" s="118">
        <v>0</v>
      </c>
      <c r="G126" s="118">
        <v>0</v>
      </c>
      <c r="H126" s="118">
        <v>0</v>
      </c>
      <c r="I126" s="118">
        <v>0</v>
      </c>
      <c r="J126" s="118">
        <v>0</v>
      </c>
      <c r="K126" s="118">
        <v>0</v>
      </c>
      <c r="L126" s="118">
        <v>0</v>
      </c>
      <c r="M126" s="118">
        <v>0</v>
      </c>
      <c r="N126" s="118">
        <v>0</v>
      </c>
      <c r="O126" s="118">
        <v>0</v>
      </c>
      <c r="P126" s="118">
        <v>0</v>
      </c>
      <c r="Q126" s="118">
        <v>0</v>
      </c>
      <c r="R126" s="118">
        <v>0</v>
      </c>
      <c r="S126" s="118">
        <f t="shared" si="13"/>
        <v>0</v>
      </c>
      <c r="T126" s="118">
        <f t="shared" si="5"/>
        <v>0</v>
      </c>
    </row>
    <row r="127" spans="1:20">
      <c r="A127" s="118" t="str">
        <f t="shared" si="11"/>
        <v>LGE</v>
      </c>
      <c r="B127" s="118" t="s">
        <v>545</v>
      </c>
      <c r="C127" s="118" t="str">
        <f t="shared" si="12"/>
        <v>376</v>
      </c>
      <c r="D127" s="113" t="s">
        <v>531</v>
      </c>
      <c r="E127" s="113" t="str">
        <f t="shared" si="4"/>
        <v/>
      </c>
      <c r="F127" s="118">
        <v>1039.8622</v>
      </c>
      <c r="G127" s="118">
        <v>382.43171999999998</v>
      </c>
      <c r="H127" s="118">
        <v>863.39379999999903</v>
      </c>
      <c r="I127" s="118">
        <v>530.16534000000001</v>
      </c>
      <c r="J127" s="118">
        <v>459.83679000000001</v>
      </c>
      <c r="K127" s="118">
        <v>457.801009999999</v>
      </c>
      <c r="L127" s="118">
        <v>1503.45983</v>
      </c>
      <c r="M127" s="118">
        <v>337.376679999999</v>
      </c>
      <c r="N127" s="118">
        <v>360.18180999999998</v>
      </c>
      <c r="O127" s="118">
        <v>396.49894</v>
      </c>
      <c r="P127" s="118">
        <v>389.60075999999998</v>
      </c>
      <c r="Q127" s="118">
        <v>480.26010000000002</v>
      </c>
      <c r="R127" s="118">
        <v>482.30031999999898</v>
      </c>
      <c r="S127" s="118">
        <f t="shared" si="13"/>
        <v>6643.3070999999973</v>
      </c>
      <c r="T127" s="118">
        <f t="shared" si="5"/>
        <v>591.01302307692288</v>
      </c>
    </row>
    <row r="128" spans="1:20">
      <c r="A128" s="118" t="str">
        <f t="shared" si="11"/>
        <v>LGE</v>
      </c>
      <c r="B128" s="118" t="s">
        <v>545</v>
      </c>
      <c r="C128" s="118" t="str">
        <f t="shared" si="12"/>
        <v>376</v>
      </c>
      <c r="D128" s="113" t="s">
        <v>532</v>
      </c>
      <c r="E128" s="113" t="str">
        <f t="shared" si="4"/>
        <v>GLT</v>
      </c>
      <c r="F128" s="118">
        <v>1426.6656599999999</v>
      </c>
      <c r="G128" s="118">
        <v>1522.7314699999999</v>
      </c>
      <c r="H128" s="118">
        <v>1551.0302899999999</v>
      </c>
      <c r="I128" s="118">
        <v>1372.5519999999999</v>
      </c>
      <c r="J128" s="118">
        <v>1143.96948</v>
      </c>
      <c r="K128" s="118">
        <v>982.43745000000001</v>
      </c>
      <c r="L128" s="118">
        <v>907.97932000000003</v>
      </c>
      <c r="M128" s="118">
        <v>766.68927999999903</v>
      </c>
      <c r="N128" s="118">
        <v>762.38494000000003</v>
      </c>
      <c r="O128" s="118">
        <v>775.62180000000001</v>
      </c>
      <c r="P128" s="118">
        <v>759.12555999999995</v>
      </c>
      <c r="Q128" s="118">
        <v>771.84587999999997</v>
      </c>
      <c r="R128" s="118">
        <v>761.77332000000001</v>
      </c>
      <c r="S128" s="118">
        <f t="shared" si="13"/>
        <v>12078.140790000001</v>
      </c>
      <c r="T128" s="118">
        <f t="shared" si="5"/>
        <v>1038.8312653846153</v>
      </c>
    </row>
    <row r="129" spans="1:20">
      <c r="A129" s="118" t="str">
        <f t="shared" si="11"/>
        <v>LGE</v>
      </c>
      <c r="B129" s="118" t="s">
        <v>545</v>
      </c>
      <c r="C129" s="118" t="str">
        <f t="shared" si="12"/>
        <v>378</v>
      </c>
      <c r="D129" s="113" t="s">
        <v>533</v>
      </c>
      <c r="E129" s="113" t="str">
        <f t="shared" si="4"/>
        <v/>
      </c>
      <c r="F129" s="118">
        <v>142.02186</v>
      </c>
      <c r="G129" s="118">
        <v>301.49858</v>
      </c>
      <c r="H129" s="118">
        <v>144.17858000000001</v>
      </c>
      <c r="I129" s="118">
        <v>169.09881999999999</v>
      </c>
      <c r="J129" s="118">
        <v>65.51858</v>
      </c>
      <c r="K129" s="118">
        <v>55.381860000000003</v>
      </c>
      <c r="L129" s="118">
        <v>48.773440000000001</v>
      </c>
      <c r="M129" s="118">
        <v>0</v>
      </c>
      <c r="N129" s="118">
        <v>11.4</v>
      </c>
      <c r="O129" s="118">
        <v>77.375579999999999</v>
      </c>
      <c r="P129" s="118">
        <v>83.075580000000002</v>
      </c>
      <c r="Q129" s="118">
        <v>139.93116000000001</v>
      </c>
      <c r="R129" s="118">
        <v>142.06559999999999</v>
      </c>
      <c r="S129" s="118">
        <f t="shared" si="13"/>
        <v>1238.2977800000001</v>
      </c>
      <c r="T129" s="118">
        <f t="shared" si="5"/>
        <v>106.17843384615384</v>
      </c>
    </row>
    <row r="130" spans="1:20">
      <c r="A130" s="118" t="str">
        <f t="shared" si="11"/>
        <v>LGE</v>
      </c>
      <c r="B130" s="118" t="s">
        <v>545</v>
      </c>
      <c r="C130" s="118" t="str">
        <f t="shared" si="12"/>
        <v>379</v>
      </c>
      <c r="D130" s="113" t="s">
        <v>534</v>
      </c>
      <c r="E130" s="113" t="str">
        <f t="shared" si="4"/>
        <v/>
      </c>
      <c r="F130" s="118">
        <v>110.872019999999</v>
      </c>
      <c r="G130" s="118">
        <v>65.836960000000005</v>
      </c>
      <c r="H130" s="118">
        <v>47.756720000000001</v>
      </c>
      <c r="I130" s="118">
        <v>22.640239999999999</v>
      </c>
      <c r="J130" s="118">
        <v>11.24024</v>
      </c>
      <c r="K130" s="118">
        <v>0</v>
      </c>
      <c r="L130" s="118">
        <v>98.563599999999994</v>
      </c>
      <c r="M130" s="118">
        <v>0</v>
      </c>
      <c r="N130" s="118">
        <v>0</v>
      </c>
      <c r="O130" s="118">
        <v>0</v>
      </c>
      <c r="P130" s="118">
        <v>0</v>
      </c>
      <c r="Q130" s="118">
        <v>24.935580000000002</v>
      </c>
      <c r="R130" s="118">
        <v>73.442880000000002</v>
      </c>
      <c r="S130" s="118">
        <f t="shared" si="13"/>
        <v>344.41622000000001</v>
      </c>
      <c r="T130" s="118">
        <f t="shared" si="5"/>
        <v>35.02217230769223</v>
      </c>
    </row>
    <row r="131" spans="1:20">
      <c r="A131" s="118" t="str">
        <f t="shared" si="11"/>
        <v>LGE</v>
      </c>
      <c r="B131" s="118" t="s">
        <v>545</v>
      </c>
      <c r="C131" s="118" t="str">
        <f t="shared" si="12"/>
        <v>380</v>
      </c>
      <c r="D131" s="113" t="s">
        <v>535</v>
      </c>
      <c r="E131" s="113" t="str">
        <f t="shared" si="4"/>
        <v/>
      </c>
      <c r="F131" s="118">
        <v>141.72478000000001</v>
      </c>
      <c r="G131" s="118">
        <v>304.61378000000002</v>
      </c>
      <c r="H131" s="118">
        <v>211.01199</v>
      </c>
      <c r="I131" s="118">
        <v>3104.5300299999999</v>
      </c>
      <c r="J131" s="118">
        <v>147.77745999999999</v>
      </c>
      <c r="K131" s="118">
        <v>143.32884999999999</v>
      </c>
      <c r="L131" s="118">
        <v>129.83606</v>
      </c>
      <c r="M131" s="118">
        <v>159.08597</v>
      </c>
      <c r="N131" s="118">
        <v>135.34654999999901</v>
      </c>
      <c r="O131" s="118">
        <v>148.12752</v>
      </c>
      <c r="P131" s="118">
        <v>141.89088000000001</v>
      </c>
      <c r="Q131" s="118">
        <v>155.47055</v>
      </c>
      <c r="R131" s="118">
        <v>139.74351999999999</v>
      </c>
      <c r="S131" s="118">
        <f t="shared" si="13"/>
        <v>4920.7631599999986</v>
      </c>
      <c r="T131" s="118">
        <f t="shared" si="5"/>
        <v>389.42214923076915</v>
      </c>
    </row>
    <row r="132" spans="1:20">
      <c r="A132" s="118" t="str">
        <f t="shared" si="11"/>
        <v>LGE</v>
      </c>
      <c r="B132" s="118" t="s">
        <v>545</v>
      </c>
      <c r="C132" s="118" t="str">
        <f t="shared" si="12"/>
        <v>380</v>
      </c>
      <c r="D132" s="113" t="s">
        <v>536</v>
      </c>
      <c r="E132" s="113" t="str">
        <f t="shared" si="4"/>
        <v>GLT</v>
      </c>
      <c r="F132" s="118">
        <v>2953.5645399999999</v>
      </c>
      <c r="G132" s="118">
        <v>2840.4236599999999</v>
      </c>
      <c r="H132" s="118">
        <v>3187.3084199999898</v>
      </c>
      <c r="I132" s="118">
        <v>2905.4913699999902</v>
      </c>
      <c r="J132" s="118">
        <v>3125.0771199999999</v>
      </c>
      <c r="K132" s="118">
        <v>2915.9146299999902</v>
      </c>
      <c r="L132" s="118">
        <v>2482.05143</v>
      </c>
      <c r="M132" s="118">
        <v>781.80291999999997</v>
      </c>
      <c r="N132" s="118">
        <v>661.64640999999995</v>
      </c>
      <c r="O132" s="118">
        <v>728.59614999999997</v>
      </c>
      <c r="P132" s="118">
        <v>696.82631000000003</v>
      </c>
      <c r="Q132" s="118">
        <v>779.81569999999999</v>
      </c>
      <c r="R132" s="118">
        <v>714.90581999999995</v>
      </c>
      <c r="S132" s="118">
        <f t="shared" si="13"/>
        <v>21819.859939999969</v>
      </c>
      <c r="T132" s="118">
        <f t="shared" si="5"/>
        <v>1905.6480369230744</v>
      </c>
    </row>
    <row r="133" spans="1:20">
      <c r="A133" s="118" t="str">
        <f t="shared" si="11"/>
        <v>LGE</v>
      </c>
      <c r="B133" s="118" t="s">
        <v>545</v>
      </c>
      <c r="C133" s="118" t="str">
        <f t="shared" si="12"/>
        <v>381</v>
      </c>
      <c r="D133" s="113" t="s">
        <v>537</v>
      </c>
      <c r="E133" s="113" t="str">
        <f t="shared" si="4"/>
        <v/>
      </c>
      <c r="F133" s="118">
        <v>211.27966000000001</v>
      </c>
      <c r="G133" s="118">
        <v>465.18466999999998</v>
      </c>
      <c r="H133" s="118">
        <v>116.01166000000001</v>
      </c>
      <c r="I133" s="118">
        <v>215.33611999999999</v>
      </c>
      <c r="J133" s="118">
        <v>1083.0355300000001</v>
      </c>
      <c r="K133" s="118">
        <v>1114.30997</v>
      </c>
      <c r="L133" s="118">
        <v>1021.77696</v>
      </c>
      <c r="M133" s="118">
        <v>1205.91599</v>
      </c>
      <c r="N133" s="118">
        <v>1537.85438</v>
      </c>
      <c r="O133" s="118">
        <v>1379.1037899999999</v>
      </c>
      <c r="P133" s="118">
        <v>1505.2817299999999</v>
      </c>
      <c r="Q133" s="118">
        <v>1260.0824</v>
      </c>
      <c r="R133" s="118">
        <v>1296.20162</v>
      </c>
      <c r="S133" s="118">
        <f t="shared" si="13"/>
        <v>12200.09482</v>
      </c>
      <c r="T133" s="118">
        <f t="shared" si="5"/>
        <v>954.72111384615391</v>
      </c>
    </row>
    <row r="134" spans="1:20">
      <c r="A134" s="118" t="str">
        <f t="shared" si="11"/>
        <v>LGE</v>
      </c>
      <c r="B134" s="118" t="s">
        <v>545</v>
      </c>
      <c r="C134" s="118" t="str">
        <f t="shared" si="12"/>
        <v>385</v>
      </c>
      <c r="D134" s="113" t="s">
        <v>539</v>
      </c>
      <c r="E134" s="113" t="str">
        <f t="shared" ref="E134:E197" si="14">IF(ISTEXT(MID($D134,SEARCH("FUTURE USE",$D134),3)),"FUTURE USE",IF(ISTEXT(MID($D134,SEARCH("GLT",$D134),3)),"GLT",IF(ISTEXT(MID($D134,SEARCH("ARO",$D134),3)),"ARO",IF(ISTEXT(MID($D134,SEARCH("DSM",$D134),3)),"DSM",""))))</f>
        <v/>
      </c>
      <c r="F134" s="118">
        <v>86.320480000000003</v>
      </c>
      <c r="G134" s="118">
        <v>93.983239999999995</v>
      </c>
      <c r="H134" s="118">
        <v>191.22558000000001</v>
      </c>
      <c r="I134" s="118">
        <v>61.241619999999998</v>
      </c>
      <c r="J134" s="118">
        <v>81.760480000000001</v>
      </c>
      <c r="K134" s="118">
        <v>86.161860000000004</v>
      </c>
      <c r="L134" s="118">
        <v>70.680000000000007</v>
      </c>
      <c r="M134" s="118">
        <v>0</v>
      </c>
      <c r="N134" s="118">
        <v>0</v>
      </c>
      <c r="O134" s="118">
        <v>45.6</v>
      </c>
      <c r="P134" s="118">
        <v>45.6</v>
      </c>
      <c r="Q134" s="118">
        <v>58.990020000000001</v>
      </c>
      <c r="R134" s="118">
        <v>88.631159999999994</v>
      </c>
      <c r="S134" s="118">
        <f t="shared" si="13"/>
        <v>823.87396000000001</v>
      </c>
      <c r="T134" s="118">
        <f t="shared" ref="T134:T197" si="15">SUM(F134:R134)/13</f>
        <v>70.014956923076937</v>
      </c>
    </row>
    <row r="135" spans="1:20">
      <c r="A135" s="118" t="str">
        <f t="shared" si="11"/>
        <v>LGE</v>
      </c>
      <c r="B135" s="118" t="s">
        <v>545</v>
      </c>
      <c r="C135" s="118" t="str">
        <f t="shared" si="12"/>
        <v>387</v>
      </c>
      <c r="D135" s="113" t="s">
        <v>540</v>
      </c>
      <c r="E135" s="113" t="str">
        <f t="shared" si="14"/>
        <v/>
      </c>
      <c r="F135" s="118">
        <v>114</v>
      </c>
      <c r="G135" s="118">
        <v>142.5</v>
      </c>
      <c r="H135" s="118">
        <v>93.48</v>
      </c>
      <c r="I135" s="118">
        <v>1032.3468800000001</v>
      </c>
      <c r="J135" s="118">
        <v>239.4</v>
      </c>
      <c r="K135" s="118">
        <v>229.14</v>
      </c>
      <c r="L135" s="118">
        <v>278.68259999999998</v>
      </c>
      <c r="M135" s="118">
        <v>0</v>
      </c>
      <c r="N135" s="118">
        <v>0</v>
      </c>
      <c r="O135" s="118">
        <v>0</v>
      </c>
      <c r="P135" s="118">
        <v>0</v>
      </c>
      <c r="Q135" s="118">
        <v>0</v>
      </c>
      <c r="R135" s="118">
        <v>114</v>
      </c>
      <c r="S135" s="118">
        <f t="shared" si="13"/>
        <v>2129.5494800000001</v>
      </c>
      <c r="T135" s="118">
        <f t="shared" si="15"/>
        <v>172.58072923076924</v>
      </c>
    </row>
    <row r="136" spans="1:20">
      <c r="A136" s="118" t="str">
        <f t="shared" si="11"/>
        <v>LGE</v>
      </c>
      <c r="B136" s="118" t="s">
        <v>545</v>
      </c>
      <c r="C136" s="118" t="str">
        <f t="shared" si="12"/>
        <v>392</v>
      </c>
      <c r="D136" s="113" t="s">
        <v>1327</v>
      </c>
      <c r="E136" s="113" t="str">
        <f t="shared" si="14"/>
        <v/>
      </c>
      <c r="F136" s="118">
        <v>0</v>
      </c>
      <c r="G136" s="118">
        <v>70.000100000000003</v>
      </c>
      <c r="H136" s="118">
        <v>0</v>
      </c>
      <c r="I136" s="118">
        <v>0</v>
      </c>
      <c r="J136" s="118">
        <v>0</v>
      </c>
      <c r="K136" s="118">
        <v>0</v>
      </c>
      <c r="L136" s="118">
        <v>0</v>
      </c>
      <c r="M136" s="118">
        <v>0</v>
      </c>
      <c r="N136" s="118">
        <v>0</v>
      </c>
      <c r="O136" s="118">
        <v>0</v>
      </c>
      <c r="P136" s="118">
        <v>331.74</v>
      </c>
      <c r="Q136" s="118">
        <v>0</v>
      </c>
      <c r="R136" s="118">
        <v>0</v>
      </c>
      <c r="S136" s="118">
        <f t="shared" si="13"/>
        <v>401.74009999999998</v>
      </c>
      <c r="T136" s="118">
        <f t="shared" si="15"/>
        <v>30.903084615384614</v>
      </c>
    </row>
    <row r="137" spans="1:20">
      <c r="A137" s="118" t="str">
        <f t="shared" si="11"/>
        <v>LGE</v>
      </c>
      <c r="B137" s="118" t="s">
        <v>545</v>
      </c>
      <c r="C137" s="118" t="str">
        <f t="shared" si="12"/>
        <v>392</v>
      </c>
      <c r="D137" s="113" t="s">
        <v>542</v>
      </c>
      <c r="E137" s="113" t="str">
        <f t="shared" si="14"/>
        <v/>
      </c>
      <c r="F137" s="118">
        <v>0</v>
      </c>
      <c r="G137" s="118">
        <v>0</v>
      </c>
      <c r="H137" s="118">
        <v>0</v>
      </c>
      <c r="I137" s="118">
        <v>0</v>
      </c>
      <c r="J137" s="118">
        <v>0</v>
      </c>
      <c r="K137" s="118">
        <v>0</v>
      </c>
      <c r="L137" s="118">
        <v>0</v>
      </c>
      <c r="M137" s="118">
        <v>0</v>
      </c>
      <c r="N137" s="118">
        <v>0</v>
      </c>
      <c r="O137" s="118">
        <v>0</v>
      </c>
      <c r="P137" s="118">
        <v>25.08</v>
      </c>
      <c r="Q137" s="118">
        <v>0</v>
      </c>
      <c r="R137" s="118">
        <v>0</v>
      </c>
      <c r="S137" s="118">
        <f t="shared" si="13"/>
        <v>25.08</v>
      </c>
      <c r="T137" s="118">
        <f t="shared" si="15"/>
        <v>1.9292307692307691</v>
      </c>
    </row>
    <row r="138" spans="1:20">
      <c r="A138" s="118" t="str">
        <f t="shared" si="11"/>
        <v>LGE</v>
      </c>
      <c r="B138" s="118" t="s">
        <v>545</v>
      </c>
      <c r="C138" s="118" t="str">
        <f t="shared" si="12"/>
        <v>394</v>
      </c>
      <c r="D138" s="113" t="s">
        <v>543</v>
      </c>
      <c r="E138" s="113" t="str">
        <f t="shared" si="14"/>
        <v/>
      </c>
      <c r="F138" s="118">
        <v>72.39</v>
      </c>
      <c r="G138" s="118">
        <v>29.64</v>
      </c>
      <c r="H138" s="118">
        <v>0</v>
      </c>
      <c r="I138" s="118">
        <v>0</v>
      </c>
      <c r="J138" s="118">
        <v>0</v>
      </c>
      <c r="K138" s="118">
        <v>129.96</v>
      </c>
      <c r="L138" s="118">
        <v>98.04</v>
      </c>
      <c r="M138" s="118">
        <v>0</v>
      </c>
      <c r="N138" s="118">
        <v>0</v>
      </c>
      <c r="O138" s="118">
        <v>0</v>
      </c>
      <c r="P138" s="118">
        <v>0</v>
      </c>
      <c r="Q138" s="118">
        <v>0</v>
      </c>
      <c r="R138" s="118">
        <v>53.58</v>
      </c>
      <c r="S138" s="118">
        <f t="shared" si="13"/>
        <v>311.22000000000003</v>
      </c>
      <c r="T138" s="118">
        <f t="shared" si="15"/>
        <v>29.508461538461539</v>
      </c>
    </row>
    <row r="139" spans="1:20">
      <c r="A139" s="118" t="str">
        <f t="shared" si="11"/>
        <v>LGE</v>
      </c>
      <c r="B139" s="118" t="s">
        <v>545</v>
      </c>
      <c r="C139" s="118" t="str">
        <f t="shared" si="12"/>
        <v>396</v>
      </c>
      <c r="D139" s="113" t="s">
        <v>544</v>
      </c>
      <c r="E139" s="113" t="str">
        <f t="shared" si="14"/>
        <v/>
      </c>
      <c r="F139" s="118">
        <v>0</v>
      </c>
      <c r="G139" s="118">
        <v>0</v>
      </c>
      <c r="H139" s="118">
        <v>0</v>
      </c>
      <c r="I139" s="118">
        <v>0</v>
      </c>
      <c r="J139" s="118">
        <v>0</v>
      </c>
      <c r="K139" s="118">
        <v>0</v>
      </c>
      <c r="L139" s="118">
        <v>0</v>
      </c>
      <c r="M139" s="118">
        <v>0</v>
      </c>
      <c r="N139" s="118">
        <v>0</v>
      </c>
      <c r="O139" s="118">
        <v>0</v>
      </c>
      <c r="P139" s="118">
        <v>0</v>
      </c>
      <c r="Q139" s="118">
        <v>0</v>
      </c>
      <c r="R139" s="118">
        <v>0</v>
      </c>
      <c r="S139" s="118">
        <f t="shared" si="13"/>
        <v>0</v>
      </c>
      <c r="T139" s="118">
        <f t="shared" si="15"/>
        <v>0</v>
      </c>
    </row>
    <row r="140" spans="1:20">
      <c r="A140" s="118" t="str">
        <f t="shared" si="11"/>
        <v>LGE</v>
      </c>
      <c r="B140" s="118" t="s">
        <v>545</v>
      </c>
      <c r="C140" s="118" t="str">
        <f t="shared" si="12"/>
        <v>396</v>
      </c>
      <c r="D140" s="113" t="s">
        <v>1328</v>
      </c>
      <c r="E140" s="113" t="str">
        <f t="shared" si="14"/>
        <v/>
      </c>
      <c r="F140" s="118">
        <v>0</v>
      </c>
      <c r="G140" s="118">
        <v>0</v>
      </c>
      <c r="H140" s="118">
        <v>0</v>
      </c>
      <c r="I140" s="118">
        <v>0</v>
      </c>
      <c r="J140" s="118">
        <v>0</v>
      </c>
      <c r="K140" s="118">
        <v>0</v>
      </c>
      <c r="L140" s="118">
        <v>0</v>
      </c>
      <c r="M140" s="118">
        <v>0</v>
      </c>
      <c r="N140" s="118">
        <v>0</v>
      </c>
      <c r="O140" s="118">
        <v>0</v>
      </c>
      <c r="P140" s="118">
        <v>0</v>
      </c>
      <c r="Q140" s="118">
        <v>0</v>
      </c>
      <c r="R140" s="118">
        <v>0</v>
      </c>
      <c r="S140" s="118">
        <f t="shared" si="13"/>
        <v>0</v>
      </c>
      <c r="T140" s="118">
        <f t="shared" si="15"/>
        <v>0</v>
      </c>
    </row>
    <row r="141" spans="1:20">
      <c r="E141" s="113"/>
    </row>
    <row r="142" spans="1:20">
      <c r="E142" s="113"/>
    </row>
    <row r="143" spans="1:20">
      <c r="E143" s="113"/>
    </row>
    <row r="144" spans="1:20">
      <c r="E144" s="113"/>
    </row>
    <row r="145" spans="5:20">
      <c r="E145" s="113" t="str">
        <f t="shared" si="14"/>
        <v/>
      </c>
      <c r="T145" s="118">
        <f t="shared" si="15"/>
        <v>0</v>
      </c>
    </row>
    <row r="146" spans="5:20">
      <c r="E146" s="113" t="str">
        <f t="shared" si="14"/>
        <v/>
      </c>
      <c r="T146" s="118">
        <f t="shared" si="15"/>
        <v>0</v>
      </c>
    </row>
    <row r="147" spans="5:20">
      <c r="E147" s="113" t="str">
        <f t="shared" si="14"/>
        <v/>
      </c>
      <c r="T147" s="118">
        <f t="shared" si="15"/>
        <v>0</v>
      </c>
    </row>
    <row r="148" spans="5:20">
      <c r="E148" s="113" t="str">
        <f t="shared" si="14"/>
        <v/>
      </c>
      <c r="T148" s="118">
        <f t="shared" si="15"/>
        <v>0</v>
      </c>
    </row>
    <row r="149" spans="5:20">
      <c r="E149" s="113" t="str">
        <f t="shared" si="14"/>
        <v/>
      </c>
      <c r="T149" s="118">
        <f t="shared" si="15"/>
        <v>0</v>
      </c>
    </row>
    <row r="150" spans="5:20">
      <c r="E150" s="113" t="str">
        <f t="shared" si="14"/>
        <v/>
      </c>
      <c r="T150" s="118">
        <f t="shared" si="15"/>
        <v>0</v>
      </c>
    </row>
    <row r="151" spans="5:20">
      <c r="E151" s="113" t="str">
        <f t="shared" si="14"/>
        <v/>
      </c>
      <c r="T151" s="118">
        <f t="shared" si="15"/>
        <v>0</v>
      </c>
    </row>
    <row r="152" spans="5:20">
      <c r="E152" s="113" t="str">
        <f t="shared" si="14"/>
        <v/>
      </c>
      <c r="T152" s="118">
        <f t="shared" si="15"/>
        <v>0</v>
      </c>
    </row>
    <row r="153" spans="5:20">
      <c r="E153" s="113" t="str">
        <f t="shared" si="14"/>
        <v/>
      </c>
      <c r="T153" s="118">
        <f t="shared" si="15"/>
        <v>0</v>
      </c>
    </row>
    <row r="154" spans="5:20">
      <c r="E154" s="113" t="str">
        <f t="shared" si="14"/>
        <v/>
      </c>
      <c r="T154" s="118">
        <f t="shared" si="15"/>
        <v>0</v>
      </c>
    </row>
    <row r="155" spans="5:20">
      <c r="E155" s="113" t="str">
        <f t="shared" si="14"/>
        <v/>
      </c>
      <c r="T155" s="118">
        <f t="shared" si="15"/>
        <v>0</v>
      </c>
    </row>
    <row r="156" spans="5:20">
      <c r="E156" s="113" t="str">
        <f t="shared" si="14"/>
        <v/>
      </c>
      <c r="T156" s="118">
        <f t="shared" si="15"/>
        <v>0</v>
      </c>
    </row>
    <row r="157" spans="5:20">
      <c r="E157" s="113" t="str">
        <f t="shared" si="14"/>
        <v/>
      </c>
      <c r="T157" s="118">
        <f t="shared" si="15"/>
        <v>0</v>
      </c>
    </row>
    <row r="158" spans="5:20">
      <c r="E158" s="113" t="str">
        <f t="shared" si="14"/>
        <v/>
      </c>
      <c r="T158" s="118">
        <f t="shared" si="15"/>
        <v>0</v>
      </c>
    </row>
    <row r="159" spans="5:20">
      <c r="E159" s="113" t="str">
        <f t="shared" si="14"/>
        <v/>
      </c>
      <c r="T159" s="118">
        <f t="shared" si="15"/>
        <v>0</v>
      </c>
    </row>
    <row r="160" spans="5:20">
      <c r="E160" s="113" t="str">
        <f t="shared" si="14"/>
        <v/>
      </c>
      <c r="T160" s="118">
        <f t="shared" si="15"/>
        <v>0</v>
      </c>
    </row>
    <row r="161" spans="1:20">
      <c r="E161" s="113" t="str">
        <f t="shared" si="14"/>
        <v/>
      </c>
      <c r="T161" s="118">
        <f t="shared" si="15"/>
        <v>0</v>
      </c>
    </row>
    <row r="162" spans="1:20">
      <c r="E162" s="113" t="str">
        <f t="shared" si="14"/>
        <v/>
      </c>
      <c r="T162" s="118">
        <f t="shared" si="15"/>
        <v>0</v>
      </c>
    </row>
    <row r="163" spans="1:20">
      <c r="E163" s="113" t="str">
        <f t="shared" si="14"/>
        <v/>
      </c>
      <c r="T163" s="118">
        <f t="shared" si="15"/>
        <v>0</v>
      </c>
    </row>
    <row r="164" spans="1:20">
      <c r="E164" s="113" t="str">
        <f t="shared" si="14"/>
        <v/>
      </c>
      <c r="T164" s="118">
        <f t="shared" si="15"/>
        <v>0</v>
      </c>
    </row>
    <row r="165" spans="1:20">
      <c r="E165" s="113" t="str">
        <f t="shared" si="14"/>
        <v/>
      </c>
      <c r="T165" s="118">
        <f t="shared" si="15"/>
        <v>0</v>
      </c>
    </row>
    <row r="166" spans="1:20">
      <c r="E166" s="113" t="str">
        <f t="shared" si="14"/>
        <v/>
      </c>
      <c r="S166" s="118">
        <f t="shared" si="13"/>
        <v>0</v>
      </c>
      <c r="T166" s="118">
        <f t="shared" si="15"/>
        <v>0</v>
      </c>
    </row>
    <row r="167" spans="1:20">
      <c r="D167" s="113" t="s">
        <v>451</v>
      </c>
      <c r="E167" s="113" t="str">
        <f t="shared" si="14"/>
        <v/>
      </c>
      <c r="S167" s="118">
        <f t="shared" si="13"/>
        <v>0</v>
      </c>
      <c r="T167" s="118">
        <f t="shared" si="15"/>
        <v>0</v>
      </c>
    </row>
    <row r="168" spans="1:20">
      <c r="A168" s="118" t="str">
        <f t="shared" ref="A168:A177" si="16">MID($D168,4,3)</f>
        <v>LGE</v>
      </c>
      <c r="B168" s="118" t="s">
        <v>452</v>
      </c>
      <c r="C168" s="118" t="str">
        <f t="shared" ref="C168:C177" si="17">MID($D168,9,3)</f>
        <v>303</v>
      </c>
      <c r="D168" s="113" t="s">
        <v>437</v>
      </c>
      <c r="E168" s="113" t="str">
        <f t="shared" si="14"/>
        <v/>
      </c>
      <c r="F168" s="118">
        <v>291.323499999999</v>
      </c>
      <c r="G168" s="118">
        <v>1058.2516000000001</v>
      </c>
      <c r="H168" s="118">
        <v>2639.2908299999999</v>
      </c>
      <c r="I168" s="118">
        <v>1559.6999699999999</v>
      </c>
      <c r="J168" s="118">
        <v>612.51796000000002</v>
      </c>
      <c r="K168" s="118">
        <v>911.84315000000004</v>
      </c>
      <c r="L168" s="118">
        <v>1411.37049</v>
      </c>
      <c r="M168" s="118">
        <v>0</v>
      </c>
      <c r="N168" s="118">
        <v>0</v>
      </c>
      <c r="O168" s="118">
        <v>164</v>
      </c>
      <c r="P168" s="118">
        <v>212.50296</v>
      </c>
      <c r="Q168" s="118">
        <v>778.52828999999997</v>
      </c>
      <c r="R168" s="118">
        <v>3653.9567899999902</v>
      </c>
      <c r="S168" s="118">
        <f t="shared" si="13"/>
        <v>13001.962039999991</v>
      </c>
      <c r="T168" s="118">
        <f t="shared" si="15"/>
        <v>1022.5604261538454</v>
      </c>
    </row>
    <row r="169" spans="1:20">
      <c r="A169" s="118" t="str">
        <f t="shared" si="16"/>
        <v>LGE</v>
      </c>
      <c r="B169" s="118" t="s">
        <v>452</v>
      </c>
      <c r="C169" s="118" t="str">
        <f t="shared" si="17"/>
        <v>303</v>
      </c>
      <c r="D169" s="113" t="s">
        <v>438</v>
      </c>
      <c r="E169" s="113" t="str">
        <f t="shared" si="14"/>
        <v/>
      </c>
      <c r="F169" s="118">
        <v>0</v>
      </c>
      <c r="G169" s="118">
        <v>0</v>
      </c>
      <c r="H169" s="118">
        <v>11880.896359999901</v>
      </c>
      <c r="I169" s="118">
        <v>0</v>
      </c>
      <c r="J169" s="118">
        <v>0</v>
      </c>
      <c r="K169" s="118">
        <v>110</v>
      </c>
      <c r="L169" s="118">
        <v>132.00011000000001</v>
      </c>
      <c r="M169" s="118">
        <v>0</v>
      </c>
      <c r="N169" s="118">
        <v>0</v>
      </c>
      <c r="O169" s="118">
        <v>192.5</v>
      </c>
      <c r="P169" s="118">
        <v>27.5</v>
      </c>
      <c r="Q169" s="118">
        <v>0</v>
      </c>
      <c r="R169" s="118">
        <v>0</v>
      </c>
      <c r="S169" s="118">
        <f t="shared" si="13"/>
        <v>12342.896469999901</v>
      </c>
      <c r="T169" s="118">
        <f t="shared" si="15"/>
        <v>949.45357461537708</v>
      </c>
    </row>
    <row r="170" spans="1:20">
      <c r="A170" s="118" t="str">
        <f t="shared" si="16"/>
        <v>LGE</v>
      </c>
      <c r="B170" s="118" t="s">
        <v>452</v>
      </c>
      <c r="C170" s="118" t="str">
        <f t="shared" si="17"/>
        <v>390</v>
      </c>
      <c r="D170" s="113" t="s">
        <v>440</v>
      </c>
      <c r="E170" s="113" t="str">
        <f t="shared" si="14"/>
        <v/>
      </c>
      <c r="F170" s="118">
        <v>84</v>
      </c>
      <c r="G170" s="118">
        <v>50</v>
      </c>
      <c r="H170" s="118">
        <v>0</v>
      </c>
      <c r="I170" s="118">
        <v>0</v>
      </c>
      <c r="J170" s="118">
        <v>10</v>
      </c>
      <c r="K170" s="118">
        <v>102</v>
      </c>
      <c r="L170" s="118">
        <v>556</v>
      </c>
      <c r="M170" s="118">
        <v>0</v>
      </c>
      <c r="N170" s="118">
        <v>0</v>
      </c>
      <c r="O170" s="118">
        <v>0</v>
      </c>
      <c r="P170" s="118">
        <v>65</v>
      </c>
      <c r="Q170" s="118">
        <v>0</v>
      </c>
      <c r="R170" s="118">
        <v>0</v>
      </c>
      <c r="S170" s="118">
        <f t="shared" si="13"/>
        <v>783</v>
      </c>
      <c r="T170" s="118">
        <f t="shared" si="15"/>
        <v>66.692307692307693</v>
      </c>
    </row>
    <row r="171" spans="1:20">
      <c r="A171" s="118" t="str">
        <f t="shared" si="16"/>
        <v>LGE</v>
      </c>
      <c r="B171" s="118" t="s">
        <v>452</v>
      </c>
      <c r="C171" s="118" t="str">
        <f t="shared" si="17"/>
        <v>391</v>
      </c>
      <c r="D171" s="113" t="s">
        <v>441</v>
      </c>
      <c r="E171" s="113" t="str">
        <f t="shared" si="14"/>
        <v/>
      </c>
      <c r="F171" s="118">
        <v>246.46003999999999</v>
      </c>
      <c r="G171" s="118">
        <v>335.41649000000001</v>
      </c>
      <c r="H171" s="118">
        <v>384.61847999999998</v>
      </c>
      <c r="I171" s="118">
        <v>747.64954</v>
      </c>
      <c r="J171" s="118">
        <v>936.50995999999998</v>
      </c>
      <c r="K171" s="118">
        <v>513.92618000000004</v>
      </c>
      <c r="L171" s="118">
        <v>2336.8846800000001</v>
      </c>
      <c r="M171" s="118">
        <v>5.65</v>
      </c>
      <c r="N171" s="118">
        <v>13.56</v>
      </c>
      <c r="O171" s="118">
        <v>141.94999999999999</v>
      </c>
      <c r="P171" s="118">
        <v>419.20337999999998</v>
      </c>
      <c r="Q171" s="118">
        <v>489.22984000000002</v>
      </c>
      <c r="R171" s="118">
        <v>159.45999</v>
      </c>
      <c r="S171" s="118">
        <f t="shared" si="13"/>
        <v>6484.05854</v>
      </c>
      <c r="T171" s="118">
        <f t="shared" si="15"/>
        <v>517.73219846153847</v>
      </c>
    </row>
    <row r="172" spans="1:20">
      <c r="A172" s="118" t="str">
        <f t="shared" si="16"/>
        <v>LGE</v>
      </c>
      <c r="B172" s="118" t="s">
        <v>452</v>
      </c>
      <c r="C172" s="118" t="str">
        <f t="shared" si="17"/>
        <v>393</v>
      </c>
      <c r="D172" s="113" t="s">
        <v>443</v>
      </c>
      <c r="E172" s="113" t="str">
        <f t="shared" si="14"/>
        <v/>
      </c>
      <c r="F172" s="118">
        <v>0</v>
      </c>
      <c r="G172" s="118">
        <v>0</v>
      </c>
      <c r="H172" s="118">
        <v>0</v>
      </c>
      <c r="I172" s="118">
        <v>0</v>
      </c>
      <c r="J172" s="118">
        <v>0</v>
      </c>
      <c r="K172" s="118">
        <v>0</v>
      </c>
      <c r="L172" s="118">
        <v>0</v>
      </c>
      <c r="M172" s="118">
        <v>0</v>
      </c>
      <c r="N172" s="118">
        <v>0</v>
      </c>
      <c r="O172" s="118">
        <v>0</v>
      </c>
      <c r="P172" s="118">
        <v>0</v>
      </c>
      <c r="Q172" s="118">
        <v>0</v>
      </c>
      <c r="R172" s="118">
        <v>0</v>
      </c>
      <c r="S172" s="118">
        <f t="shared" si="13"/>
        <v>0</v>
      </c>
      <c r="T172" s="118">
        <f t="shared" si="15"/>
        <v>0</v>
      </c>
    </row>
    <row r="173" spans="1:20">
      <c r="A173" s="118" t="str">
        <f t="shared" si="16"/>
        <v>LGE</v>
      </c>
      <c r="B173" s="118" t="s">
        <v>452</v>
      </c>
      <c r="C173" s="118" t="str">
        <f t="shared" si="17"/>
        <v>394</v>
      </c>
      <c r="D173" s="113" t="s">
        <v>444</v>
      </c>
      <c r="E173" s="113" t="str">
        <f t="shared" si="14"/>
        <v/>
      </c>
      <c r="F173" s="118">
        <v>0</v>
      </c>
      <c r="G173" s="118">
        <v>0</v>
      </c>
      <c r="H173" s="118">
        <v>35.19</v>
      </c>
      <c r="I173" s="118">
        <v>0</v>
      </c>
      <c r="J173" s="118">
        <v>20</v>
      </c>
      <c r="K173" s="118">
        <v>0</v>
      </c>
      <c r="L173" s="118">
        <v>30</v>
      </c>
      <c r="M173" s="118">
        <v>2.5</v>
      </c>
      <c r="N173" s="118">
        <v>2.5</v>
      </c>
      <c r="O173" s="118">
        <v>2.5</v>
      </c>
      <c r="P173" s="118">
        <v>2.5</v>
      </c>
      <c r="Q173" s="118">
        <v>2.5</v>
      </c>
      <c r="R173" s="118">
        <v>2.5</v>
      </c>
      <c r="S173" s="118">
        <f t="shared" si="13"/>
        <v>100.19</v>
      </c>
      <c r="T173" s="118">
        <f t="shared" si="15"/>
        <v>7.7069230769230765</v>
      </c>
    </row>
    <row r="174" spans="1:20">
      <c r="A174" s="118" t="str">
        <f t="shared" si="16"/>
        <v>LGE</v>
      </c>
      <c r="B174" s="118" t="s">
        <v>452</v>
      </c>
      <c r="C174" s="118" t="str">
        <f t="shared" si="17"/>
        <v>396</v>
      </c>
      <c r="D174" s="113" t="s">
        <v>1330</v>
      </c>
      <c r="E174" s="113" t="str">
        <f t="shared" si="14"/>
        <v/>
      </c>
      <c r="F174" s="118">
        <v>0</v>
      </c>
      <c r="G174" s="118">
        <v>0</v>
      </c>
      <c r="H174" s="118">
        <v>0</v>
      </c>
      <c r="I174" s="118">
        <v>0</v>
      </c>
      <c r="J174" s="118">
        <v>0</v>
      </c>
      <c r="K174" s="118">
        <v>0</v>
      </c>
      <c r="L174" s="118">
        <v>0</v>
      </c>
      <c r="M174" s="118">
        <v>0</v>
      </c>
      <c r="N174" s="118">
        <v>0</v>
      </c>
      <c r="O174" s="118">
        <v>0</v>
      </c>
      <c r="P174" s="118">
        <v>0</v>
      </c>
      <c r="Q174" s="118">
        <v>0</v>
      </c>
      <c r="R174" s="118">
        <v>0</v>
      </c>
      <c r="S174" s="118">
        <f t="shared" si="13"/>
        <v>0</v>
      </c>
      <c r="T174" s="118">
        <f t="shared" si="15"/>
        <v>0</v>
      </c>
    </row>
    <row r="175" spans="1:20">
      <c r="A175" s="118" t="str">
        <f t="shared" si="16"/>
        <v>LGE</v>
      </c>
      <c r="B175" s="118" t="s">
        <v>452</v>
      </c>
      <c r="C175" s="118" t="str">
        <f t="shared" si="17"/>
        <v>397</v>
      </c>
      <c r="D175" s="113" t="s">
        <v>446</v>
      </c>
      <c r="E175" s="113" t="str">
        <f t="shared" si="14"/>
        <v/>
      </c>
      <c r="F175" s="118">
        <v>259.19986</v>
      </c>
      <c r="G175" s="118">
        <v>112.05001</v>
      </c>
      <c r="H175" s="118">
        <v>276.21017999999998</v>
      </c>
      <c r="I175" s="118">
        <v>73.439769999999996</v>
      </c>
      <c r="J175" s="118">
        <v>247.85893999999999</v>
      </c>
      <c r="K175" s="118">
        <v>1198.1378500000001</v>
      </c>
      <c r="L175" s="118">
        <v>63.329979999999999</v>
      </c>
      <c r="M175" s="118">
        <v>0</v>
      </c>
      <c r="N175" s="118">
        <v>0</v>
      </c>
      <c r="O175" s="118">
        <v>0</v>
      </c>
      <c r="P175" s="118">
        <v>0</v>
      </c>
      <c r="Q175" s="118">
        <v>0</v>
      </c>
      <c r="R175" s="118">
        <v>0</v>
      </c>
      <c r="S175" s="118">
        <f t="shared" si="13"/>
        <v>1971.02673</v>
      </c>
      <c r="T175" s="118">
        <f t="shared" si="15"/>
        <v>171.55589153846151</v>
      </c>
    </row>
    <row r="176" spans="1:20">
      <c r="A176" s="118" t="str">
        <f t="shared" si="16"/>
        <v>LGE</v>
      </c>
      <c r="B176" s="118" t="s">
        <v>452</v>
      </c>
      <c r="C176" s="118" t="str">
        <f t="shared" si="17"/>
        <v>397</v>
      </c>
      <c r="D176" s="113" t="s">
        <v>448</v>
      </c>
      <c r="E176" s="113" t="str">
        <f t="shared" si="14"/>
        <v/>
      </c>
      <c r="F176" s="118">
        <v>0</v>
      </c>
      <c r="G176" s="118">
        <v>0</v>
      </c>
      <c r="H176" s="118">
        <v>0</v>
      </c>
      <c r="I176" s="118">
        <v>0</v>
      </c>
      <c r="J176" s="118">
        <v>0</v>
      </c>
      <c r="K176" s="118">
        <v>0</v>
      </c>
      <c r="L176" s="118">
        <v>0</v>
      </c>
      <c r="M176" s="118">
        <v>0</v>
      </c>
      <c r="N176" s="118">
        <v>0</v>
      </c>
      <c r="O176" s="118">
        <v>0</v>
      </c>
      <c r="P176" s="118">
        <v>0</v>
      </c>
      <c r="Q176" s="118">
        <v>0</v>
      </c>
      <c r="R176" s="118">
        <v>0</v>
      </c>
      <c r="S176" s="118">
        <f t="shared" si="13"/>
        <v>0</v>
      </c>
      <c r="T176" s="118">
        <f t="shared" si="15"/>
        <v>0</v>
      </c>
    </row>
    <row r="177" spans="1:20">
      <c r="A177" s="118" t="str">
        <f t="shared" si="16"/>
        <v>LGE</v>
      </c>
      <c r="B177" s="118" t="s">
        <v>452</v>
      </c>
      <c r="C177" s="118" t="str">
        <f t="shared" si="17"/>
        <v>398</v>
      </c>
      <c r="D177" s="113" t="s">
        <v>449</v>
      </c>
      <c r="E177" s="113" t="str">
        <f t="shared" si="14"/>
        <v/>
      </c>
      <c r="F177" s="118">
        <v>0</v>
      </c>
      <c r="G177" s="118">
        <v>0</v>
      </c>
      <c r="I177" s="118">
        <v>0</v>
      </c>
      <c r="J177" s="118">
        <v>0</v>
      </c>
      <c r="K177" s="118">
        <v>0</v>
      </c>
      <c r="L177" s="118">
        <v>0</v>
      </c>
      <c r="M177" s="118">
        <v>0</v>
      </c>
      <c r="N177" s="118">
        <v>0</v>
      </c>
      <c r="O177" s="118">
        <v>0</v>
      </c>
      <c r="P177" s="118">
        <v>0</v>
      </c>
      <c r="Q177" s="118">
        <v>0</v>
      </c>
      <c r="R177" s="118">
        <v>0</v>
      </c>
      <c r="S177" s="118">
        <f t="shared" ref="S177:S228" si="18">SUM(G177:R177)</f>
        <v>0</v>
      </c>
      <c r="T177" s="118">
        <f t="shared" si="15"/>
        <v>0</v>
      </c>
    </row>
    <row r="178" spans="1:20">
      <c r="E178" s="113"/>
    </row>
    <row r="179" spans="1:20">
      <c r="E179" s="113" t="str">
        <f t="shared" si="14"/>
        <v/>
      </c>
      <c r="S179" s="118">
        <f t="shared" si="18"/>
        <v>0</v>
      </c>
      <c r="T179" s="118">
        <f t="shared" si="15"/>
        <v>0</v>
      </c>
    </row>
    <row r="180" spans="1:20">
      <c r="E180" s="113" t="str">
        <f t="shared" si="14"/>
        <v/>
      </c>
      <c r="S180" s="118">
        <f t="shared" si="18"/>
        <v>0</v>
      </c>
      <c r="T180" s="118">
        <f t="shared" si="15"/>
        <v>0</v>
      </c>
    </row>
    <row r="181" spans="1:20">
      <c r="E181" s="113" t="str">
        <f t="shared" si="14"/>
        <v/>
      </c>
      <c r="S181" s="118">
        <f t="shared" si="18"/>
        <v>0</v>
      </c>
      <c r="T181" s="118">
        <f t="shared" si="15"/>
        <v>0</v>
      </c>
    </row>
    <row r="182" spans="1:20">
      <c r="E182" s="113" t="str">
        <f t="shared" si="14"/>
        <v/>
      </c>
      <c r="S182" s="118">
        <f t="shared" si="18"/>
        <v>0</v>
      </c>
      <c r="T182" s="118">
        <f t="shared" si="15"/>
        <v>0</v>
      </c>
    </row>
    <row r="183" spans="1:20">
      <c r="E183" s="113" t="str">
        <f t="shared" si="14"/>
        <v/>
      </c>
      <c r="S183" s="118">
        <f t="shared" si="18"/>
        <v>0</v>
      </c>
      <c r="T183" s="118">
        <f t="shared" si="15"/>
        <v>0</v>
      </c>
    </row>
    <row r="184" spans="1:20">
      <c r="E184" s="113" t="str">
        <f t="shared" si="14"/>
        <v/>
      </c>
      <c r="S184" s="118">
        <f t="shared" si="18"/>
        <v>0</v>
      </c>
      <c r="T184" s="118">
        <f t="shared" si="15"/>
        <v>0</v>
      </c>
    </row>
    <row r="185" spans="1:20">
      <c r="A185" s="118" t="str">
        <f t="shared" ref="A185" si="19">MID($D185,4,2)</f>
        <v/>
      </c>
      <c r="B185" s="118" t="str">
        <f t="shared" ref="B185" si="20">IF(MID($D185,12,2)="- ","KY",MID($D185,12,2))</f>
        <v/>
      </c>
      <c r="C185" s="118" t="str">
        <f t="shared" ref="C185" si="21">MID($D185,8,3)</f>
        <v/>
      </c>
      <c r="E185" s="113" t="str">
        <f t="shared" si="14"/>
        <v/>
      </c>
      <c r="S185" s="118">
        <f t="shared" si="18"/>
        <v>0</v>
      </c>
      <c r="T185" s="118">
        <f t="shared" si="15"/>
        <v>0</v>
      </c>
    </row>
    <row r="186" spans="1:20">
      <c r="D186" s="113" t="s">
        <v>409</v>
      </c>
      <c r="E186" s="113" t="str">
        <f t="shared" si="14"/>
        <v/>
      </c>
      <c r="S186" s="118">
        <f t="shared" si="18"/>
        <v>0</v>
      </c>
      <c r="T186" s="118">
        <f t="shared" si="15"/>
        <v>0</v>
      </c>
    </row>
    <row r="187" spans="1:20">
      <c r="A187" s="118" t="str">
        <f t="shared" ref="A187:A204" si="22">MID($D187,4,3)</f>
        <v>LGE</v>
      </c>
      <c r="B187" s="118" t="s">
        <v>545</v>
      </c>
      <c r="C187" s="118" t="str">
        <f t="shared" ref="C187:C204" si="23">MID($D187,9,3)</f>
        <v>351</v>
      </c>
      <c r="D187" s="113" t="s">
        <v>509</v>
      </c>
      <c r="E187" s="113" t="str">
        <f t="shared" si="14"/>
        <v/>
      </c>
      <c r="F187" s="118">
        <v>0</v>
      </c>
      <c r="G187" s="118">
        <v>0</v>
      </c>
      <c r="H187" s="118">
        <v>0</v>
      </c>
      <c r="I187" s="118">
        <v>0</v>
      </c>
      <c r="J187" s="118">
        <v>0</v>
      </c>
      <c r="K187" s="118">
        <v>0</v>
      </c>
      <c r="L187" s="118">
        <v>0</v>
      </c>
      <c r="M187" s="118">
        <v>0</v>
      </c>
      <c r="N187" s="118">
        <v>0</v>
      </c>
      <c r="O187" s="118">
        <v>0</v>
      </c>
      <c r="P187" s="118">
        <v>0</v>
      </c>
      <c r="Q187" s="118">
        <v>0</v>
      </c>
      <c r="R187" s="118">
        <v>0</v>
      </c>
      <c r="S187" s="118">
        <f t="shared" si="18"/>
        <v>0</v>
      </c>
      <c r="T187" s="118">
        <f t="shared" si="15"/>
        <v>0</v>
      </c>
    </row>
    <row r="188" spans="1:20">
      <c r="A188" s="118" t="str">
        <f t="shared" si="22"/>
        <v>LGE</v>
      </c>
      <c r="B188" s="118" t="s">
        <v>545</v>
      </c>
      <c r="C188" s="118" t="str">
        <f t="shared" si="23"/>
        <v>351</v>
      </c>
      <c r="D188" s="113" t="s">
        <v>511</v>
      </c>
      <c r="E188" s="113" t="str">
        <f t="shared" si="14"/>
        <v/>
      </c>
      <c r="F188" s="118">
        <v>0</v>
      </c>
      <c r="G188" s="118">
        <v>0</v>
      </c>
      <c r="H188" s="118">
        <v>0</v>
      </c>
      <c r="I188" s="118">
        <v>0</v>
      </c>
      <c r="J188" s="118">
        <v>0</v>
      </c>
      <c r="K188" s="118">
        <v>0</v>
      </c>
      <c r="L188" s="118">
        <v>0</v>
      </c>
      <c r="M188" s="118">
        <v>0</v>
      </c>
      <c r="N188" s="118">
        <v>0</v>
      </c>
      <c r="O188" s="118">
        <v>0</v>
      </c>
      <c r="P188" s="118">
        <v>0</v>
      </c>
      <c r="Q188" s="118">
        <v>0</v>
      </c>
      <c r="R188" s="118">
        <v>0</v>
      </c>
      <c r="S188" s="118">
        <f t="shared" si="18"/>
        <v>0</v>
      </c>
      <c r="T188" s="118">
        <f t="shared" si="15"/>
        <v>0</v>
      </c>
    </row>
    <row r="189" spans="1:20">
      <c r="A189" s="118" t="str">
        <f t="shared" si="22"/>
        <v>LGE</v>
      </c>
      <c r="B189" s="118" t="s">
        <v>545</v>
      </c>
      <c r="C189" s="118" t="str">
        <f t="shared" si="23"/>
        <v>352</v>
      </c>
      <c r="D189" s="113" t="s">
        <v>518</v>
      </c>
      <c r="E189" s="113" t="str">
        <f t="shared" si="14"/>
        <v/>
      </c>
      <c r="F189" s="118">
        <v>0</v>
      </c>
      <c r="G189" s="118">
        <v>0</v>
      </c>
      <c r="H189" s="118">
        <v>0</v>
      </c>
      <c r="I189" s="118">
        <v>0</v>
      </c>
      <c r="J189" s="118">
        <v>0</v>
      </c>
      <c r="K189" s="118">
        <v>0</v>
      </c>
      <c r="L189" s="118">
        <v>0</v>
      </c>
      <c r="M189" s="118">
        <v>0</v>
      </c>
      <c r="N189" s="118">
        <v>0</v>
      </c>
      <c r="O189" s="118">
        <v>0</v>
      </c>
      <c r="P189" s="118">
        <v>0</v>
      </c>
      <c r="Q189" s="118">
        <v>0</v>
      </c>
      <c r="R189" s="118">
        <v>0</v>
      </c>
      <c r="S189" s="118">
        <f t="shared" si="18"/>
        <v>0</v>
      </c>
      <c r="T189" s="118">
        <f t="shared" si="15"/>
        <v>0</v>
      </c>
    </row>
    <row r="190" spans="1:20">
      <c r="A190" s="118" t="str">
        <f t="shared" si="22"/>
        <v>LGE</v>
      </c>
      <c r="B190" s="118" t="s">
        <v>545</v>
      </c>
      <c r="C190" s="118" t="str">
        <f t="shared" si="23"/>
        <v>353</v>
      </c>
      <c r="D190" s="113" t="s">
        <v>519</v>
      </c>
      <c r="E190" s="113" t="str">
        <f t="shared" si="14"/>
        <v/>
      </c>
      <c r="F190" s="118">
        <v>0</v>
      </c>
      <c r="G190" s="118">
        <v>0</v>
      </c>
      <c r="H190" s="118">
        <v>0</v>
      </c>
      <c r="I190" s="118">
        <v>0</v>
      </c>
      <c r="J190" s="118">
        <v>0</v>
      </c>
      <c r="K190" s="118">
        <v>0</v>
      </c>
      <c r="L190" s="118">
        <v>0</v>
      </c>
      <c r="M190" s="118">
        <v>0</v>
      </c>
      <c r="N190" s="118">
        <v>0</v>
      </c>
      <c r="O190" s="118">
        <v>0</v>
      </c>
      <c r="P190" s="118">
        <v>0</v>
      </c>
      <c r="Q190" s="118">
        <v>0</v>
      </c>
      <c r="R190" s="118">
        <v>0</v>
      </c>
      <c r="S190" s="118">
        <f t="shared" si="18"/>
        <v>0</v>
      </c>
      <c r="T190" s="118">
        <f t="shared" si="15"/>
        <v>0</v>
      </c>
    </row>
    <row r="191" spans="1:20">
      <c r="A191" s="118" t="str">
        <f t="shared" si="22"/>
        <v>LGE</v>
      </c>
      <c r="B191" s="118" t="s">
        <v>545</v>
      </c>
      <c r="C191" s="118" t="str">
        <f t="shared" si="23"/>
        <v>353</v>
      </c>
      <c r="D191" s="113" t="s">
        <v>520</v>
      </c>
      <c r="E191" s="113" t="str">
        <f t="shared" si="14"/>
        <v/>
      </c>
      <c r="F191" s="118">
        <v>0</v>
      </c>
      <c r="G191" s="118">
        <v>0</v>
      </c>
      <c r="H191" s="118">
        <v>0</v>
      </c>
      <c r="I191" s="118">
        <v>0</v>
      </c>
      <c r="J191" s="118">
        <v>0</v>
      </c>
      <c r="K191" s="118">
        <v>0</v>
      </c>
      <c r="L191" s="118">
        <v>0</v>
      </c>
      <c r="M191" s="118">
        <v>0</v>
      </c>
      <c r="N191" s="118">
        <v>0</v>
      </c>
      <c r="O191" s="118">
        <v>0</v>
      </c>
      <c r="P191" s="118">
        <v>0</v>
      </c>
      <c r="Q191" s="118">
        <v>0</v>
      </c>
      <c r="R191" s="118">
        <v>0</v>
      </c>
      <c r="S191" s="118">
        <f t="shared" si="18"/>
        <v>0</v>
      </c>
      <c r="T191" s="118">
        <f t="shared" si="15"/>
        <v>0</v>
      </c>
    </row>
    <row r="192" spans="1:20">
      <c r="A192" s="118" t="str">
        <f t="shared" si="22"/>
        <v>LGE</v>
      </c>
      <c r="B192" s="118" t="s">
        <v>545</v>
      </c>
      <c r="C192" s="118" t="str">
        <f t="shared" si="23"/>
        <v>354</v>
      </c>
      <c r="D192" s="113" t="s">
        <v>521</v>
      </c>
      <c r="E192" s="113" t="str">
        <f t="shared" si="14"/>
        <v/>
      </c>
      <c r="F192" s="118">
        <v>0</v>
      </c>
      <c r="G192" s="118">
        <v>0</v>
      </c>
      <c r="H192" s="118">
        <v>0</v>
      </c>
      <c r="I192" s="118">
        <v>0</v>
      </c>
      <c r="J192" s="118">
        <v>0</v>
      </c>
      <c r="K192" s="118">
        <v>0</v>
      </c>
      <c r="L192" s="118">
        <v>0</v>
      </c>
      <c r="M192" s="118">
        <v>0</v>
      </c>
      <c r="N192" s="118">
        <v>0</v>
      </c>
      <c r="O192" s="118">
        <v>0</v>
      </c>
      <c r="P192" s="118">
        <v>0</v>
      </c>
      <c r="Q192" s="118">
        <v>0</v>
      </c>
      <c r="R192" s="118">
        <v>0</v>
      </c>
      <c r="S192" s="118">
        <f t="shared" si="18"/>
        <v>0</v>
      </c>
      <c r="T192" s="118">
        <f t="shared" si="15"/>
        <v>0</v>
      </c>
    </row>
    <row r="193" spans="1:22">
      <c r="A193" s="118" t="str">
        <f t="shared" si="22"/>
        <v>LGE</v>
      </c>
      <c r="B193" s="118" t="s">
        <v>545</v>
      </c>
      <c r="C193" s="118" t="str">
        <f t="shared" si="23"/>
        <v>355</v>
      </c>
      <c r="D193" s="113" t="s">
        <v>522</v>
      </c>
      <c r="E193" s="113" t="str">
        <f t="shared" si="14"/>
        <v/>
      </c>
      <c r="F193" s="118">
        <v>0</v>
      </c>
      <c r="G193" s="118">
        <v>0</v>
      </c>
      <c r="H193" s="118">
        <v>0</v>
      </c>
      <c r="I193" s="118">
        <v>0</v>
      </c>
      <c r="J193" s="118">
        <v>0</v>
      </c>
      <c r="K193" s="118">
        <v>0</v>
      </c>
      <c r="L193" s="118">
        <v>0</v>
      </c>
      <c r="M193" s="118">
        <v>0</v>
      </c>
      <c r="N193" s="118">
        <v>0</v>
      </c>
      <c r="O193" s="118">
        <v>0</v>
      </c>
      <c r="P193" s="118">
        <v>0</v>
      </c>
      <c r="Q193" s="118">
        <v>0</v>
      </c>
      <c r="R193" s="118">
        <v>0</v>
      </c>
      <c r="S193" s="118">
        <f t="shared" si="18"/>
        <v>0</v>
      </c>
      <c r="T193" s="118">
        <f t="shared" si="15"/>
        <v>0</v>
      </c>
    </row>
    <row r="194" spans="1:22">
      <c r="A194" s="118" t="str">
        <f t="shared" si="22"/>
        <v>LGE</v>
      </c>
      <c r="B194" s="118" t="s">
        <v>545</v>
      </c>
      <c r="C194" s="118" t="str">
        <f t="shared" si="23"/>
        <v>356</v>
      </c>
      <c r="D194" s="113" t="s">
        <v>523</v>
      </c>
      <c r="E194" s="113" t="str">
        <f t="shared" si="14"/>
        <v/>
      </c>
      <c r="F194" s="118">
        <v>0</v>
      </c>
      <c r="G194" s="118">
        <v>0</v>
      </c>
      <c r="H194" s="118">
        <v>0</v>
      </c>
      <c r="I194" s="118">
        <v>0</v>
      </c>
      <c r="J194" s="118">
        <v>0</v>
      </c>
      <c r="K194" s="118">
        <v>0</v>
      </c>
      <c r="L194" s="118">
        <v>0</v>
      </c>
      <c r="M194" s="118">
        <v>0</v>
      </c>
      <c r="N194" s="118">
        <v>0</v>
      </c>
      <c r="O194" s="118">
        <v>0</v>
      </c>
      <c r="P194" s="118">
        <v>0</v>
      </c>
      <c r="Q194" s="118">
        <v>0</v>
      </c>
      <c r="R194" s="118">
        <v>0</v>
      </c>
      <c r="S194" s="118">
        <f t="shared" si="18"/>
        <v>0</v>
      </c>
      <c r="T194" s="118">
        <f t="shared" si="15"/>
        <v>0</v>
      </c>
    </row>
    <row r="195" spans="1:22">
      <c r="A195" s="118" t="str">
        <f t="shared" si="22"/>
        <v>LGE</v>
      </c>
      <c r="B195" s="118" t="s">
        <v>545</v>
      </c>
      <c r="C195" s="118" t="str">
        <f t="shared" si="23"/>
        <v>358</v>
      </c>
      <c r="D195" s="113" t="s">
        <v>526</v>
      </c>
      <c r="E195" s="113" t="str">
        <f t="shared" si="14"/>
        <v>ARO</v>
      </c>
      <c r="F195" s="118">
        <v>0</v>
      </c>
      <c r="G195" s="118">
        <v>0</v>
      </c>
      <c r="H195" s="118">
        <v>0</v>
      </c>
      <c r="I195" s="118">
        <v>0</v>
      </c>
      <c r="J195" s="118">
        <v>0</v>
      </c>
      <c r="K195" s="118">
        <v>0</v>
      </c>
      <c r="L195" s="118">
        <v>0</v>
      </c>
      <c r="M195" s="118">
        <v>0</v>
      </c>
      <c r="N195" s="118">
        <v>0</v>
      </c>
      <c r="O195" s="118">
        <v>0</v>
      </c>
      <c r="P195" s="118">
        <v>0</v>
      </c>
      <c r="Q195" s="118">
        <v>0</v>
      </c>
      <c r="R195" s="118">
        <v>0</v>
      </c>
      <c r="S195" s="118">
        <f t="shared" si="18"/>
        <v>0</v>
      </c>
      <c r="T195" s="118">
        <f t="shared" si="15"/>
        <v>0</v>
      </c>
    </row>
    <row r="196" spans="1:22">
      <c r="A196" s="118" t="str">
        <f t="shared" si="22"/>
        <v>LGE</v>
      </c>
      <c r="B196" s="118" t="s">
        <v>545</v>
      </c>
      <c r="C196" s="118" t="str">
        <f t="shared" si="23"/>
        <v>367</v>
      </c>
      <c r="D196" s="113" t="s">
        <v>528</v>
      </c>
      <c r="E196" s="113" t="str">
        <f t="shared" si="14"/>
        <v/>
      </c>
      <c r="F196" s="118">
        <v>0</v>
      </c>
      <c r="G196" s="118">
        <v>0</v>
      </c>
      <c r="H196" s="118">
        <v>0</v>
      </c>
      <c r="I196" s="118">
        <v>0</v>
      </c>
      <c r="J196" s="118">
        <v>0</v>
      </c>
      <c r="K196" s="118">
        <v>0</v>
      </c>
      <c r="L196" s="118">
        <v>0</v>
      </c>
      <c r="M196" s="118">
        <v>0</v>
      </c>
      <c r="N196" s="118">
        <v>0</v>
      </c>
      <c r="O196" s="118">
        <v>0</v>
      </c>
      <c r="P196" s="118">
        <v>0</v>
      </c>
      <c r="Q196" s="118">
        <v>0</v>
      </c>
      <c r="R196" s="118">
        <v>0</v>
      </c>
      <c r="S196" s="118">
        <f t="shared" si="18"/>
        <v>0</v>
      </c>
      <c r="T196" s="118">
        <f t="shared" si="15"/>
        <v>0</v>
      </c>
    </row>
    <row r="197" spans="1:22">
      <c r="A197" s="118" t="str">
        <f t="shared" si="22"/>
        <v>LGE</v>
      </c>
      <c r="B197" s="118" t="s">
        <v>545</v>
      </c>
      <c r="C197" s="118" t="str">
        <f t="shared" si="23"/>
        <v>375</v>
      </c>
      <c r="D197" s="113" t="s">
        <v>530</v>
      </c>
      <c r="E197" s="113" t="str">
        <f t="shared" si="14"/>
        <v/>
      </c>
      <c r="F197" s="118">
        <v>0</v>
      </c>
      <c r="G197" s="118">
        <v>0</v>
      </c>
      <c r="H197" s="118">
        <v>0</v>
      </c>
      <c r="I197" s="118">
        <v>0</v>
      </c>
      <c r="J197" s="118">
        <v>0</v>
      </c>
      <c r="K197" s="118">
        <v>0</v>
      </c>
      <c r="L197" s="118">
        <v>0</v>
      </c>
      <c r="M197" s="118">
        <v>0</v>
      </c>
      <c r="N197" s="118">
        <v>0</v>
      </c>
      <c r="O197" s="118">
        <v>0</v>
      </c>
      <c r="P197" s="118">
        <v>0</v>
      </c>
      <c r="Q197" s="118">
        <v>0</v>
      </c>
      <c r="R197" s="118">
        <v>0</v>
      </c>
      <c r="S197" s="118">
        <f t="shared" si="18"/>
        <v>0</v>
      </c>
      <c r="T197" s="118">
        <f t="shared" si="15"/>
        <v>0</v>
      </c>
    </row>
    <row r="198" spans="1:22">
      <c r="A198" s="118" t="str">
        <f t="shared" si="22"/>
        <v>LGE</v>
      </c>
      <c r="B198" s="118" t="s">
        <v>545</v>
      </c>
      <c r="C198" s="118" t="str">
        <f t="shared" si="23"/>
        <v>376</v>
      </c>
      <c r="D198" s="113" t="s">
        <v>531</v>
      </c>
      <c r="E198" s="113" t="str">
        <f t="shared" ref="E198:E260" si="24">IF(ISTEXT(MID($D198,SEARCH("FUTURE USE",$D198),3)),"FUTURE USE",IF(ISTEXT(MID($D198,SEARCH("GLT",$D198),3)),"GLT",IF(ISTEXT(MID($D198,SEARCH("ARO",$D198),3)),"ARO",IF(ISTEXT(MID($D198,SEARCH("DSM",$D198),3)),"DSM",""))))</f>
        <v/>
      </c>
      <c r="F198" s="118">
        <v>0</v>
      </c>
      <c r="G198" s="118">
        <v>0</v>
      </c>
      <c r="H198" s="118">
        <v>0</v>
      </c>
      <c r="I198" s="118">
        <v>0</v>
      </c>
      <c r="J198" s="118">
        <v>729.46299999999997</v>
      </c>
      <c r="K198" s="118">
        <v>729.46299999999997</v>
      </c>
      <c r="L198" s="118">
        <v>729.46299999999997</v>
      </c>
      <c r="M198" s="118">
        <v>0</v>
      </c>
      <c r="N198" s="118">
        <v>0</v>
      </c>
      <c r="O198" s="118">
        <v>0</v>
      </c>
      <c r="P198" s="118">
        <v>0</v>
      </c>
      <c r="Q198" s="118">
        <v>0</v>
      </c>
      <c r="R198" s="118">
        <v>0</v>
      </c>
      <c r="S198" s="118">
        <f t="shared" si="18"/>
        <v>2188.3890000000001</v>
      </c>
    </row>
    <row r="199" spans="1:22">
      <c r="A199" s="118" t="str">
        <f t="shared" si="22"/>
        <v>LGE</v>
      </c>
      <c r="B199" s="118" t="s">
        <v>545</v>
      </c>
      <c r="C199" s="118" t="str">
        <f t="shared" si="23"/>
        <v>378</v>
      </c>
      <c r="D199" s="113" t="s">
        <v>533</v>
      </c>
      <c r="E199" s="113" t="str">
        <f t="shared" si="24"/>
        <v/>
      </c>
      <c r="F199" s="118">
        <v>0</v>
      </c>
      <c r="G199" s="118">
        <v>0</v>
      </c>
      <c r="H199" s="118">
        <v>0</v>
      </c>
      <c r="I199" s="118">
        <v>0</v>
      </c>
      <c r="J199" s="118">
        <v>0</v>
      </c>
      <c r="K199" s="118">
        <v>0</v>
      </c>
      <c r="L199" s="118">
        <v>0</v>
      </c>
      <c r="M199" s="118">
        <v>0</v>
      </c>
      <c r="N199" s="118">
        <v>0</v>
      </c>
      <c r="O199" s="118">
        <v>0</v>
      </c>
      <c r="P199" s="118">
        <v>0</v>
      </c>
      <c r="Q199" s="118">
        <v>0</v>
      </c>
      <c r="R199" s="118">
        <v>0</v>
      </c>
      <c r="S199" s="118">
        <f t="shared" si="18"/>
        <v>0</v>
      </c>
    </row>
    <row r="200" spans="1:22">
      <c r="A200" s="118" t="str">
        <f t="shared" si="22"/>
        <v>LGE</v>
      </c>
      <c r="B200" s="118" t="s">
        <v>545</v>
      </c>
      <c r="C200" s="118" t="str">
        <f t="shared" si="23"/>
        <v>379</v>
      </c>
      <c r="D200" s="113" t="s">
        <v>534</v>
      </c>
      <c r="E200" s="113" t="str">
        <f t="shared" si="24"/>
        <v/>
      </c>
      <c r="F200" s="118">
        <v>0</v>
      </c>
      <c r="G200" s="118">
        <v>0</v>
      </c>
      <c r="H200" s="118">
        <v>0</v>
      </c>
      <c r="I200" s="118">
        <v>0</v>
      </c>
      <c r="J200" s="118">
        <v>0</v>
      </c>
      <c r="K200" s="118">
        <v>0</v>
      </c>
      <c r="L200" s="118">
        <v>0</v>
      </c>
      <c r="M200" s="118">
        <v>0</v>
      </c>
      <c r="N200" s="118">
        <v>0</v>
      </c>
      <c r="O200" s="118">
        <v>0</v>
      </c>
      <c r="P200" s="118">
        <v>0</v>
      </c>
      <c r="Q200" s="118">
        <v>0</v>
      </c>
      <c r="R200" s="118">
        <v>0</v>
      </c>
      <c r="S200" s="118">
        <f t="shared" si="18"/>
        <v>0</v>
      </c>
    </row>
    <row r="201" spans="1:22">
      <c r="A201" s="118" t="str">
        <f t="shared" si="22"/>
        <v>LGE</v>
      </c>
      <c r="B201" s="118" t="s">
        <v>545</v>
      </c>
      <c r="C201" s="118" t="str">
        <f t="shared" si="23"/>
        <v>380</v>
      </c>
      <c r="D201" s="113" t="s">
        <v>1331</v>
      </c>
      <c r="E201" s="113" t="str">
        <f t="shared" si="24"/>
        <v>GLT</v>
      </c>
      <c r="F201" s="118">
        <v>0</v>
      </c>
      <c r="G201" s="118">
        <v>0</v>
      </c>
      <c r="H201" s="118">
        <v>0</v>
      </c>
      <c r="I201" s="118">
        <v>0</v>
      </c>
      <c r="J201" s="118">
        <v>0</v>
      </c>
      <c r="K201" s="118">
        <v>3375.5604600000001</v>
      </c>
      <c r="L201" s="118">
        <v>0</v>
      </c>
      <c r="M201" s="118">
        <v>0</v>
      </c>
      <c r="N201" s="118">
        <v>0</v>
      </c>
      <c r="O201" s="118">
        <v>0</v>
      </c>
      <c r="P201" s="118">
        <v>0</v>
      </c>
      <c r="Q201" s="118">
        <v>0</v>
      </c>
      <c r="R201" s="118">
        <v>0</v>
      </c>
      <c r="S201" s="118">
        <f t="shared" si="18"/>
        <v>3375.5604600000001</v>
      </c>
      <c r="V201" s="113"/>
    </row>
    <row r="202" spans="1:22">
      <c r="A202" s="118" t="str">
        <f t="shared" si="22"/>
        <v>LGE</v>
      </c>
      <c r="B202" s="118" t="s">
        <v>545</v>
      </c>
      <c r="C202" s="118" t="str">
        <f t="shared" si="23"/>
        <v>388</v>
      </c>
      <c r="D202" s="113" t="s">
        <v>541</v>
      </c>
      <c r="E202" s="113" t="str">
        <f t="shared" si="24"/>
        <v>ARO</v>
      </c>
      <c r="F202" s="118">
        <v>0</v>
      </c>
      <c r="G202" s="118">
        <v>0</v>
      </c>
      <c r="H202" s="118">
        <v>0</v>
      </c>
      <c r="I202" s="118">
        <v>0</v>
      </c>
      <c r="J202" s="118">
        <v>0</v>
      </c>
      <c r="K202" s="118">
        <v>0</v>
      </c>
      <c r="L202" s="118">
        <v>0</v>
      </c>
      <c r="M202" s="118">
        <v>0</v>
      </c>
      <c r="N202" s="118">
        <v>0</v>
      </c>
      <c r="O202" s="118">
        <v>0</v>
      </c>
      <c r="P202" s="118">
        <v>0</v>
      </c>
      <c r="Q202" s="118">
        <v>0</v>
      </c>
      <c r="R202" s="118">
        <v>0</v>
      </c>
      <c r="S202" s="118">
        <f t="shared" si="18"/>
        <v>0</v>
      </c>
    </row>
    <row r="203" spans="1:22">
      <c r="A203" s="118" t="str">
        <f t="shared" si="22"/>
        <v>LGE</v>
      </c>
      <c r="B203" s="118" t="s">
        <v>545</v>
      </c>
      <c r="C203" s="118" t="str">
        <f t="shared" si="23"/>
        <v>394</v>
      </c>
      <c r="D203" s="113" t="s">
        <v>543</v>
      </c>
      <c r="E203" s="113" t="str">
        <f t="shared" si="24"/>
        <v/>
      </c>
      <c r="F203" s="118">
        <v>335.12</v>
      </c>
      <c r="G203" s="118">
        <v>0</v>
      </c>
      <c r="H203" s="118">
        <v>0</v>
      </c>
      <c r="I203" s="118">
        <v>0</v>
      </c>
      <c r="J203" s="118">
        <v>0</v>
      </c>
      <c r="K203" s="118">
        <v>0</v>
      </c>
      <c r="L203" s="118">
        <v>0</v>
      </c>
      <c r="M203" s="118">
        <v>0</v>
      </c>
      <c r="N203" s="118">
        <v>0</v>
      </c>
      <c r="O203" s="118">
        <v>0</v>
      </c>
      <c r="P203" s="118">
        <v>0</v>
      </c>
      <c r="Q203" s="118">
        <v>0</v>
      </c>
      <c r="R203" s="118">
        <v>201.68700000000001</v>
      </c>
      <c r="S203" s="118">
        <f t="shared" si="18"/>
        <v>201.68700000000001</v>
      </c>
    </row>
    <row r="204" spans="1:22">
      <c r="A204" s="118" t="str">
        <f t="shared" si="22"/>
        <v>LGE</v>
      </c>
      <c r="B204" s="118" t="s">
        <v>545</v>
      </c>
      <c r="C204" s="118" t="str">
        <f t="shared" si="23"/>
        <v>396</v>
      </c>
      <c r="D204" s="113" t="s">
        <v>1328</v>
      </c>
      <c r="E204" s="113" t="str">
        <f t="shared" si="24"/>
        <v/>
      </c>
      <c r="F204" s="118">
        <v>0</v>
      </c>
      <c r="G204" s="118">
        <v>0</v>
      </c>
      <c r="H204" s="118">
        <v>0</v>
      </c>
      <c r="I204" s="118">
        <v>0</v>
      </c>
      <c r="J204" s="118">
        <v>0</v>
      </c>
      <c r="K204" s="118">
        <v>0</v>
      </c>
      <c r="L204" s="118">
        <v>0</v>
      </c>
      <c r="M204" s="118">
        <v>0</v>
      </c>
      <c r="N204" s="118">
        <v>0</v>
      </c>
      <c r="O204" s="118">
        <v>0</v>
      </c>
      <c r="P204" s="118">
        <v>0</v>
      </c>
      <c r="Q204" s="118">
        <v>0</v>
      </c>
      <c r="R204" s="118">
        <v>0</v>
      </c>
      <c r="S204" s="118">
        <f t="shared" si="18"/>
        <v>0</v>
      </c>
      <c r="T204" s="118">
        <f t="shared" ref="T204:T258" si="25">SUM(F204:R204)/13</f>
        <v>0</v>
      </c>
    </row>
    <row r="205" spans="1:22">
      <c r="E205" s="113"/>
    </row>
    <row r="206" spans="1:22">
      <c r="E206" s="113"/>
    </row>
    <row r="207" spans="1:22">
      <c r="E207" s="113"/>
    </row>
    <row r="208" spans="1:22">
      <c r="E208" s="113"/>
    </row>
    <row r="209" spans="1:20">
      <c r="E209" s="113" t="str">
        <f t="shared" si="24"/>
        <v/>
      </c>
      <c r="T209" s="118">
        <f t="shared" si="25"/>
        <v>0</v>
      </c>
    </row>
    <row r="210" spans="1:20">
      <c r="E210" s="113" t="str">
        <f t="shared" si="24"/>
        <v/>
      </c>
      <c r="T210" s="118">
        <f t="shared" si="25"/>
        <v>0</v>
      </c>
    </row>
    <row r="211" spans="1:20">
      <c r="E211" s="113" t="str">
        <f t="shared" si="24"/>
        <v/>
      </c>
      <c r="T211" s="118">
        <f t="shared" si="25"/>
        <v>0</v>
      </c>
    </row>
    <row r="212" spans="1:20">
      <c r="E212" s="113" t="str">
        <f t="shared" si="24"/>
        <v/>
      </c>
      <c r="T212" s="118">
        <f t="shared" si="25"/>
        <v>0</v>
      </c>
    </row>
    <row r="213" spans="1:20">
      <c r="E213" s="113" t="str">
        <f t="shared" si="24"/>
        <v/>
      </c>
      <c r="T213" s="118">
        <f t="shared" si="25"/>
        <v>0</v>
      </c>
    </row>
    <row r="214" spans="1:20">
      <c r="E214" s="113" t="str">
        <f t="shared" si="24"/>
        <v/>
      </c>
      <c r="T214" s="118">
        <f t="shared" si="25"/>
        <v>0</v>
      </c>
    </row>
    <row r="215" spans="1:20">
      <c r="E215" s="113" t="str">
        <f t="shared" si="24"/>
        <v/>
      </c>
      <c r="T215" s="118">
        <f t="shared" si="25"/>
        <v>0</v>
      </c>
    </row>
    <row r="216" spans="1:20">
      <c r="E216" s="113" t="str">
        <f t="shared" si="24"/>
        <v/>
      </c>
      <c r="T216" s="118">
        <f t="shared" si="25"/>
        <v>0</v>
      </c>
    </row>
    <row r="217" spans="1:20">
      <c r="E217" s="113" t="str">
        <f t="shared" si="24"/>
        <v/>
      </c>
      <c r="T217" s="118">
        <f t="shared" si="25"/>
        <v>0</v>
      </c>
    </row>
    <row r="218" spans="1:20">
      <c r="E218" s="113" t="str">
        <f t="shared" si="24"/>
        <v/>
      </c>
      <c r="T218" s="118">
        <f t="shared" si="25"/>
        <v>0</v>
      </c>
    </row>
    <row r="219" spans="1:20">
      <c r="E219" s="113" t="str">
        <f t="shared" si="24"/>
        <v/>
      </c>
      <c r="T219" s="118">
        <f t="shared" si="25"/>
        <v>0</v>
      </c>
    </row>
    <row r="220" spans="1:20">
      <c r="E220" s="113" t="str">
        <f t="shared" si="24"/>
        <v/>
      </c>
      <c r="S220" s="118">
        <f t="shared" si="18"/>
        <v>0</v>
      </c>
      <c r="T220" s="118">
        <f t="shared" si="25"/>
        <v>0</v>
      </c>
    </row>
    <row r="221" spans="1:20">
      <c r="D221" s="113" t="s">
        <v>453</v>
      </c>
      <c r="E221" s="113" t="str">
        <f t="shared" si="24"/>
        <v/>
      </c>
      <c r="S221" s="118">
        <f t="shared" si="18"/>
        <v>0</v>
      </c>
      <c r="T221" s="118">
        <f t="shared" si="25"/>
        <v>0</v>
      </c>
    </row>
    <row r="222" spans="1:20">
      <c r="A222" s="118" t="str">
        <f t="shared" ref="A222:A228" si="26">MID($D222,4,3)</f>
        <v>LGE</v>
      </c>
      <c r="B222" s="118" t="s">
        <v>452</v>
      </c>
      <c r="C222" s="118" t="str">
        <f t="shared" ref="C222:C228" si="27">MID($D222,9,3)</f>
        <v>303</v>
      </c>
      <c r="D222" s="113" t="s">
        <v>437</v>
      </c>
      <c r="E222" s="113" t="str">
        <f t="shared" si="24"/>
        <v/>
      </c>
      <c r="F222" s="118">
        <v>520.14599999999996</v>
      </c>
      <c r="G222" s="118">
        <v>2097.7869999999998</v>
      </c>
      <c r="H222" s="118">
        <v>1647.396</v>
      </c>
      <c r="I222" s="118">
        <v>29.861999999999998</v>
      </c>
      <c r="J222" s="118">
        <v>102.36199999999999</v>
      </c>
      <c r="K222" s="118">
        <v>493.18900000000002</v>
      </c>
      <c r="L222" s="118">
        <v>53.341000000000001</v>
      </c>
      <c r="M222" s="118">
        <v>126.681</v>
      </c>
      <c r="N222" s="118">
        <v>830.87699999999995</v>
      </c>
      <c r="O222" s="118">
        <v>0</v>
      </c>
      <c r="P222" s="118">
        <v>752.39</v>
      </c>
      <c r="Q222" s="118">
        <v>104.01900000000001</v>
      </c>
      <c r="R222" s="118">
        <v>1100.348</v>
      </c>
      <c r="S222" s="118">
        <f t="shared" si="18"/>
        <v>7338.2520000000013</v>
      </c>
      <c r="T222" s="118">
        <f t="shared" si="25"/>
        <v>604.49215384615388</v>
      </c>
    </row>
    <row r="223" spans="1:20">
      <c r="A223" s="118" t="str">
        <f t="shared" si="26"/>
        <v>LGE</v>
      </c>
      <c r="B223" s="118" t="s">
        <v>452</v>
      </c>
      <c r="C223" s="118" t="str">
        <f t="shared" si="27"/>
        <v>303</v>
      </c>
      <c r="D223" s="113" t="s">
        <v>438</v>
      </c>
      <c r="E223" s="113" t="str">
        <f t="shared" si="24"/>
        <v/>
      </c>
      <c r="F223" s="118">
        <v>0</v>
      </c>
      <c r="G223" s="118">
        <v>0</v>
      </c>
      <c r="H223" s="118">
        <v>0</v>
      </c>
      <c r="I223" s="118">
        <v>0</v>
      </c>
      <c r="J223" s="118">
        <v>0</v>
      </c>
      <c r="K223" s="118">
        <v>0</v>
      </c>
      <c r="L223" s="118">
        <v>0</v>
      </c>
      <c r="M223" s="118">
        <v>0</v>
      </c>
      <c r="N223" s="118">
        <v>0</v>
      </c>
      <c r="O223" s="118">
        <v>0</v>
      </c>
      <c r="P223" s="118">
        <v>0</v>
      </c>
      <c r="Q223" s="118">
        <v>0</v>
      </c>
      <c r="R223" s="118">
        <v>0</v>
      </c>
      <c r="S223" s="118">
        <f t="shared" si="18"/>
        <v>0</v>
      </c>
      <c r="T223" s="118">
        <f t="shared" si="25"/>
        <v>0</v>
      </c>
    </row>
    <row r="224" spans="1:20">
      <c r="A224" s="118" t="str">
        <f t="shared" si="26"/>
        <v>LGE</v>
      </c>
      <c r="B224" s="118" t="s">
        <v>452</v>
      </c>
      <c r="C224" s="118" t="str">
        <f t="shared" si="27"/>
        <v>390</v>
      </c>
      <c r="D224" s="113" t="s">
        <v>440</v>
      </c>
      <c r="E224" s="113" t="str">
        <f t="shared" si="24"/>
        <v/>
      </c>
      <c r="F224" s="118">
        <v>0</v>
      </c>
      <c r="G224" s="118">
        <v>0</v>
      </c>
      <c r="H224" s="118">
        <v>0</v>
      </c>
      <c r="I224" s="118">
        <v>0</v>
      </c>
      <c r="J224" s="118">
        <v>0</v>
      </c>
      <c r="K224" s="118">
        <v>0</v>
      </c>
      <c r="L224" s="118">
        <v>0</v>
      </c>
      <c r="M224" s="118">
        <v>0</v>
      </c>
      <c r="N224" s="118">
        <v>0</v>
      </c>
      <c r="O224" s="118">
        <v>0</v>
      </c>
      <c r="P224" s="118">
        <v>0</v>
      </c>
      <c r="Q224" s="118">
        <v>0</v>
      </c>
      <c r="R224" s="118">
        <v>0</v>
      </c>
      <c r="S224" s="118">
        <f t="shared" si="18"/>
        <v>0</v>
      </c>
      <c r="T224" s="118">
        <f t="shared" si="25"/>
        <v>0</v>
      </c>
    </row>
    <row r="225" spans="1:20">
      <c r="A225" s="118" t="str">
        <f t="shared" si="26"/>
        <v>LGE</v>
      </c>
      <c r="B225" s="118" t="s">
        <v>452</v>
      </c>
      <c r="C225" s="118" t="str">
        <f t="shared" si="27"/>
        <v>391</v>
      </c>
      <c r="D225" s="113" t="s">
        <v>441</v>
      </c>
      <c r="E225" s="113" t="str">
        <f t="shared" si="24"/>
        <v/>
      </c>
      <c r="F225" s="118">
        <v>1177.537</v>
      </c>
      <c r="G225" s="118">
        <v>71.239000000000004</v>
      </c>
      <c r="H225" s="118">
        <v>191.30699999999999</v>
      </c>
      <c r="I225" s="118">
        <v>14.651999999999999</v>
      </c>
      <c r="J225" s="118">
        <v>129.667</v>
      </c>
      <c r="K225" s="118">
        <v>41.703000000000003</v>
      </c>
      <c r="L225" s="118">
        <v>0</v>
      </c>
      <c r="M225" s="118">
        <v>116.774</v>
      </c>
      <c r="N225" s="118">
        <v>334.10599999999999</v>
      </c>
      <c r="O225" s="118">
        <v>31.936</v>
      </c>
      <c r="P225" s="118">
        <v>854.81399999999996</v>
      </c>
      <c r="Q225" s="118">
        <v>457.23399999999998</v>
      </c>
      <c r="R225" s="118">
        <v>329.89600000000002</v>
      </c>
      <c r="S225" s="118">
        <f t="shared" si="18"/>
        <v>2573.328</v>
      </c>
      <c r="T225" s="118">
        <f t="shared" si="25"/>
        <v>288.52807692307692</v>
      </c>
    </row>
    <row r="226" spans="1:20">
      <c r="A226" s="118" t="str">
        <f t="shared" si="26"/>
        <v>LGE</v>
      </c>
      <c r="B226" s="118" t="s">
        <v>452</v>
      </c>
      <c r="C226" s="118" t="str">
        <f t="shared" si="27"/>
        <v>392</v>
      </c>
      <c r="D226" s="113" t="s">
        <v>1329</v>
      </c>
      <c r="E226" s="113" t="str">
        <f t="shared" si="24"/>
        <v/>
      </c>
      <c r="F226" s="118">
        <v>0</v>
      </c>
      <c r="G226" s="118">
        <v>0</v>
      </c>
      <c r="H226" s="118">
        <v>0</v>
      </c>
      <c r="I226" s="118">
        <v>0</v>
      </c>
      <c r="J226" s="118">
        <v>0</v>
      </c>
      <c r="K226" s="118">
        <v>0</v>
      </c>
      <c r="L226" s="118">
        <v>0</v>
      </c>
      <c r="M226" s="118">
        <v>0</v>
      </c>
      <c r="N226" s="118">
        <v>0</v>
      </c>
      <c r="O226" s="118">
        <v>0</v>
      </c>
      <c r="P226" s="118">
        <v>0</v>
      </c>
      <c r="Q226" s="118">
        <v>0</v>
      </c>
      <c r="R226" s="118">
        <v>0</v>
      </c>
      <c r="S226" s="118">
        <f t="shared" si="18"/>
        <v>0</v>
      </c>
      <c r="T226" s="118">
        <f t="shared" si="25"/>
        <v>0</v>
      </c>
    </row>
    <row r="227" spans="1:20">
      <c r="A227" s="118" t="str">
        <f t="shared" si="26"/>
        <v>LGE</v>
      </c>
      <c r="B227" s="118" t="s">
        <v>452</v>
      </c>
      <c r="C227" s="118" t="str">
        <f t="shared" si="27"/>
        <v>394</v>
      </c>
      <c r="D227" s="113" t="s">
        <v>444</v>
      </c>
      <c r="E227" s="113" t="str">
        <f t="shared" si="24"/>
        <v/>
      </c>
      <c r="F227" s="118">
        <v>0</v>
      </c>
      <c r="G227" s="118">
        <v>0</v>
      </c>
      <c r="H227" s="118">
        <v>0</v>
      </c>
      <c r="I227" s="118">
        <v>0</v>
      </c>
      <c r="J227" s="118">
        <v>0</v>
      </c>
      <c r="K227" s="118">
        <v>0</v>
      </c>
      <c r="L227" s="118">
        <v>0</v>
      </c>
      <c r="M227" s="118">
        <v>0</v>
      </c>
      <c r="N227" s="118">
        <v>0</v>
      </c>
      <c r="O227" s="118">
        <v>0</v>
      </c>
      <c r="P227" s="118">
        <v>0</v>
      </c>
      <c r="Q227" s="118">
        <v>0</v>
      </c>
      <c r="R227" s="118">
        <v>112.931</v>
      </c>
      <c r="S227" s="118">
        <f t="shared" si="18"/>
        <v>112.931</v>
      </c>
      <c r="T227" s="118">
        <f t="shared" si="25"/>
        <v>8.6869999999999994</v>
      </c>
    </row>
    <row r="228" spans="1:20">
      <c r="A228" s="118" t="str">
        <f t="shared" si="26"/>
        <v>LGE</v>
      </c>
      <c r="B228" s="118" t="s">
        <v>452</v>
      </c>
      <c r="C228" s="118" t="str">
        <f t="shared" si="27"/>
        <v>397</v>
      </c>
      <c r="D228" s="113" t="s">
        <v>448</v>
      </c>
      <c r="E228" s="113" t="str">
        <f t="shared" si="24"/>
        <v/>
      </c>
      <c r="F228" s="118">
        <v>0</v>
      </c>
      <c r="G228" s="118">
        <v>0</v>
      </c>
      <c r="H228" s="118">
        <v>0</v>
      </c>
      <c r="I228" s="118">
        <v>0</v>
      </c>
      <c r="J228" s="118">
        <v>0</v>
      </c>
      <c r="K228" s="118">
        <v>0</v>
      </c>
      <c r="L228" s="118">
        <v>0</v>
      </c>
      <c r="M228" s="118">
        <v>0</v>
      </c>
      <c r="N228" s="118">
        <v>0</v>
      </c>
      <c r="O228" s="118">
        <v>0</v>
      </c>
      <c r="P228" s="118">
        <v>0</v>
      </c>
      <c r="Q228" s="118">
        <v>0</v>
      </c>
      <c r="R228" s="118">
        <v>0</v>
      </c>
      <c r="S228" s="118">
        <f t="shared" si="18"/>
        <v>0</v>
      </c>
      <c r="T228" s="118">
        <f t="shared" si="25"/>
        <v>0</v>
      </c>
    </row>
    <row r="229" spans="1:20">
      <c r="E229" s="113" t="str">
        <f t="shared" si="24"/>
        <v/>
      </c>
      <c r="T229" s="118">
        <f t="shared" si="25"/>
        <v>0</v>
      </c>
    </row>
    <row r="230" spans="1:20">
      <c r="E230" s="113" t="str">
        <f t="shared" si="24"/>
        <v/>
      </c>
      <c r="T230" s="118">
        <f t="shared" si="25"/>
        <v>0</v>
      </c>
    </row>
    <row r="231" spans="1:20">
      <c r="E231" s="113" t="str">
        <f t="shared" si="24"/>
        <v/>
      </c>
      <c r="T231" s="118">
        <f t="shared" si="25"/>
        <v>0</v>
      </c>
    </row>
    <row r="232" spans="1:20">
      <c r="E232" s="113" t="str">
        <f t="shared" si="24"/>
        <v/>
      </c>
      <c r="T232" s="118">
        <f t="shared" si="25"/>
        <v>0</v>
      </c>
    </row>
    <row r="233" spans="1:20">
      <c r="D233" s="113" t="s">
        <v>410</v>
      </c>
      <c r="E233" s="113" t="str">
        <f t="shared" si="24"/>
        <v/>
      </c>
      <c r="T233" s="118">
        <f t="shared" si="25"/>
        <v>0</v>
      </c>
    </row>
    <row r="234" spans="1:20">
      <c r="A234" s="118" t="str">
        <f t="shared" ref="A234:A274" si="28">MID($D234,4,3)</f>
        <v>LGE</v>
      </c>
      <c r="B234" s="118" t="s">
        <v>545</v>
      </c>
      <c r="C234" s="118" t="str">
        <f t="shared" ref="C234:C274" si="29">MID($D234,9,3)</f>
        <v>302</v>
      </c>
      <c r="D234" s="113" t="s">
        <v>505</v>
      </c>
      <c r="E234" s="113" t="str">
        <f t="shared" si="24"/>
        <v/>
      </c>
      <c r="F234" s="118">
        <v>0.18464370166999999</v>
      </c>
      <c r="G234" s="118">
        <v>0.18864370167</v>
      </c>
      <c r="H234" s="118">
        <v>0.19264370167</v>
      </c>
      <c r="I234" s="118">
        <v>0.19664370167</v>
      </c>
      <c r="J234" s="118">
        <v>0.20064370167000001</v>
      </c>
      <c r="K234" s="118">
        <v>0.20464370167000001</v>
      </c>
      <c r="L234" s="118">
        <v>0.20864370166999999</v>
      </c>
      <c r="M234" s="118">
        <v>0.21264370166999999</v>
      </c>
      <c r="N234" s="118">
        <v>0.21664370166999999</v>
      </c>
      <c r="O234" s="118">
        <v>0.22064370167</v>
      </c>
      <c r="P234" s="118">
        <v>0.22464370167</v>
      </c>
      <c r="Q234" s="118">
        <v>0.22864370167</v>
      </c>
      <c r="R234" s="118">
        <v>0.23264370167000001</v>
      </c>
      <c r="T234" s="118">
        <f t="shared" si="25"/>
        <v>0.20864370166999996</v>
      </c>
    </row>
    <row r="235" spans="1:20">
      <c r="A235" s="118" t="str">
        <f t="shared" si="28"/>
        <v>LGE</v>
      </c>
      <c r="B235" s="118" t="s">
        <v>545</v>
      </c>
      <c r="C235" s="118" t="str">
        <f t="shared" si="29"/>
        <v>350</v>
      </c>
      <c r="D235" s="113" t="s">
        <v>506</v>
      </c>
      <c r="E235" s="113" t="str">
        <f t="shared" si="24"/>
        <v/>
      </c>
      <c r="F235" s="118">
        <v>70.048320953299907</v>
      </c>
      <c r="G235" s="118">
        <v>70.099904286629894</v>
      </c>
      <c r="H235" s="118">
        <v>70.151487619959894</v>
      </c>
      <c r="I235" s="118">
        <v>70.203070953289895</v>
      </c>
      <c r="J235" s="118">
        <v>70.254654286619896</v>
      </c>
      <c r="K235" s="118">
        <v>70.306237619949897</v>
      </c>
      <c r="L235" s="118">
        <v>70.357820953279898</v>
      </c>
      <c r="M235" s="118">
        <v>70.409404286609899</v>
      </c>
      <c r="N235" s="118">
        <v>70.4609876199399</v>
      </c>
      <c r="O235" s="118">
        <v>70.512570953269901</v>
      </c>
      <c r="P235" s="118">
        <v>70.564154286599901</v>
      </c>
      <c r="Q235" s="118">
        <v>70.615737619929902</v>
      </c>
      <c r="R235" s="118">
        <v>70.667320953259903</v>
      </c>
      <c r="T235" s="118">
        <f t="shared" si="25"/>
        <v>70.357820953279898</v>
      </c>
    </row>
    <row r="236" spans="1:20">
      <c r="A236" s="118" t="str">
        <f t="shared" si="28"/>
        <v>LGE</v>
      </c>
      <c r="B236" s="118" t="s">
        <v>545</v>
      </c>
      <c r="C236" s="118" t="str">
        <f t="shared" si="29"/>
        <v>351</v>
      </c>
      <c r="D236" s="113" t="s">
        <v>509</v>
      </c>
      <c r="E236" s="113" t="str">
        <f t="shared" si="24"/>
        <v/>
      </c>
      <c r="F236" s="118">
        <v>1558.5356206900201</v>
      </c>
      <c r="G236" s="118">
        <v>1575.95735967936</v>
      </c>
      <c r="H236" s="118">
        <v>1593.3790986686899</v>
      </c>
      <c r="I236" s="118">
        <v>1610.8008376580201</v>
      </c>
      <c r="J236" s="118">
        <v>1628.22257664736</v>
      </c>
      <c r="K236" s="118">
        <v>1645.64431563669</v>
      </c>
      <c r="L236" s="118">
        <v>1663.0660546260201</v>
      </c>
      <c r="M236" s="118">
        <v>1680.48779361536</v>
      </c>
      <c r="N236" s="118">
        <v>1697.90953260469</v>
      </c>
      <c r="O236" s="118">
        <v>1715.3312715940201</v>
      </c>
      <c r="P236" s="118">
        <v>1732.75301058336</v>
      </c>
      <c r="Q236" s="118">
        <v>1750.17474957269</v>
      </c>
      <c r="R236" s="118">
        <v>1767.5964885620201</v>
      </c>
      <c r="T236" s="118">
        <f t="shared" si="25"/>
        <v>1663.0660546260233</v>
      </c>
    </row>
    <row r="237" spans="1:20">
      <c r="A237" s="118" t="str">
        <f t="shared" si="28"/>
        <v>LGE</v>
      </c>
      <c r="B237" s="118" t="s">
        <v>545</v>
      </c>
      <c r="C237" s="118" t="str">
        <f t="shared" si="29"/>
        <v>351</v>
      </c>
      <c r="D237" s="113" t="s">
        <v>510</v>
      </c>
      <c r="E237" s="113" t="str">
        <f t="shared" si="24"/>
        <v/>
      </c>
      <c r="F237" s="118">
        <v>175.885925388</v>
      </c>
      <c r="G237" s="118">
        <v>178.22677421</v>
      </c>
      <c r="H237" s="118">
        <v>180.567623032</v>
      </c>
      <c r="I237" s="118">
        <v>182.908471854</v>
      </c>
      <c r="J237" s="118">
        <v>185.249320676</v>
      </c>
      <c r="K237" s="118">
        <v>187.59016949799999</v>
      </c>
      <c r="L237" s="118">
        <v>189.93101831999999</v>
      </c>
      <c r="M237" s="118">
        <v>192.27186714199999</v>
      </c>
      <c r="N237" s="118">
        <v>194.61271596399999</v>
      </c>
      <c r="O237" s="118">
        <v>196.95356478599999</v>
      </c>
      <c r="P237" s="118">
        <v>199.29441360800001</v>
      </c>
      <c r="Q237" s="118">
        <v>201.63526243000001</v>
      </c>
      <c r="R237" s="118">
        <v>203.97611125200001</v>
      </c>
      <c r="T237" s="118">
        <f t="shared" si="25"/>
        <v>189.93101831999999</v>
      </c>
    </row>
    <row r="238" spans="1:20">
      <c r="A238" s="118" t="str">
        <f t="shared" si="28"/>
        <v>LGE</v>
      </c>
      <c r="B238" s="118" t="s">
        <v>545</v>
      </c>
      <c r="C238" s="118" t="str">
        <f t="shared" si="29"/>
        <v>351</v>
      </c>
      <c r="D238" s="113" t="s">
        <v>511</v>
      </c>
      <c r="E238" s="113" t="str">
        <f t="shared" si="24"/>
        <v/>
      </c>
      <c r="F238" s="118">
        <v>753.95408944869905</v>
      </c>
      <c r="G238" s="118">
        <v>760.36334225869905</v>
      </c>
      <c r="H238" s="118">
        <v>766.78583476369897</v>
      </c>
      <c r="I238" s="118">
        <v>773.22156696369905</v>
      </c>
      <c r="J238" s="118">
        <v>779.65729916369901</v>
      </c>
      <c r="K238" s="118">
        <v>786.09303136369897</v>
      </c>
      <c r="L238" s="118">
        <v>792.52876356369904</v>
      </c>
      <c r="M238" s="118">
        <v>798.96449576369901</v>
      </c>
      <c r="N238" s="118">
        <v>805.40022796369897</v>
      </c>
      <c r="O238" s="118">
        <v>811.83596016369904</v>
      </c>
      <c r="P238" s="118">
        <v>818.271692363699</v>
      </c>
      <c r="Q238" s="118">
        <v>824.70742456369999</v>
      </c>
      <c r="R238" s="118">
        <v>831.14315676369995</v>
      </c>
      <c r="T238" s="118">
        <f t="shared" si="25"/>
        <v>792.53283731600686</v>
      </c>
    </row>
    <row r="239" spans="1:20">
      <c r="A239" s="118" t="str">
        <f t="shared" si="28"/>
        <v>LGE</v>
      </c>
      <c r="B239" s="118" t="s">
        <v>545</v>
      </c>
      <c r="C239" s="351">
        <v>352.1</v>
      </c>
      <c r="D239" s="113" t="s">
        <v>512</v>
      </c>
      <c r="E239" s="113" t="str">
        <f t="shared" si="24"/>
        <v/>
      </c>
      <c r="F239" s="118">
        <v>569.58996000000002</v>
      </c>
      <c r="G239" s="118">
        <v>569.58996000000002</v>
      </c>
      <c r="H239" s="118">
        <v>569.58996000000002</v>
      </c>
      <c r="I239" s="118">
        <v>569.58996000000002</v>
      </c>
      <c r="J239" s="118">
        <v>569.58996000000002</v>
      </c>
      <c r="K239" s="118">
        <v>569.58996000000002</v>
      </c>
      <c r="L239" s="118">
        <v>569.58996000000002</v>
      </c>
      <c r="M239" s="118">
        <v>569.58996000000002</v>
      </c>
      <c r="N239" s="118">
        <v>569.58996000000002</v>
      </c>
      <c r="O239" s="118">
        <v>569.58996000000002</v>
      </c>
      <c r="P239" s="118">
        <v>569.58996000000002</v>
      </c>
      <c r="Q239" s="118">
        <v>569.58996000000002</v>
      </c>
      <c r="R239" s="118">
        <v>569.58996000000002</v>
      </c>
      <c r="T239" s="118">
        <f t="shared" si="25"/>
        <v>569.58996000000013</v>
      </c>
    </row>
    <row r="240" spans="1:20">
      <c r="A240" s="118" t="str">
        <f t="shared" si="28"/>
        <v>LGE</v>
      </c>
      <c r="B240" s="118" t="s">
        <v>545</v>
      </c>
      <c r="C240" s="118" t="s">
        <v>1104</v>
      </c>
      <c r="D240" s="113" t="s">
        <v>513</v>
      </c>
      <c r="E240" s="113" t="str">
        <f t="shared" si="24"/>
        <v/>
      </c>
      <c r="F240" s="118">
        <v>8221.5308137499997</v>
      </c>
      <c r="G240" s="118">
        <v>8228.1485637500009</v>
      </c>
      <c r="H240" s="118">
        <v>8234.7663137500003</v>
      </c>
      <c r="I240" s="118">
        <v>8241.3840637499998</v>
      </c>
      <c r="J240" s="118">
        <v>8248.0018137499992</v>
      </c>
      <c r="K240" s="118">
        <v>8254.6195637500005</v>
      </c>
      <c r="L240" s="118">
        <v>8261.2373137499999</v>
      </c>
      <c r="M240" s="118">
        <v>8267.8550637499993</v>
      </c>
      <c r="N240" s="118">
        <v>8274.4728137499897</v>
      </c>
      <c r="O240" s="118">
        <v>8281.0905637499909</v>
      </c>
      <c r="P240" s="118">
        <v>8287.7083137499903</v>
      </c>
      <c r="Q240" s="118">
        <v>8294.3260637499898</v>
      </c>
      <c r="R240" s="118">
        <v>8300.9438137499892</v>
      </c>
      <c r="T240" s="118">
        <f t="shared" si="25"/>
        <v>8261.2373137499962</v>
      </c>
    </row>
    <row r="241" spans="1:20">
      <c r="A241" s="118" t="str">
        <f t="shared" si="28"/>
        <v>LGE</v>
      </c>
      <c r="B241" s="118" t="s">
        <v>545</v>
      </c>
      <c r="C241" s="351">
        <v>352.2</v>
      </c>
      <c r="D241" s="113" t="s">
        <v>514</v>
      </c>
      <c r="E241" s="113" t="str">
        <f t="shared" si="24"/>
        <v/>
      </c>
      <c r="F241" s="118">
        <v>452.02728999999999</v>
      </c>
      <c r="G241" s="118">
        <v>452.02728999999999</v>
      </c>
      <c r="H241" s="118">
        <v>452.02728999999999</v>
      </c>
      <c r="I241" s="118">
        <v>452.02728999999999</v>
      </c>
      <c r="J241" s="118">
        <v>452.02728999999999</v>
      </c>
      <c r="K241" s="118">
        <v>452.02728999999999</v>
      </c>
      <c r="L241" s="118">
        <v>452.02728999999999</v>
      </c>
      <c r="M241" s="118">
        <v>452.02728999999999</v>
      </c>
      <c r="N241" s="118">
        <v>452.02728999999999</v>
      </c>
      <c r="O241" s="118">
        <v>452.02728999999999</v>
      </c>
      <c r="P241" s="118">
        <v>452.02728999999999</v>
      </c>
      <c r="Q241" s="118">
        <v>452.02728999999999</v>
      </c>
      <c r="R241" s="118">
        <v>452.02728999999999</v>
      </c>
      <c r="T241" s="118">
        <f t="shared" si="25"/>
        <v>452.02728999999999</v>
      </c>
    </row>
    <row r="242" spans="1:20">
      <c r="A242" s="118" t="str">
        <f t="shared" si="28"/>
        <v>LGE</v>
      </c>
      <c r="B242" s="118" t="s">
        <v>545</v>
      </c>
      <c r="C242" s="118" t="str">
        <f t="shared" si="29"/>
        <v>352</v>
      </c>
      <c r="D242" s="113" t="s">
        <v>515</v>
      </c>
      <c r="E242" s="113" t="str">
        <f t="shared" si="24"/>
        <v/>
      </c>
      <c r="F242" s="118">
        <v>332.24757353979902</v>
      </c>
      <c r="G242" s="118">
        <v>336.439860340699</v>
      </c>
      <c r="H242" s="118">
        <v>340.63214714159898</v>
      </c>
      <c r="I242" s="118">
        <v>344.82443394249901</v>
      </c>
      <c r="J242" s="118">
        <v>349.01672074339899</v>
      </c>
      <c r="K242" s="118">
        <v>353.20900754429903</v>
      </c>
      <c r="L242" s="118">
        <v>357.40129434519901</v>
      </c>
      <c r="M242" s="118">
        <v>361.59358114609898</v>
      </c>
      <c r="N242" s="118">
        <v>365.78586794699999</v>
      </c>
      <c r="O242" s="118">
        <v>369.97815474790002</v>
      </c>
      <c r="P242" s="118">
        <v>374.1704415488</v>
      </c>
      <c r="Q242" s="118">
        <v>378.36272834969998</v>
      </c>
      <c r="R242" s="118">
        <v>382.55501515060001</v>
      </c>
      <c r="T242" s="118">
        <f t="shared" si="25"/>
        <v>357.40129434519946</v>
      </c>
    </row>
    <row r="243" spans="1:20">
      <c r="A243" s="118" t="str">
        <f t="shared" si="28"/>
        <v>LGE</v>
      </c>
      <c r="B243" s="118" t="s">
        <v>545</v>
      </c>
      <c r="C243" s="118" t="str">
        <f t="shared" si="29"/>
        <v>352</v>
      </c>
      <c r="D243" s="113" t="s">
        <v>516</v>
      </c>
      <c r="E243" s="113" t="str">
        <f t="shared" si="24"/>
        <v/>
      </c>
      <c r="F243" s="118">
        <v>345.72943007319998</v>
      </c>
      <c r="G243" s="118">
        <v>353.15061876536998</v>
      </c>
      <c r="H243" s="118">
        <v>360.57180745753999</v>
      </c>
      <c r="I243" s="118">
        <v>367.99299614971</v>
      </c>
      <c r="J243" s="118">
        <v>375.41418484188</v>
      </c>
      <c r="K243" s="118">
        <v>382.83537353404898</v>
      </c>
      <c r="L243" s="118">
        <v>390.25656222621899</v>
      </c>
      <c r="M243" s="118">
        <v>397.67775091838899</v>
      </c>
      <c r="N243" s="118">
        <v>405.098939610559</v>
      </c>
      <c r="O243" s="118">
        <v>412.52012830272901</v>
      </c>
      <c r="P243" s="118">
        <v>419.94131699489901</v>
      </c>
      <c r="Q243" s="118">
        <v>427.36250568706902</v>
      </c>
      <c r="R243" s="118">
        <v>434.78369437923902</v>
      </c>
      <c r="T243" s="118">
        <f t="shared" si="25"/>
        <v>390.25656222621939</v>
      </c>
    </row>
    <row r="244" spans="1:20">
      <c r="A244" s="118" t="str">
        <f t="shared" si="28"/>
        <v>LGE</v>
      </c>
      <c r="B244" s="118" t="s">
        <v>545</v>
      </c>
      <c r="C244" s="118" t="str">
        <f t="shared" si="29"/>
        <v>352</v>
      </c>
      <c r="D244" s="113" t="s">
        <v>517</v>
      </c>
      <c r="E244" s="113" t="str">
        <f t="shared" si="24"/>
        <v/>
      </c>
      <c r="F244" s="118">
        <v>1822.29488320422</v>
      </c>
      <c r="G244" s="118">
        <v>1830.2892657432201</v>
      </c>
      <c r="H244" s="118">
        <v>1838.8562438272199</v>
      </c>
      <c r="I244" s="118">
        <v>1847.4601961252199</v>
      </c>
      <c r="J244" s="118">
        <v>1856.07158786422</v>
      </c>
      <c r="K244" s="118">
        <v>1864.68640597222</v>
      </c>
      <c r="L244" s="118">
        <v>1873.30063738022</v>
      </c>
      <c r="M244" s="118">
        <v>1881.91457543922</v>
      </c>
      <c r="N244" s="118">
        <v>1890.52851349822</v>
      </c>
      <c r="O244" s="118">
        <v>1899.1424515572201</v>
      </c>
      <c r="P244" s="118">
        <v>1907.7563896162201</v>
      </c>
      <c r="Q244" s="118">
        <v>1916.3703276752201</v>
      </c>
      <c r="R244" s="118">
        <v>1924.9842657342299</v>
      </c>
      <c r="T244" s="118">
        <f t="shared" si="25"/>
        <v>1873.3581341259132</v>
      </c>
    </row>
    <row r="245" spans="1:20">
      <c r="A245" s="118" t="str">
        <f t="shared" si="28"/>
        <v>LGE</v>
      </c>
      <c r="B245" s="118" t="s">
        <v>545</v>
      </c>
      <c r="C245" s="118" t="str">
        <f t="shared" si="29"/>
        <v>352</v>
      </c>
      <c r="D245" s="113" t="s">
        <v>518</v>
      </c>
      <c r="E245" s="113" t="str">
        <f t="shared" si="24"/>
        <v/>
      </c>
      <c r="F245" s="118">
        <v>486.8035820691</v>
      </c>
      <c r="G245" s="118">
        <v>254.68858099330001</v>
      </c>
      <c r="H245" s="118">
        <v>164.95970836000001</v>
      </c>
      <c r="I245" s="118">
        <v>39.088335500000198</v>
      </c>
      <c r="J245" s="118">
        <v>8.4224021217002498</v>
      </c>
      <c r="K245" s="118">
        <v>31.799238743400199</v>
      </c>
      <c r="L245" s="118">
        <v>61.232735365100197</v>
      </c>
      <c r="M245" s="118">
        <v>90.666231986800199</v>
      </c>
      <c r="N245" s="118">
        <v>120.0997286085</v>
      </c>
      <c r="O245" s="118">
        <v>149.5332252302</v>
      </c>
      <c r="P245" s="118">
        <v>178.96672185189999</v>
      </c>
      <c r="Q245" s="118">
        <v>208.40021847360001</v>
      </c>
      <c r="R245" s="118">
        <v>237.83371509529999</v>
      </c>
      <c r="T245" s="118">
        <f t="shared" si="25"/>
        <v>156.34572495376165</v>
      </c>
    </row>
    <row r="246" spans="1:20">
      <c r="A246" s="118" t="str">
        <f t="shared" si="28"/>
        <v>LGE</v>
      </c>
      <c r="B246" s="118" t="s">
        <v>545</v>
      </c>
      <c r="C246" s="118" t="str">
        <f t="shared" si="29"/>
        <v>353</v>
      </c>
      <c r="D246" s="113" t="s">
        <v>519</v>
      </c>
      <c r="E246" s="113" t="str">
        <f t="shared" si="24"/>
        <v/>
      </c>
      <c r="F246" s="118">
        <v>844.57919190668997</v>
      </c>
      <c r="G246" s="118">
        <v>852.94038278751998</v>
      </c>
      <c r="H246" s="118">
        <v>861.30157366834999</v>
      </c>
      <c r="I246" s="118">
        <v>869.66276454918</v>
      </c>
      <c r="J246" s="118">
        <v>878.02395543001001</v>
      </c>
      <c r="K246" s="118">
        <v>886.38514631084001</v>
      </c>
      <c r="L246" s="118">
        <v>894.74633719167002</v>
      </c>
      <c r="M246" s="118">
        <v>903.10752807250003</v>
      </c>
      <c r="N246" s="118">
        <v>911.46871895333004</v>
      </c>
      <c r="O246" s="118">
        <v>919.82990983416005</v>
      </c>
      <c r="P246" s="118">
        <v>928.19110071498994</v>
      </c>
      <c r="Q246" s="118">
        <v>936.55229159581995</v>
      </c>
      <c r="R246" s="118">
        <v>944.91348247664996</v>
      </c>
      <c r="T246" s="118">
        <f t="shared" si="25"/>
        <v>894.74633719167002</v>
      </c>
    </row>
    <row r="247" spans="1:20">
      <c r="A247" s="118" t="str">
        <f t="shared" si="28"/>
        <v>LGE</v>
      </c>
      <c r="B247" s="118" t="s">
        <v>545</v>
      </c>
      <c r="C247" s="118" t="str">
        <f t="shared" si="29"/>
        <v>353</v>
      </c>
      <c r="D247" s="113" t="s">
        <v>520</v>
      </c>
      <c r="E247" s="113" t="str">
        <f t="shared" si="24"/>
        <v/>
      </c>
      <c r="F247" s="118">
        <v>8069.1523283180004</v>
      </c>
      <c r="G247" s="118">
        <v>8099.3753088147996</v>
      </c>
      <c r="H247" s="118">
        <v>8129.5982893115997</v>
      </c>
      <c r="I247" s="118">
        <v>8159.8212698083998</v>
      </c>
      <c r="J247" s="118">
        <v>8190.0442503052</v>
      </c>
      <c r="K247" s="118">
        <v>8220.2672308019992</v>
      </c>
      <c r="L247" s="118">
        <v>8250.4902112988002</v>
      </c>
      <c r="M247" s="118">
        <v>8280.7131917955994</v>
      </c>
      <c r="N247" s="118">
        <v>8310.9361722924004</v>
      </c>
      <c r="O247" s="118">
        <v>8341.1591527891997</v>
      </c>
      <c r="P247" s="118">
        <v>8371.3821332860098</v>
      </c>
      <c r="Q247" s="118">
        <v>8401.6051137828108</v>
      </c>
      <c r="R247" s="118">
        <v>8431.82809427961</v>
      </c>
      <c r="T247" s="118">
        <f t="shared" si="25"/>
        <v>8250.490211298802</v>
      </c>
    </row>
    <row r="248" spans="1:20">
      <c r="A248" s="118" t="str">
        <f t="shared" si="28"/>
        <v>LGE</v>
      </c>
      <c r="B248" s="118" t="s">
        <v>545</v>
      </c>
      <c r="C248" s="118" t="str">
        <f t="shared" si="29"/>
        <v>354</v>
      </c>
      <c r="D248" s="113" t="s">
        <v>521</v>
      </c>
      <c r="E248" s="113" t="str">
        <f t="shared" si="24"/>
        <v/>
      </c>
      <c r="F248" s="118">
        <v>7607.677957076</v>
      </c>
      <c r="G248" s="118">
        <v>7715.4023111514998</v>
      </c>
      <c r="H248" s="118">
        <v>7823.5243922273903</v>
      </c>
      <c r="I248" s="118">
        <v>7932.0017289101997</v>
      </c>
      <c r="J248" s="118">
        <v>8041.3675147601998</v>
      </c>
      <c r="K248" s="118">
        <v>8151.5731596676997</v>
      </c>
      <c r="L248" s="118">
        <v>8262.0487353504905</v>
      </c>
      <c r="M248" s="118">
        <v>8372.7477460626997</v>
      </c>
      <c r="N248" s="118">
        <v>8483.4704367749</v>
      </c>
      <c r="O248" s="118">
        <v>8594.2168074870897</v>
      </c>
      <c r="P248" s="118">
        <v>8705.0626202222993</v>
      </c>
      <c r="Q248" s="118">
        <v>8816.1397946745001</v>
      </c>
      <c r="R248" s="118">
        <v>8927.6078335971997</v>
      </c>
      <c r="T248" s="118">
        <f t="shared" si="25"/>
        <v>8264.0646952278585</v>
      </c>
    </row>
    <row r="249" spans="1:20">
      <c r="A249" s="118" t="str">
        <f t="shared" si="28"/>
        <v>LGE</v>
      </c>
      <c r="B249" s="118" t="s">
        <v>545</v>
      </c>
      <c r="C249" s="118" t="str">
        <f t="shared" si="29"/>
        <v>355</v>
      </c>
      <c r="D249" s="113" t="s">
        <v>522</v>
      </c>
      <c r="E249" s="113" t="str">
        <f t="shared" si="24"/>
        <v/>
      </c>
      <c r="F249" s="118">
        <v>276.53637823359998</v>
      </c>
      <c r="G249" s="118">
        <v>281.37004305572998</v>
      </c>
      <c r="H249" s="118">
        <v>286.20370787785998</v>
      </c>
      <c r="I249" s="118">
        <v>291.03737269998999</v>
      </c>
      <c r="J249" s="118">
        <v>295.87103752211999</v>
      </c>
      <c r="K249" s="118">
        <v>300.70470234424999</v>
      </c>
      <c r="L249" s="118">
        <v>305.53836716638</v>
      </c>
      <c r="M249" s="118">
        <v>310.37203198851</v>
      </c>
      <c r="N249" s="118">
        <v>315.20569681064001</v>
      </c>
      <c r="O249" s="118">
        <v>320.03936163277001</v>
      </c>
      <c r="P249" s="118">
        <v>324.87302645490001</v>
      </c>
      <c r="Q249" s="118">
        <v>329.70669127703002</v>
      </c>
      <c r="R249" s="118">
        <v>334.54035609916002</v>
      </c>
      <c r="T249" s="118">
        <f t="shared" si="25"/>
        <v>305.53836716638</v>
      </c>
    </row>
    <row r="250" spans="1:20">
      <c r="A250" s="118" t="str">
        <f t="shared" si="28"/>
        <v>LGE</v>
      </c>
      <c r="B250" s="118" t="s">
        <v>545</v>
      </c>
      <c r="C250" s="118" t="str">
        <f t="shared" si="29"/>
        <v>356</v>
      </c>
      <c r="D250" s="113" t="s">
        <v>523</v>
      </c>
      <c r="E250" s="113" t="str">
        <f t="shared" si="24"/>
        <v/>
      </c>
      <c r="F250" s="118">
        <v>5913.1992199945998</v>
      </c>
      <c r="G250" s="118">
        <v>5958.7358093520997</v>
      </c>
      <c r="H250" s="118">
        <v>6004.3794813718996</v>
      </c>
      <c r="I250" s="118">
        <v>6050.0314011480996</v>
      </c>
      <c r="J250" s="118">
        <v>6096.3512312158</v>
      </c>
      <c r="K250" s="118">
        <v>6143.3389715740996</v>
      </c>
      <c r="L250" s="118">
        <v>6190.9761271362904</v>
      </c>
      <c r="M250" s="118">
        <v>6239.25857401959</v>
      </c>
      <c r="N250" s="118">
        <v>6287.5410209028896</v>
      </c>
      <c r="O250" s="118">
        <v>6335.8234677861901</v>
      </c>
      <c r="P250" s="118">
        <v>6384.1059146694897</v>
      </c>
      <c r="Q250" s="118">
        <v>6432.3883615527902</v>
      </c>
      <c r="R250" s="118">
        <v>6480.6989257860896</v>
      </c>
      <c r="T250" s="118">
        <f t="shared" si="25"/>
        <v>6193.6021928084556</v>
      </c>
    </row>
    <row r="251" spans="1:20">
      <c r="A251" s="118" t="str">
        <f t="shared" si="28"/>
        <v>LGE</v>
      </c>
      <c r="B251" s="118" t="s">
        <v>545</v>
      </c>
      <c r="C251" s="118" t="str">
        <f t="shared" si="29"/>
        <v>357</v>
      </c>
      <c r="D251" s="113" t="s">
        <v>524</v>
      </c>
      <c r="E251" s="113" t="str">
        <f t="shared" si="24"/>
        <v/>
      </c>
      <c r="F251" s="118">
        <v>113.38702930601001</v>
      </c>
      <c r="G251" s="118">
        <v>117.51574725281</v>
      </c>
      <c r="H251" s="118">
        <v>121.64446519961</v>
      </c>
      <c r="I251" s="118">
        <v>125.773183146409</v>
      </c>
      <c r="J251" s="118">
        <v>129.90190109320901</v>
      </c>
      <c r="K251" s="118">
        <v>134.03061904000899</v>
      </c>
      <c r="L251" s="118">
        <v>138.159336986809</v>
      </c>
      <c r="M251" s="118">
        <v>142.288054933609</v>
      </c>
      <c r="N251" s="118">
        <v>146.41677288040901</v>
      </c>
      <c r="O251" s="118">
        <v>150.54549082720899</v>
      </c>
      <c r="P251" s="118">
        <v>154.674208774009</v>
      </c>
      <c r="Q251" s="118">
        <v>158.80292672080901</v>
      </c>
      <c r="R251" s="118">
        <v>162.93164466760899</v>
      </c>
      <c r="T251" s="118">
        <f t="shared" si="25"/>
        <v>138.15933698680922</v>
      </c>
    </row>
    <row r="252" spans="1:20">
      <c r="A252" s="118" t="str">
        <f t="shared" si="28"/>
        <v>LGE</v>
      </c>
      <c r="B252" s="118" t="s">
        <v>545</v>
      </c>
      <c r="C252" s="118" t="str">
        <f t="shared" si="29"/>
        <v>357</v>
      </c>
      <c r="D252" s="113" t="s">
        <v>525</v>
      </c>
      <c r="E252" s="113" t="str">
        <f t="shared" si="24"/>
        <v/>
      </c>
      <c r="F252" s="118">
        <v>264.87339933344998</v>
      </c>
      <c r="G252" s="118">
        <v>256.45265588637</v>
      </c>
      <c r="H252" s="118">
        <v>244.74506753758999</v>
      </c>
      <c r="I252" s="118">
        <v>253.14767757017</v>
      </c>
      <c r="J252" s="118">
        <v>261.56612336174999</v>
      </c>
      <c r="K252" s="118">
        <v>270.52059938296998</v>
      </c>
      <c r="L252" s="118">
        <v>281.49300948089001</v>
      </c>
      <c r="M252" s="118">
        <v>294.58177619839</v>
      </c>
      <c r="N252" s="118">
        <v>307.67375295929003</v>
      </c>
      <c r="O252" s="118">
        <v>320.80729868308998</v>
      </c>
      <c r="P252" s="118">
        <v>334.07926704828998</v>
      </c>
      <c r="Q252" s="118">
        <v>326.49188850568999</v>
      </c>
      <c r="R252" s="118">
        <v>333.46350520228998</v>
      </c>
      <c r="T252" s="118">
        <f t="shared" si="25"/>
        <v>288.4535400884792</v>
      </c>
    </row>
    <row r="253" spans="1:20">
      <c r="A253" s="118" t="str">
        <f t="shared" si="28"/>
        <v>LGE</v>
      </c>
      <c r="B253" s="118" t="s">
        <v>545</v>
      </c>
      <c r="C253" s="118" t="str">
        <f t="shared" si="29"/>
        <v>358</v>
      </c>
      <c r="D253" s="113" t="s">
        <v>526</v>
      </c>
      <c r="E253" s="113" t="str">
        <f t="shared" si="24"/>
        <v>ARO</v>
      </c>
      <c r="F253" s="118">
        <v>1031.9169592559999</v>
      </c>
      <c r="G253" s="118">
        <v>1041.2720591320001</v>
      </c>
      <c r="H253" s="118">
        <v>1050.627159008</v>
      </c>
      <c r="I253" s="118">
        <v>1059.982258884</v>
      </c>
      <c r="J253" s="118">
        <v>1069.3373587599999</v>
      </c>
      <c r="K253" s="118">
        <v>1078.6924586359901</v>
      </c>
      <c r="L253" s="118">
        <v>1088.04755851199</v>
      </c>
      <c r="M253" s="118">
        <v>1097.40265838799</v>
      </c>
      <c r="N253" s="118">
        <v>1106.7577582639899</v>
      </c>
      <c r="O253" s="118">
        <v>1116.1128581399901</v>
      </c>
      <c r="P253" s="118">
        <v>1125.46795801599</v>
      </c>
      <c r="Q253" s="118">
        <v>1134.8230578919899</v>
      </c>
      <c r="R253" s="118">
        <v>1144.1781577679899</v>
      </c>
      <c r="T253" s="118">
        <f t="shared" si="25"/>
        <v>1088.0475585119939</v>
      </c>
    </row>
    <row r="254" spans="1:20">
      <c r="A254" s="118" t="str">
        <f t="shared" si="28"/>
        <v>LGE</v>
      </c>
      <c r="B254" s="118" t="s">
        <v>545</v>
      </c>
      <c r="C254" s="118" t="str">
        <f t="shared" si="29"/>
        <v>365</v>
      </c>
      <c r="D254" s="113" t="s">
        <v>527</v>
      </c>
      <c r="E254" s="113" t="str">
        <f t="shared" si="24"/>
        <v/>
      </c>
      <c r="F254" s="118">
        <v>211.02196206670001</v>
      </c>
      <c r="G254" s="118">
        <v>211.04654540003</v>
      </c>
      <c r="H254" s="118">
        <v>211.07112873336001</v>
      </c>
      <c r="I254" s="118">
        <v>211.09571206669</v>
      </c>
      <c r="J254" s="118">
        <v>211.12029540002001</v>
      </c>
      <c r="K254" s="118">
        <v>211.14487873335</v>
      </c>
      <c r="L254" s="118">
        <v>211.16946206668001</v>
      </c>
      <c r="M254" s="118">
        <v>211.19404540001</v>
      </c>
      <c r="N254" s="118">
        <v>211.21862873334001</v>
      </c>
      <c r="O254" s="118">
        <v>211.24321206667</v>
      </c>
      <c r="P254" s="118">
        <v>211.26779540000001</v>
      </c>
      <c r="Q254" s="118">
        <v>211.29237873333</v>
      </c>
      <c r="R254" s="118">
        <v>211.31696206666001</v>
      </c>
      <c r="T254" s="118">
        <f t="shared" si="25"/>
        <v>211.16946206668004</v>
      </c>
    </row>
    <row r="255" spans="1:20">
      <c r="A255" s="118" t="str">
        <f t="shared" si="28"/>
        <v>LGE</v>
      </c>
      <c r="B255" s="118" t="s">
        <v>545</v>
      </c>
      <c r="C255" s="118" t="str">
        <f t="shared" si="29"/>
        <v>367</v>
      </c>
      <c r="D255" s="113" t="s">
        <v>528</v>
      </c>
      <c r="E255" s="113" t="str">
        <f t="shared" si="24"/>
        <v/>
      </c>
      <c r="F255" s="118">
        <v>11261.5489449662</v>
      </c>
      <c r="G255" s="118">
        <v>11352.083454850201</v>
      </c>
      <c r="H255" s="118">
        <v>11442.620480998199</v>
      </c>
      <c r="I255" s="118">
        <v>11533.157507146199</v>
      </c>
      <c r="J255" s="118">
        <v>11623.6945332942</v>
      </c>
      <c r="K255" s="118">
        <v>11714.2315594422</v>
      </c>
      <c r="L255" s="118">
        <v>11804.768380409199</v>
      </c>
      <c r="M255" s="118">
        <v>11895.304996185199</v>
      </c>
      <c r="N255" s="118">
        <v>11985.841611961199</v>
      </c>
      <c r="O255" s="118">
        <v>12076.378227737199</v>
      </c>
      <c r="P255" s="118">
        <v>12166.914843513199</v>
      </c>
      <c r="Q255" s="118">
        <v>12257.451459289199</v>
      </c>
      <c r="R255" s="118">
        <v>12348.012450555199</v>
      </c>
      <c r="T255" s="118">
        <f t="shared" si="25"/>
        <v>11804.769880795966</v>
      </c>
    </row>
    <row r="256" spans="1:20">
      <c r="A256" s="118" t="str">
        <f t="shared" si="28"/>
        <v>LGE</v>
      </c>
      <c r="B256" s="118" t="s">
        <v>545</v>
      </c>
      <c r="C256" s="118" t="str">
        <f t="shared" si="29"/>
        <v>372</v>
      </c>
      <c r="D256" s="113" t="s">
        <v>729</v>
      </c>
      <c r="E256" s="113" t="str">
        <f t="shared" si="24"/>
        <v>ARO</v>
      </c>
      <c r="F256" s="118">
        <v>355.42313639799897</v>
      </c>
      <c r="G256" s="118">
        <v>357.64271413099902</v>
      </c>
      <c r="H256" s="118">
        <v>359.86229186399902</v>
      </c>
      <c r="I256" s="118">
        <v>362.08186959699901</v>
      </c>
      <c r="J256" s="118">
        <v>364.30144732999901</v>
      </c>
      <c r="K256" s="118">
        <v>366.521025062999</v>
      </c>
      <c r="L256" s="118">
        <v>368.740602795999</v>
      </c>
      <c r="M256" s="118">
        <v>370.96018052899899</v>
      </c>
      <c r="N256" s="118">
        <v>373.17975826199898</v>
      </c>
      <c r="O256" s="118">
        <v>375.39933599499898</v>
      </c>
      <c r="P256" s="118">
        <v>377.61891372799897</v>
      </c>
      <c r="Q256" s="118">
        <v>379.83849146099902</v>
      </c>
      <c r="R256" s="118">
        <v>382.05806919399902</v>
      </c>
      <c r="T256" s="118">
        <f t="shared" si="25"/>
        <v>368.740602795999</v>
      </c>
    </row>
    <row r="257" spans="1:20">
      <c r="A257" s="118" t="str">
        <f t="shared" si="28"/>
        <v>LGE</v>
      </c>
      <c r="B257" s="118" t="s">
        <v>545</v>
      </c>
      <c r="C257" s="118" t="str">
        <f t="shared" si="29"/>
        <v>374</v>
      </c>
      <c r="D257" s="113" t="s">
        <v>529</v>
      </c>
      <c r="E257" s="113" t="str">
        <f t="shared" si="24"/>
        <v/>
      </c>
      <c r="F257" s="118">
        <v>77.439689999999999</v>
      </c>
      <c r="G257" s="118">
        <v>77.439689999999999</v>
      </c>
      <c r="H257" s="118">
        <v>77.439689999999999</v>
      </c>
      <c r="I257" s="118">
        <v>77.439689999999999</v>
      </c>
      <c r="J257" s="118">
        <v>77.439689999999999</v>
      </c>
      <c r="K257" s="118">
        <v>77.439689999999999</v>
      </c>
      <c r="L257" s="118">
        <v>77.439689999999999</v>
      </c>
      <c r="M257" s="118">
        <v>77.439689999999999</v>
      </c>
      <c r="N257" s="118">
        <v>77.439689999999999</v>
      </c>
      <c r="O257" s="118">
        <v>77.439689999999999</v>
      </c>
      <c r="P257" s="118">
        <v>77.439689999999999</v>
      </c>
      <c r="Q257" s="118">
        <v>77.439689999999999</v>
      </c>
      <c r="R257" s="118">
        <v>77.439689999999999</v>
      </c>
      <c r="T257" s="118">
        <f t="shared" si="25"/>
        <v>77.439690000000013</v>
      </c>
    </row>
    <row r="258" spans="1:20">
      <c r="A258" s="118" t="str">
        <f t="shared" si="28"/>
        <v>LGE</v>
      </c>
      <c r="B258" s="118" t="s">
        <v>545</v>
      </c>
      <c r="C258" s="118" t="str">
        <f t="shared" si="29"/>
        <v>375</v>
      </c>
      <c r="D258" s="113" t="s">
        <v>530</v>
      </c>
      <c r="E258" s="113" t="str">
        <f t="shared" si="24"/>
        <v/>
      </c>
      <c r="F258" s="118">
        <v>381.53867257970001</v>
      </c>
      <c r="G258" s="118">
        <v>384.57487003419999</v>
      </c>
      <c r="H258" s="118">
        <v>387.61106748869997</v>
      </c>
      <c r="I258" s="118">
        <v>390.64726494320001</v>
      </c>
      <c r="J258" s="118">
        <v>393.6834623977</v>
      </c>
      <c r="K258" s="118">
        <v>396.71965985219998</v>
      </c>
      <c r="L258" s="118">
        <v>399.75585730670002</v>
      </c>
      <c r="M258" s="118">
        <v>402.79205476120001</v>
      </c>
      <c r="N258" s="118">
        <v>405.82825221569999</v>
      </c>
      <c r="O258" s="118">
        <v>408.86444967019997</v>
      </c>
      <c r="P258" s="118">
        <v>411.90064712470001</v>
      </c>
      <c r="Q258" s="118">
        <v>414.9368445792</v>
      </c>
      <c r="R258" s="118">
        <v>417.97304203369998</v>
      </c>
      <c r="T258" s="118">
        <f t="shared" si="25"/>
        <v>399.75585730669997</v>
      </c>
    </row>
    <row r="259" spans="1:20">
      <c r="A259" s="118" t="str">
        <f t="shared" si="28"/>
        <v>LGE</v>
      </c>
      <c r="B259" s="118" t="s">
        <v>545</v>
      </c>
      <c r="C259" s="118" t="str">
        <f t="shared" si="29"/>
        <v>376</v>
      </c>
      <c r="D259" s="113" t="s">
        <v>531</v>
      </c>
      <c r="E259" s="113" t="str">
        <f t="shared" si="24"/>
        <v/>
      </c>
      <c r="F259" s="118">
        <f>128161.817505997+1962.228885203</f>
        <v>130124.0463912</v>
      </c>
      <c r="G259" s="118">
        <v>130827.8290906</v>
      </c>
      <c r="H259" s="118">
        <v>131531.50646799</v>
      </c>
      <c r="I259" s="118">
        <v>132236.34121868899</v>
      </c>
      <c r="J259" s="118">
        <v>132211.92935124901</v>
      </c>
      <c r="K259" s="118">
        <v>132185.92793530901</v>
      </c>
      <c r="L259" s="118">
        <v>132161.48371647901</v>
      </c>
      <c r="M259" s="118">
        <v>132870.84551118899</v>
      </c>
      <c r="N259" s="118">
        <v>133580.78663940899</v>
      </c>
      <c r="O259" s="118">
        <v>134291.35620312899</v>
      </c>
      <c r="P259" s="118">
        <v>135002.578635199</v>
      </c>
      <c r="Q259" s="118">
        <v>135700.84350060899</v>
      </c>
      <c r="R259" s="118">
        <v>136363.81316790899</v>
      </c>
      <c r="T259" s="118">
        <f>SUM(F259:R259)/13</f>
        <v>133006.86829453538</v>
      </c>
    </row>
    <row r="260" spans="1:20">
      <c r="A260" s="118" t="str">
        <f t="shared" si="28"/>
        <v>LGE</v>
      </c>
      <c r="B260" s="118" t="s">
        <v>545</v>
      </c>
      <c r="C260" s="118" t="str">
        <f t="shared" si="29"/>
        <v>376</v>
      </c>
      <c r="D260" s="113" t="s">
        <v>532</v>
      </c>
      <c r="E260" s="113" t="str">
        <f t="shared" si="24"/>
        <v>GLT</v>
      </c>
      <c r="F260" s="118">
        <v>0</v>
      </c>
      <c r="G260" s="118">
        <v>-69.415347113469707</v>
      </c>
      <c r="H260" s="118">
        <v>-141.97788583074899</v>
      </c>
      <c r="I260" s="118">
        <v>-215.532342607749</v>
      </c>
      <c r="J260" s="118">
        <v>-277.87678797024898</v>
      </c>
      <c r="K260" s="118">
        <v>-344.15521830334899</v>
      </c>
      <c r="L260" s="118">
        <v>-412.283627216149</v>
      </c>
      <c r="M260" s="118">
        <v>-399.22119701744901</v>
      </c>
      <c r="N260" s="118">
        <v>-384.88884617944899</v>
      </c>
      <c r="O260" s="118">
        <v>-369.27915609674898</v>
      </c>
      <c r="P260" s="118">
        <v>-352.39483374304899</v>
      </c>
      <c r="Q260" s="118">
        <v>-334.23901507634901</v>
      </c>
      <c r="R260" s="118">
        <v>-314.80950108964902</v>
      </c>
      <c r="T260" s="118">
        <f>SUM(F260:R260)/13</f>
        <v>-278.15951986495452</v>
      </c>
    </row>
    <row r="261" spans="1:20">
      <c r="A261" s="118" t="str">
        <f t="shared" si="28"/>
        <v>LGE</v>
      </c>
      <c r="B261" s="118" t="s">
        <v>545</v>
      </c>
      <c r="C261" s="118" t="str">
        <f t="shared" si="29"/>
        <v>378</v>
      </c>
      <c r="D261" s="113" t="s">
        <v>533</v>
      </c>
      <c r="E261" s="113" t="str">
        <f t="shared" ref="E261:E328" si="30">IF(ISTEXT(MID($D261,SEARCH("FUTURE USE",$D261),3)),"FUTURE USE",IF(ISTEXT(MID($D261,SEARCH("GLT",$D261),3)),"GLT",IF(ISTEXT(MID($D261,SEARCH("ARO",$D261),3)),"ARO",IF(ISTEXT(MID($D261,SEARCH("DSM",$D261),3)),"DSM",""))))</f>
        <v/>
      </c>
      <c r="F261" s="118">
        <v>2620.6941039181902</v>
      </c>
      <c r="G261" s="118">
        <v>2673.5990154681999</v>
      </c>
      <c r="H261" s="118">
        <v>2724.8624975027001</v>
      </c>
      <c r="I261" s="118">
        <v>2774.3679498397</v>
      </c>
      <c r="J261" s="118">
        <v>2826.3013860592</v>
      </c>
      <c r="K261" s="118">
        <v>2880.4948469741998</v>
      </c>
      <c r="L261" s="118">
        <v>2935.9487319098998</v>
      </c>
      <c r="M261" s="118">
        <v>2991.4590085315999</v>
      </c>
      <c r="N261" s="118">
        <v>3046.9824657933</v>
      </c>
      <c r="O261" s="118">
        <v>3101.4685651013001</v>
      </c>
      <c r="P261" s="118">
        <v>3156.1401775118002</v>
      </c>
      <c r="Q261" s="118">
        <v>3208.7896295911</v>
      </c>
      <c r="R261" s="118">
        <v>3261.7651254128</v>
      </c>
      <c r="T261" s="118">
        <f t="shared" ref="T261:T328" si="31">SUM(F261:R261)/13</f>
        <v>2938.6825772010757</v>
      </c>
    </row>
    <row r="262" spans="1:20">
      <c r="A262" s="118" t="str">
        <f t="shared" si="28"/>
        <v>LGE</v>
      </c>
      <c r="B262" s="118" t="s">
        <v>545</v>
      </c>
      <c r="C262" s="118" t="str">
        <f t="shared" si="29"/>
        <v>379</v>
      </c>
      <c r="D262" s="113" t="s">
        <v>534</v>
      </c>
      <c r="E262" s="113" t="str">
        <f t="shared" si="30"/>
        <v/>
      </c>
      <c r="F262" s="118">
        <v>1388.55517508959</v>
      </c>
      <c r="G262" s="118">
        <v>1422.1813449255901</v>
      </c>
      <c r="H262" s="118">
        <v>1456.9961804555901</v>
      </c>
      <c r="I262" s="118">
        <v>1493.0575751935901</v>
      </c>
      <c r="J262" s="118">
        <v>1529.1702544955899</v>
      </c>
      <c r="K262" s="118">
        <v>1566.4399480495899</v>
      </c>
      <c r="L262" s="118">
        <v>1603.8588363935901</v>
      </c>
      <c r="M262" s="118">
        <v>1641.42691953759</v>
      </c>
      <c r="N262" s="118">
        <v>1678.99500268159</v>
      </c>
      <c r="O262" s="118">
        <v>1716.56308582559</v>
      </c>
      <c r="P262" s="118">
        <v>1754.1311689695899</v>
      </c>
      <c r="Q262" s="118">
        <v>1791.73699686809</v>
      </c>
      <c r="R262" s="118">
        <v>1826.21615931409</v>
      </c>
      <c r="T262" s="118">
        <f t="shared" si="31"/>
        <v>1605.3329729076672</v>
      </c>
    </row>
    <row r="263" spans="1:20">
      <c r="A263" s="118" t="str">
        <f t="shared" si="28"/>
        <v>LGE</v>
      </c>
      <c r="B263" s="118" t="s">
        <v>545</v>
      </c>
      <c r="C263" s="118" t="str">
        <f t="shared" si="29"/>
        <v>380</v>
      </c>
      <c r="D263" s="113" t="s">
        <v>535</v>
      </c>
      <c r="E263" s="113" t="str">
        <f t="shared" si="30"/>
        <v/>
      </c>
      <c r="F263" s="118">
        <f>95097.4557122999+12825.5784219</f>
        <v>107923.0341341999</v>
      </c>
      <c r="G263" s="118">
        <v>108938.06734209901</v>
      </c>
      <c r="H263" s="118">
        <v>109959.505084399</v>
      </c>
      <c r="I263" s="118">
        <v>110961.90020249999</v>
      </c>
      <c r="J263" s="118">
        <v>111992.30666669999</v>
      </c>
      <c r="K263" s="118">
        <v>109642.9406968</v>
      </c>
      <c r="L263" s="118">
        <v>110664.898713099</v>
      </c>
      <c r="M263" s="118">
        <v>111687.2512665</v>
      </c>
      <c r="N263" s="118">
        <v>112710.0058821</v>
      </c>
      <c r="O263" s="118">
        <v>113733.14759550001</v>
      </c>
      <c r="P263" s="118">
        <v>114756.68534330001</v>
      </c>
      <c r="Q263" s="118">
        <v>115780.6291528</v>
      </c>
      <c r="R263" s="118">
        <v>116804.97609169999</v>
      </c>
      <c r="T263" s="118">
        <f>SUM(F263:R263)/13</f>
        <v>111965.79601320744</v>
      </c>
    </row>
    <row r="264" spans="1:20">
      <c r="A264" s="118" t="str">
        <f t="shared" si="28"/>
        <v>LGE</v>
      </c>
      <c r="B264" s="118" t="s">
        <v>545</v>
      </c>
      <c r="C264" s="118" t="str">
        <f t="shared" si="29"/>
        <v>380</v>
      </c>
      <c r="D264" s="113" t="s">
        <v>536</v>
      </c>
      <c r="E264" s="113" t="str">
        <f t="shared" si="30"/>
        <v>GLT</v>
      </c>
      <c r="F264" s="118">
        <v>0</v>
      </c>
      <c r="G264" s="118">
        <v>-24.3164897119971</v>
      </c>
      <c r="H264" s="118">
        <v>-45.660666324997102</v>
      </c>
      <c r="I264" s="118">
        <v>-54.854194774997097</v>
      </c>
      <c r="J264" s="118">
        <v>-60.707674975997101</v>
      </c>
      <c r="K264" s="118">
        <v>-52.692903445997104</v>
      </c>
      <c r="L264" s="118">
        <v>-35.958803425997097</v>
      </c>
      <c r="M264" s="118">
        <v>-20.7646295559971</v>
      </c>
      <c r="N264" s="118">
        <v>-2.6370345459971798</v>
      </c>
      <c r="O264" s="118">
        <v>18.6873751440028</v>
      </c>
      <c r="P264" s="118">
        <v>31.571539404002799</v>
      </c>
      <c r="Q264" s="118">
        <v>43.968381044002797</v>
      </c>
      <c r="R264" s="118">
        <v>61.329538534002801</v>
      </c>
      <c r="T264" s="118">
        <f>SUM(F264:R264)/13</f>
        <v>-10.925812510458895</v>
      </c>
    </row>
    <row r="265" spans="1:20">
      <c r="A265" s="118" t="str">
        <f t="shared" si="28"/>
        <v>LGE</v>
      </c>
      <c r="B265" s="118" t="s">
        <v>545</v>
      </c>
      <c r="C265" s="118" t="str">
        <f t="shared" si="29"/>
        <v>381</v>
      </c>
      <c r="D265" s="113" t="s">
        <v>537</v>
      </c>
      <c r="E265" s="113" t="str">
        <f t="shared" si="30"/>
        <v/>
      </c>
      <c r="F265" s="118">
        <v>14859.9254867</v>
      </c>
      <c r="G265" s="118">
        <v>14978.548997578</v>
      </c>
      <c r="H265" s="118">
        <v>15101.38610498</v>
      </c>
      <c r="I265" s="118">
        <v>15252.628297869</v>
      </c>
      <c r="J265" s="118">
        <v>15406.036426127999</v>
      </c>
      <c r="K265" s="118">
        <v>15567.364785398</v>
      </c>
      <c r="L265" s="118">
        <v>15738.648108392999</v>
      </c>
      <c r="M265" s="118">
        <v>15912.862874423001</v>
      </c>
      <c r="N265" s="118">
        <v>16088.217201087</v>
      </c>
      <c r="O265" s="118">
        <v>16263.67442567</v>
      </c>
      <c r="P265" s="118">
        <v>16442.270213626001</v>
      </c>
      <c r="Q265" s="118">
        <v>16626.540248342</v>
      </c>
      <c r="R265" s="118">
        <v>16783.234750915999</v>
      </c>
      <c r="T265" s="118">
        <f t="shared" si="31"/>
        <v>15770.872147777693</v>
      </c>
    </row>
    <row r="266" spans="1:20">
      <c r="A266" s="118" t="str">
        <f t="shared" si="28"/>
        <v>LGE</v>
      </c>
      <c r="B266" s="118" t="s">
        <v>545</v>
      </c>
      <c r="C266" s="118" t="str">
        <f t="shared" si="29"/>
        <v>383</v>
      </c>
      <c r="D266" s="113" t="s">
        <v>538</v>
      </c>
      <c r="E266" s="113" t="str">
        <f t="shared" si="30"/>
        <v/>
      </c>
      <c r="F266" s="118">
        <v>5165.2105953099999</v>
      </c>
      <c r="G266" s="118">
        <v>5245.423095315</v>
      </c>
      <c r="H266" s="118">
        <v>5325.63559532</v>
      </c>
      <c r="I266" s="118">
        <v>5405.848095325</v>
      </c>
      <c r="J266" s="118">
        <v>5486.0605953300001</v>
      </c>
      <c r="K266" s="118">
        <v>5566.2730953350001</v>
      </c>
      <c r="L266" s="118">
        <v>5646.4855953400001</v>
      </c>
      <c r="M266" s="118">
        <v>5726.6980953450002</v>
      </c>
      <c r="N266" s="118">
        <v>5806.9105953500002</v>
      </c>
      <c r="O266" s="118">
        <v>5887.1230953550003</v>
      </c>
      <c r="P266" s="118">
        <v>5967.3355953600003</v>
      </c>
      <c r="Q266" s="118">
        <v>6047.5480953650003</v>
      </c>
      <c r="R266" s="118">
        <v>6127.7605953700004</v>
      </c>
      <c r="T266" s="118">
        <f t="shared" si="31"/>
        <v>5646.4855953399983</v>
      </c>
    </row>
    <row r="267" spans="1:20">
      <c r="A267" s="118" t="str">
        <f t="shared" si="28"/>
        <v>LGE</v>
      </c>
      <c r="B267" s="118" t="s">
        <v>545</v>
      </c>
      <c r="C267" s="118" t="str">
        <f t="shared" si="29"/>
        <v>385</v>
      </c>
      <c r="D267" s="113" t="s">
        <v>539</v>
      </c>
      <c r="E267" s="113" t="str">
        <f t="shared" si="30"/>
        <v/>
      </c>
      <c r="F267" s="118">
        <v>146.27095230645901</v>
      </c>
      <c r="G267" s="118">
        <v>145.37919707908901</v>
      </c>
      <c r="H267" s="118">
        <v>144.76178378658901</v>
      </c>
      <c r="I267" s="118">
        <v>146.50745831441901</v>
      </c>
      <c r="J267" s="118">
        <v>147.25068634721899</v>
      </c>
      <c r="K267" s="118">
        <v>148.15543862654999</v>
      </c>
      <c r="L267" s="118">
        <v>150.351056855179</v>
      </c>
      <c r="M267" s="118">
        <v>154.89466206980899</v>
      </c>
      <c r="N267" s="118">
        <v>159.43826728444</v>
      </c>
      <c r="O267" s="118">
        <v>164.02573507007</v>
      </c>
      <c r="P267" s="118">
        <v>168.7009279987</v>
      </c>
      <c r="Q267" s="118">
        <v>171.19672591053001</v>
      </c>
      <c r="R267" s="118">
        <v>171.69894041315999</v>
      </c>
      <c r="T267" s="118">
        <f t="shared" si="31"/>
        <v>155.27937169709332</v>
      </c>
    </row>
    <row r="268" spans="1:20">
      <c r="A268" s="118" t="str">
        <f t="shared" si="28"/>
        <v>LGE</v>
      </c>
      <c r="B268" s="118" t="s">
        <v>545</v>
      </c>
      <c r="C268" s="118" t="str">
        <f t="shared" si="29"/>
        <v>387</v>
      </c>
      <c r="D268" s="113" t="s">
        <v>540</v>
      </c>
      <c r="E268" s="113" t="str">
        <f t="shared" si="30"/>
        <v/>
      </c>
      <c r="F268" s="118">
        <v>34.052958785999998</v>
      </c>
      <c r="G268" s="118">
        <v>34.911369517399997</v>
      </c>
      <c r="H268" s="118">
        <v>35.960996401400003</v>
      </c>
      <c r="I268" s="118">
        <v>37.922888241400003</v>
      </c>
      <c r="J268" s="118">
        <v>40.915284977399999</v>
      </c>
      <c r="K268" s="118">
        <v>44.287342770400002</v>
      </c>
      <c r="L268" s="118">
        <v>45.914172569400002</v>
      </c>
      <c r="M268" s="118">
        <v>49.923540719400002</v>
      </c>
      <c r="N268" s="118">
        <v>53.932908869400002</v>
      </c>
      <c r="O268" s="118">
        <v>57.942277019400002</v>
      </c>
      <c r="P268" s="118">
        <v>61.951645169400003</v>
      </c>
      <c r="Q268" s="118">
        <v>65.961013319399996</v>
      </c>
      <c r="R268" s="118">
        <v>70.0627564224</v>
      </c>
      <c r="T268" s="118">
        <f t="shared" si="31"/>
        <v>48.749165752523091</v>
      </c>
    </row>
    <row r="269" spans="1:20">
      <c r="A269" s="118" t="str">
        <f t="shared" si="28"/>
        <v>LGE</v>
      </c>
      <c r="B269" s="118" t="s">
        <v>545</v>
      </c>
      <c r="C269" s="118" t="str">
        <f t="shared" si="29"/>
        <v>388</v>
      </c>
      <c r="D269" s="113" t="s">
        <v>541</v>
      </c>
      <c r="E269" s="113" t="str">
        <f t="shared" si="30"/>
        <v>ARO</v>
      </c>
      <c r="F269" s="118">
        <v>1509.3904727199899</v>
      </c>
      <c r="G269" s="118">
        <v>1521.0051548399899</v>
      </c>
      <c r="H269" s="118">
        <v>1532.6198369599899</v>
      </c>
      <c r="I269" s="118">
        <v>1544.2345190799899</v>
      </c>
      <c r="J269" s="118">
        <v>1555.8492011999899</v>
      </c>
      <c r="K269" s="118">
        <v>1567.4638833199899</v>
      </c>
      <c r="L269" s="118">
        <v>1579.0785654399899</v>
      </c>
      <c r="M269" s="118">
        <v>1590.6932475599899</v>
      </c>
      <c r="N269" s="118">
        <v>1602.3079296799899</v>
      </c>
      <c r="O269" s="118">
        <v>1613.9226117999899</v>
      </c>
      <c r="P269" s="118">
        <v>1625.5372939199899</v>
      </c>
      <c r="Q269" s="118">
        <v>1637.1519760399899</v>
      </c>
      <c r="R269" s="118">
        <v>1648.7666581599899</v>
      </c>
      <c r="T269" s="118">
        <f t="shared" si="31"/>
        <v>1579.0785654399901</v>
      </c>
    </row>
    <row r="270" spans="1:20">
      <c r="A270" s="118" t="str">
        <f t="shared" si="28"/>
        <v>LGE</v>
      </c>
      <c r="B270" s="118" t="s">
        <v>545</v>
      </c>
      <c r="C270" s="118" t="str">
        <f t="shared" si="29"/>
        <v>392</v>
      </c>
      <c r="D270" s="113" t="s">
        <v>1327</v>
      </c>
      <c r="E270" s="113" t="str">
        <f t="shared" si="30"/>
        <v/>
      </c>
      <c r="F270" s="118">
        <v>169.95376344069999</v>
      </c>
      <c r="G270" s="118">
        <v>177.4599543777</v>
      </c>
      <c r="H270" s="118">
        <v>185.1750239287</v>
      </c>
      <c r="I270" s="118">
        <v>192.8900934797</v>
      </c>
      <c r="J270" s="118">
        <v>200.6051630307</v>
      </c>
      <c r="K270" s="118">
        <v>208.3202325817</v>
      </c>
      <c r="L270" s="118">
        <v>216.0353021327</v>
      </c>
      <c r="M270" s="118">
        <v>223.7503716837</v>
      </c>
      <c r="N270" s="118">
        <v>231.46544123469999</v>
      </c>
      <c r="O270" s="118">
        <v>239.18051078569999</v>
      </c>
      <c r="P270" s="118">
        <v>247.88548451470001</v>
      </c>
      <c r="Q270" s="118">
        <v>257.58036242169999</v>
      </c>
      <c r="R270" s="118">
        <v>267.27524032870002</v>
      </c>
      <c r="T270" s="118">
        <f t="shared" si="31"/>
        <v>216.7366879954692</v>
      </c>
    </row>
    <row r="271" spans="1:20">
      <c r="A271" s="118" t="str">
        <f t="shared" si="28"/>
        <v>LGE</v>
      </c>
      <c r="B271" s="118" t="s">
        <v>545</v>
      </c>
      <c r="C271" s="118" t="str">
        <f t="shared" si="29"/>
        <v>392</v>
      </c>
      <c r="D271" s="113" t="s">
        <v>542</v>
      </c>
      <c r="E271" s="113" t="str">
        <f t="shared" si="30"/>
        <v/>
      </c>
      <c r="F271" s="118">
        <v>706.99302999999998</v>
      </c>
      <c r="G271" s="118">
        <v>710.753929051</v>
      </c>
      <c r="H271" s="118">
        <v>714.51482810200002</v>
      </c>
      <c r="I271" s="118">
        <v>718.27572715300005</v>
      </c>
      <c r="J271" s="118">
        <v>722.03662620399996</v>
      </c>
      <c r="K271" s="118">
        <v>725.79752525499998</v>
      </c>
      <c r="L271" s="118">
        <v>729.55842430600001</v>
      </c>
      <c r="M271" s="118">
        <v>733.31932335700003</v>
      </c>
      <c r="N271" s="118">
        <v>737.08022240800005</v>
      </c>
      <c r="O271" s="118">
        <v>740.84112145899996</v>
      </c>
      <c r="P271" s="118">
        <v>744.64947556208995</v>
      </c>
      <c r="Q271" s="118">
        <v>748.50528471729001</v>
      </c>
      <c r="R271" s="118">
        <v>752.36109387248996</v>
      </c>
      <c r="T271" s="118">
        <f t="shared" si="31"/>
        <v>729.59127780360541</v>
      </c>
    </row>
    <row r="272" spans="1:20">
      <c r="A272" s="118" t="str">
        <f t="shared" si="28"/>
        <v>LGE</v>
      </c>
      <c r="B272" s="118" t="s">
        <v>545</v>
      </c>
      <c r="C272" s="118" t="str">
        <f t="shared" si="29"/>
        <v>394</v>
      </c>
      <c r="D272" s="113" t="s">
        <v>543</v>
      </c>
      <c r="E272" s="113" t="str">
        <f t="shared" si="30"/>
        <v/>
      </c>
      <c r="F272" s="118">
        <v>2436.2440520599998</v>
      </c>
      <c r="G272" s="118">
        <v>2460.39004325</v>
      </c>
      <c r="H272" s="118">
        <v>2484.58863638</v>
      </c>
      <c r="I272" s="118">
        <v>2508.7872295100001</v>
      </c>
      <c r="J272" s="118">
        <v>2532.9858226400002</v>
      </c>
      <c r="K272" s="118">
        <v>2557.4150550300001</v>
      </c>
      <c r="L272" s="118">
        <v>2582.24891772</v>
      </c>
      <c r="M272" s="118">
        <v>2607.2567714400002</v>
      </c>
      <c r="N272" s="118">
        <v>2632.2646251599999</v>
      </c>
      <c r="O272" s="118">
        <v>2657.2724788800001</v>
      </c>
      <c r="P272" s="118">
        <v>2682.2803325999998</v>
      </c>
      <c r="Q272" s="118">
        <v>2707.28818632</v>
      </c>
      <c r="R272" s="118">
        <v>2530.34619539</v>
      </c>
      <c r="T272" s="118">
        <f t="shared" si="31"/>
        <v>2567.6437189523076</v>
      </c>
    </row>
    <row r="273" spans="1:20">
      <c r="A273" s="118" t="str">
        <f t="shared" si="28"/>
        <v>LGE</v>
      </c>
      <c r="B273" s="118" t="s">
        <v>545</v>
      </c>
      <c r="C273" s="118" t="str">
        <f t="shared" si="29"/>
        <v>396</v>
      </c>
      <c r="D273" s="113" t="s">
        <v>544</v>
      </c>
      <c r="E273" s="113" t="str">
        <f t="shared" si="30"/>
        <v/>
      </c>
      <c r="F273" s="118">
        <v>115.22139887529001</v>
      </c>
      <c r="G273" s="118">
        <v>115.91721491859001</v>
      </c>
      <c r="H273" s="118">
        <v>116.61303096189</v>
      </c>
      <c r="I273" s="118">
        <v>117.30884700519</v>
      </c>
      <c r="J273" s="118">
        <v>118.00466304849</v>
      </c>
      <c r="K273" s="118">
        <v>118.70047909179</v>
      </c>
      <c r="L273" s="118">
        <v>119.39629513509</v>
      </c>
      <c r="M273" s="118">
        <v>120.09211117839</v>
      </c>
      <c r="N273" s="118">
        <v>120.78792722169</v>
      </c>
      <c r="O273" s="118">
        <v>121.48374326499</v>
      </c>
      <c r="P273" s="118">
        <v>122.17955930829</v>
      </c>
      <c r="Q273" s="118">
        <v>122.87537535158999</v>
      </c>
      <c r="R273" s="118">
        <v>123.57119139488999</v>
      </c>
      <c r="T273" s="118">
        <f t="shared" si="31"/>
        <v>119.39629513509001</v>
      </c>
    </row>
    <row r="274" spans="1:20">
      <c r="A274" s="118" t="str">
        <f t="shared" si="28"/>
        <v>LGE</v>
      </c>
      <c r="B274" s="118" t="s">
        <v>545</v>
      </c>
      <c r="C274" s="118" t="str">
        <f t="shared" si="29"/>
        <v>396</v>
      </c>
      <c r="D274" s="113" t="s">
        <v>1328</v>
      </c>
      <c r="E274" s="113" t="str">
        <f t="shared" si="30"/>
        <v/>
      </c>
      <c r="F274" s="118">
        <v>2311.6712200000002</v>
      </c>
      <c r="G274" s="118">
        <v>2318.3016018779999</v>
      </c>
      <c r="H274" s="118">
        <v>2324.9319837560001</v>
      </c>
      <c r="I274" s="118">
        <v>2331.5623656339999</v>
      </c>
      <c r="J274" s="118">
        <v>2338.1927475120001</v>
      </c>
      <c r="K274" s="118">
        <v>2344.8231293899998</v>
      </c>
      <c r="L274" s="118">
        <v>2351.4535112680001</v>
      </c>
      <c r="M274" s="118">
        <v>2358.0838931459998</v>
      </c>
      <c r="N274" s="118">
        <v>2364.714275024</v>
      </c>
      <c r="O274" s="118">
        <v>2371.3446569020002</v>
      </c>
      <c r="P274" s="118">
        <v>2377.97503878</v>
      </c>
      <c r="Q274" s="118">
        <v>2384.6054206580002</v>
      </c>
      <c r="R274" s="118">
        <v>2391.2358025359999</v>
      </c>
      <c r="T274" s="118">
        <f t="shared" si="31"/>
        <v>2351.4535112680001</v>
      </c>
    </row>
    <row r="275" spans="1:20">
      <c r="E275" s="113" t="str">
        <f t="shared" si="30"/>
        <v/>
      </c>
      <c r="T275" s="353"/>
    </row>
    <row r="276" spans="1:20">
      <c r="E276" s="113" t="str">
        <f t="shared" si="30"/>
        <v/>
      </c>
      <c r="T276" s="118">
        <f t="shared" si="31"/>
        <v>0</v>
      </c>
    </row>
    <row r="277" spans="1:20">
      <c r="E277" s="113" t="str">
        <f t="shared" si="30"/>
        <v/>
      </c>
      <c r="T277" s="118">
        <f t="shared" si="31"/>
        <v>0</v>
      </c>
    </row>
    <row r="278" spans="1:20">
      <c r="E278" s="113" t="str">
        <f t="shared" si="30"/>
        <v/>
      </c>
      <c r="T278" s="118">
        <f t="shared" si="31"/>
        <v>0</v>
      </c>
    </row>
    <row r="279" spans="1:20">
      <c r="E279" s="113" t="str">
        <f t="shared" si="30"/>
        <v/>
      </c>
      <c r="T279" s="118">
        <f t="shared" si="31"/>
        <v>0</v>
      </c>
    </row>
    <row r="280" spans="1:20">
      <c r="E280" s="113" t="str">
        <f t="shared" si="30"/>
        <v/>
      </c>
      <c r="T280" s="118">
        <f t="shared" si="31"/>
        <v>0</v>
      </c>
    </row>
    <row r="281" spans="1:20">
      <c r="E281" s="113" t="str">
        <f t="shared" si="30"/>
        <v/>
      </c>
      <c r="T281" s="118">
        <f t="shared" si="31"/>
        <v>0</v>
      </c>
    </row>
    <row r="282" spans="1:20">
      <c r="E282" s="113" t="str">
        <f t="shared" si="30"/>
        <v/>
      </c>
      <c r="T282" s="118">
        <f t="shared" si="31"/>
        <v>0</v>
      </c>
    </row>
    <row r="283" spans="1:20">
      <c r="E283" s="113" t="str">
        <f t="shared" si="30"/>
        <v/>
      </c>
      <c r="T283" s="118">
        <f t="shared" si="31"/>
        <v>0</v>
      </c>
    </row>
    <row r="284" spans="1:20">
      <c r="E284" s="113" t="str">
        <f t="shared" si="30"/>
        <v/>
      </c>
      <c r="T284" s="118">
        <f t="shared" si="31"/>
        <v>0</v>
      </c>
    </row>
    <row r="285" spans="1:20">
      <c r="E285" s="113" t="str">
        <f t="shared" si="30"/>
        <v/>
      </c>
      <c r="T285" s="118">
        <f t="shared" si="31"/>
        <v>0</v>
      </c>
    </row>
    <row r="286" spans="1:20">
      <c r="E286" s="113" t="str">
        <f t="shared" si="30"/>
        <v/>
      </c>
      <c r="T286" s="118">
        <f t="shared" si="31"/>
        <v>0</v>
      </c>
    </row>
    <row r="287" spans="1:20">
      <c r="E287" s="113" t="str">
        <f t="shared" si="30"/>
        <v/>
      </c>
      <c r="T287" s="118">
        <f t="shared" si="31"/>
        <v>0</v>
      </c>
    </row>
    <row r="288" spans="1:20">
      <c r="E288" s="113" t="str">
        <f t="shared" si="30"/>
        <v/>
      </c>
      <c r="T288" s="118">
        <f t="shared" si="31"/>
        <v>0</v>
      </c>
    </row>
    <row r="289" spans="4:20">
      <c r="E289" s="113" t="str">
        <f t="shared" si="30"/>
        <v/>
      </c>
      <c r="T289" s="118">
        <f t="shared" si="31"/>
        <v>0</v>
      </c>
    </row>
    <row r="290" spans="4:20">
      <c r="E290" s="113" t="str">
        <f t="shared" si="30"/>
        <v/>
      </c>
      <c r="T290" s="118">
        <f t="shared" si="31"/>
        <v>0</v>
      </c>
    </row>
    <row r="291" spans="4:20">
      <c r="E291" s="113" t="str">
        <f t="shared" si="30"/>
        <v/>
      </c>
      <c r="T291" s="118">
        <f t="shared" si="31"/>
        <v>0</v>
      </c>
    </row>
    <row r="292" spans="4:20">
      <c r="E292" s="113" t="str">
        <f t="shared" si="30"/>
        <v/>
      </c>
      <c r="T292" s="118">
        <f t="shared" si="31"/>
        <v>0</v>
      </c>
    </row>
    <row r="293" spans="4:20">
      <c r="E293" s="113" t="str">
        <f t="shared" si="30"/>
        <v/>
      </c>
      <c r="T293" s="118">
        <f t="shared" si="31"/>
        <v>0</v>
      </c>
    </row>
    <row r="294" spans="4:20">
      <c r="E294" s="113" t="str">
        <f t="shared" si="30"/>
        <v/>
      </c>
      <c r="T294" s="118">
        <f t="shared" si="31"/>
        <v>0</v>
      </c>
    </row>
    <row r="295" spans="4:20">
      <c r="E295" s="113" t="str">
        <f t="shared" si="30"/>
        <v/>
      </c>
      <c r="T295" s="118">
        <f t="shared" si="31"/>
        <v>0</v>
      </c>
    </row>
    <row r="296" spans="4:20">
      <c r="E296" s="113" t="str">
        <f t="shared" si="30"/>
        <v/>
      </c>
      <c r="T296" s="118">
        <f t="shared" si="31"/>
        <v>0</v>
      </c>
    </row>
    <row r="297" spans="4:20">
      <c r="E297" s="113" t="str">
        <f t="shared" si="30"/>
        <v/>
      </c>
      <c r="T297" s="118">
        <f t="shared" si="31"/>
        <v>0</v>
      </c>
    </row>
    <row r="298" spans="4:20">
      <c r="E298" s="113" t="str">
        <f t="shared" si="30"/>
        <v/>
      </c>
      <c r="T298" s="118">
        <f t="shared" si="31"/>
        <v>0</v>
      </c>
    </row>
    <row r="299" spans="4:20">
      <c r="E299" s="113" t="str">
        <f t="shared" si="30"/>
        <v/>
      </c>
      <c r="T299" s="118">
        <f t="shared" si="31"/>
        <v>0</v>
      </c>
    </row>
    <row r="300" spans="4:20">
      <c r="E300" s="113" t="str">
        <f t="shared" si="30"/>
        <v/>
      </c>
      <c r="T300" s="118">
        <f t="shared" si="31"/>
        <v>0</v>
      </c>
    </row>
    <row r="301" spans="4:20">
      <c r="E301" s="113" t="str">
        <f t="shared" si="30"/>
        <v/>
      </c>
      <c r="T301" s="118">
        <f t="shared" si="31"/>
        <v>0</v>
      </c>
    </row>
    <row r="302" spans="4:20">
      <c r="E302" s="113" t="str">
        <f t="shared" si="30"/>
        <v/>
      </c>
      <c r="T302" s="118">
        <f t="shared" si="31"/>
        <v>0</v>
      </c>
    </row>
    <row r="303" spans="4:20">
      <c r="E303" s="113" t="str">
        <f t="shared" si="30"/>
        <v/>
      </c>
      <c r="T303" s="118">
        <f t="shared" si="31"/>
        <v>0</v>
      </c>
    </row>
    <row r="304" spans="4:20">
      <c r="D304" s="113" t="s">
        <v>450</v>
      </c>
      <c r="E304" s="113" t="str">
        <f t="shared" si="30"/>
        <v/>
      </c>
      <c r="T304" s="118">
        <f t="shared" si="31"/>
        <v>0</v>
      </c>
    </row>
    <row r="305" spans="1:20">
      <c r="A305" s="118" t="str">
        <f t="shared" ref="A305:A320" si="32">MID($D305,4,3)</f>
        <v>LGE</v>
      </c>
      <c r="B305" s="118" t="s">
        <v>452</v>
      </c>
      <c r="C305" s="118" t="str">
        <f t="shared" ref="C305:C320" si="33">MID($D305,9,3)</f>
        <v>121</v>
      </c>
      <c r="D305" s="113" t="s">
        <v>435</v>
      </c>
      <c r="E305" s="113" t="str">
        <f t="shared" si="30"/>
        <v/>
      </c>
      <c r="F305" s="118">
        <v>63.36036</v>
      </c>
      <c r="G305" s="118">
        <v>63.36036</v>
      </c>
      <c r="H305" s="118">
        <v>63.36036</v>
      </c>
      <c r="I305" s="118">
        <v>63.36036</v>
      </c>
      <c r="J305" s="118">
        <v>63.36036</v>
      </c>
      <c r="K305" s="118">
        <v>63.36036</v>
      </c>
      <c r="L305" s="118">
        <v>63.36036</v>
      </c>
      <c r="M305" s="118">
        <v>63.36036</v>
      </c>
      <c r="N305" s="118">
        <v>63.36036</v>
      </c>
      <c r="O305" s="118">
        <v>63.36036</v>
      </c>
      <c r="P305" s="118">
        <v>63.36036</v>
      </c>
      <c r="Q305" s="118">
        <v>63.36036</v>
      </c>
      <c r="R305" s="118">
        <v>63.36036</v>
      </c>
      <c r="T305" s="118">
        <f t="shared" si="31"/>
        <v>63.360360000000007</v>
      </c>
    </row>
    <row r="306" spans="1:20">
      <c r="A306" s="118" t="str">
        <f t="shared" si="32"/>
        <v>LGE</v>
      </c>
      <c r="B306" s="118" t="s">
        <v>452</v>
      </c>
      <c r="C306" s="118" t="str">
        <f t="shared" si="33"/>
        <v>303</v>
      </c>
      <c r="D306" s="113" t="s">
        <v>437</v>
      </c>
      <c r="E306" s="113" t="str">
        <f t="shared" si="30"/>
        <v/>
      </c>
      <c r="F306" s="118">
        <v>17880.298242799901</v>
      </c>
      <c r="G306" s="118">
        <v>16771.835170799899</v>
      </c>
      <c r="H306" s="118">
        <v>16113.331951599899</v>
      </c>
      <c r="I306" s="118">
        <v>17095.184414599898</v>
      </c>
      <c r="J306" s="118">
        <v>18022.9988225999</v>
      </c>
      <c r="K306" s="118">
        <v>18568.3919615999</v>
      </c>
      <c r="L306" s="118">
        <v>19569.712087599899</v>
      </c>
      <c r="M306" s="118">
        <v>20508.835917599899</v>
      </c>
      <c r="N306" s="118">
        <v>20735.0978475999</v>
      </c>
      <c r="O306" s="118">
        <v>21786.201540599901</v>
      </c>
      <c r="P306" s="118">
        <v>22081.5134565999</v>
      </c>
      <c r="Q306" s="118">
        <v>23026.414703599901</v>
      </c>
      <c r="R306" s="118">
        <v>23004.2014185999</v>
      </c>
      <c r="T306" s="118">
        <f t="shared" si="31"/>
        <v>19628.00134893836</v>
      </c>
    </row>
    <row r="307" spans="1:20">
      <c r="A307" s="118" t="str">
        <f t="shared" si="32"/>
        <v>LGE</v>
      </c>
      <c r="B307" s="118" t="s">
        <v>452</v>
      </c>
      <c r="C307" s="118" t="str">
        <f t="shared" si="33"/>
        <v>303</v>
      </c>
      <c r="D307" s="113" t="s">
        <v>438</v>
      </c>
      <c r="E307" s="113" t="str">
        <f t="shared" si="30"/>
        <v/>
      </c>
      <c r="F307" s="118">
        <v>36169.339600899999</v>
      </c>
      <c r="G307" s="118">
        <v>36549.633342000001</v>
      </c>
      <c r="H307" s="118">
        <v>36979.628832900002</v>
      </c>
      <c r="I307" s="118">
        <v>37459.3260735</v>
      </c>
      <c r="J307" s="118">
        <v>37939.023314099999</v>
      </c>
      <c r="K307" s="118">
        <v>38419.1807214</v>
      </c>
      <c r="L307" s="118">
        <v>38900.350495799998</v>
      </c>
      <c r="M307" s="118">
        <v>39382.072470699997</v>
      </c>
      <c r="N307" s="118">
        <v>39863.794445599997</v>
      </c>
      <c r="O307" s="118">
        <v>40346.321712199999</v>
      </c>
      <c r="P307" s="118">
        <v>40829.769312099997</v>
      </c>
      <c r="Q307" s="118">
        <v>41313.331953699999</v>
      </c>
      <c r="R307" s="118">
        <v>41796.8945953</v>
      </c>
      <c r="T307" s="118">
        <f t="shared" si="31"/>
        <v>38919.128220784616</v>
      </c>
    </row>
    <row r="308" spans="1:20">
      <c r="A308" s="118" t="str">
        <f t="shared" si="32"/>
        <v>LGE</v>
      </c>
      <c r="B308" s="118" t="s">
        <v>452</v>
      </c>
      <c r="C308" s="118" t="str">
        <f t="shared" si="33"/>
        <v>389</v>
      </c>
      <c r="D308" s="113" t="s">
        <v>439</v>
      </c>
      <c r="E308" s="113" t="str">
        <f t="shared" si="30"/>
        <v/>
      </c>
      <c r="F308" s="118">
        <v>140.82857999999999</v>
      </c>
      <c r="G308" s="118">
        <v>141.0222543175</v>
      </c>
      <c r="H308" s="118">
        <v>141.21592863500001</v>
      </c>
      <c r="I308" s="118">
        <v>141.40960295249999</v>
      </c>
      <c r="J308" s="118">
        <v>141.60327727000001</v>
      </c>
      <c r="K308" s="118">
        <v>141.79695158749999</v>
      </c>
      <c r="L308" s="118">
        <v>141.990625905</v>
      </c>
      <c r="M308" s="118">
        <v>142.18430022250001</v>
      </c>
      <c r="N308" s="118">
        <v>142.37797454</v>
      </c>
      <c r="O308" s="118">
        <v>142.57164885750001</v>
      </c>
      <c r="P308" s="118">
        <v>142.76532317499999</v>
      </c>
      <c r="Q308" s="118">
        <v>142.9589974925</v>
      </c>
      <c r="R308" s="118">
        <v>143.15267180999999</v>
      </c>
      <c r="T308" s="118">
        <f t="shared" si="31"/>
        <v>141.99062590499997</v>
      </c>
    </row>
    <row r="309" spans="1:20">
      <c r="A309" s="118" t="str">
        <f t="shared" si="32"/>
        <v>LGE</v>
      </c>
      <c r="B309" s="118" t="s">
        <v>452</v>
      </c>
      <c r="C309" s="118" t="str">
        <f t="shared" si="33"/>
        <v>390</v>
      </c>
      <c r="D309" s="113" t="s">
        <v>440</v>
      </c>
      <c r="E309" s="113" t="str">
        <f t="shared" si="30"/>
        <v/>
      </c>
      <c r="F309" s="118">
        <v>36004.906392881603</v>
      </c>
      <c r="G309" s="118">
        <v>36182.587969693501</v>
      </c>
      <c r="H309" s="118">
        <v>36360.326838175402</v>
      </c>
      <c r="I309" s="118">
        <v>36538.065706657297</v>
      </c>
      <c r="J309" s="118">
        <v>36715.8160334692</v>
      </c>
      <c r="K309" s="118">
        <v>36893.694693621102</v>
      </c>
      <c r="L309" s="118">
        <v>37047.155187103002</v>
      </c>
      <c r="M309" s="118">
        <v>37226.0806389149</v>
      </c>
      <c r="N309" s="118">
        <v>37405.006090726798</v>
      </c>
      <c r="O309" s="118">
        <v>37583.931542538703</v>
      </c>
      <c r="P309" s="118">
        <v>37762.931473520599</v>
      </c>
      <c r="Q309" s="118">
        <v>37942.0058836725</v>
      </c>
      <c r="R309" s="118">
        <v>38096.080293824401</v>
      </c>
      <c r="T309" s="118">
        <f t="shared" si="31"/>
        <v>37058.352980369156</v>
      </c>
    </row>
    <row r="310" spans="1:20">
      <c r="A310" s="118" t="str">
        <f t="shared" si="32"/>
        <v>LGE</v>
      </c>
      <c r="B310" s="118" t="s">
        <v>452</v>
      </c>
      <c r="C310" s="118" t="str">
        <f t="shared" si="33"/>
        <v>391</v>
      </c>
      <c r="D310" s="113" t="s">
        <v>441</v>
      </c>
      <c r="E310" s="113" t="str">
        <f t="shared" si="30"/>
        <v/>
      </c>
      <c r="F310" s="118">
        <v>14360.426499914</v>
      </c>
      <c r="G310" s="118">
        <v>14821.477445983999</v>
      </c>
      <c r="H310" s="118">
        <v>15165.703375354</v>
      </c>
      <c r="I310" s="118">
        <v>15693.458690023999</v>
      </c>
      <c r="J310" s="118">
        <v>16118.018752493999</v>
      </c>
      <c r="K310" s="118">
        <v>16640.387863063999</v>
      </c>
      <c r="L310" s="118">
        <v>17226.7953267339</v>
      </c>
      <c r="M310" s="118">
        <v>17714.3507432039</v>
      </c>
      <c r="N310" s="118">
        <v>17981.2305158739</v>
      </c>
      <c r="O310" s="118">
        <v>18547.7547510439</v>
      </c>
      <c r="P310" s="118">
        <v>18287.984177413899</v>
      </c>
      <c r="Q310" s="118">
        <v>18422.597253253902</v>
      </c>
      <c r="R310" s="118">
        <v>18685.586734448902</v>
      </c>
      <c r="T310" s="118">
        <f t="shared" si="31"/>
        <v>16897.367086831251</v>
      </c>
    </row>
    <row r="311" spans="1:20">
      <c r="A311" s="118" t="str">
        <f t="shared" si="32"/>
        <v>LGE</v>
      </c>
      <c r="B311" s="118" t="s">
        <v>452</v>
      </c>
      <c r="C311" s="118" t="str">
        <f t="shared" si="33"/>
        <v>392</v>
      </c>
      <c r="D311" s="113" t="s">
        <v>1329</v>
      </c>
      <c r="E311" s="113" t="str">
        <f t="shared" si="30"/>
        <v/>
      </c>
      <c r="F311" s="118">
        <v>7.2612987885000004</v>
      </c>
      <c r="G311" s="118">
        <v>7.4576107424</v>
      </c>
      <c r="H311" s="118">
        <v>7.6539226963000004</v>
      </c>
      <c r="I311" s="118">
        <v>7.8502346502</v>
      </c>
      <c r="J311" s="118">
        <v>8.0465466040999996</v>
      </c>
      <c r="K311" s="118">
        <v>8.242858558</v>
      </c>
      <c r="L311" s="118">
        <v>8.4391705119000004</v>
      </c>
      <c r="M311" s="118">
        <v>8.6354824657999991</v>
      </c>
      <c r="N311" s="118">
        <v>8.8317944196999996</v>
      </c>
      <c r="O311" s="118">
        <v>9.0281063736</v>
      </c>
      <c r="P311" s="118">
        <v>9.2244183275000093</v>
      </c>
      <c r="Q311" s="118">
        <v>9.4207302814000098</v>
      </c>
      <c r="R311" s="118">
        <v>9.6170422353000102</v>
      </c>
      <c r="T311" s="118">
        <f t="shared" si="31"/>
        <v>8.4391705119000022</v>
      </c>
    </row>
    <row r="312" spans="1:20">
      <c r="A312" s="118" t="str">
        <f t="shared" si="32"/>
        <v>LGE</v>
      </c>
      <c r="B312" s="118" t="s">
        <v>452</v>
      </c>
      <c r="C312" s="118" t="str">
        <f t="shared" si="33"/>
        <v>392</v>
      </c>
      <c r="D312" s="113" t="s">
        <v>442</v>
      </c>
      <c r="E312" s="113" t="str">
        <f t="shared" si="30"/>
        <v/>
      </c>
      <c r="F312" s="118">
        <v>186.19504000000001</v>
      </c>
      <c r="G312" s="118">
        <v>186.82777852999999</v>
      </c>
      <c r="H312" s="118">
        <v>187.46051706</v>
      </c>
      <c r="I312" s="118">
        <v>188.09325559000001</v>
      </c>
      <c r="J312" s="118">
        <v>188.72599412</v>
      </c>
      <c r="K312" s="118">
        <v>189.35873265000001</v>
      </c>
      <c r="L312" s="118">
        <v>189.99147117999999</v>
      </c>
      <c r="M312" s="118">
        <v>190.62420971</v>
      </c>
      <c r="N312" s="118">
        <v>191.25694824000001</v>
      </c>
      <c r="O312" s="118">
        <v>191.88968677</v>
      </c>
      <c r="P312" s="118">
        <v>192.52242530000001</v>
      </c>
      <c r="Q312" s="118">
        <v>193.15516382999999</v>
      </c>
      <c r="R312" s="118">
        <v>193.78790236</v>
      </c>
      <c r="T312" s="118">
        <f t="shared" si="31"/>
        <v>189.99147117999999</v>
      </c>
    </row>
    <row r="313" spans="1:20">
      <c r="A313" s="118" t="str">
        <f t="shared" si="32"/>
        <v>LGE</v>
      </c>
      <c r="B313" s="118" t="s">
        <v>452</v>
      </c>
      <c r="C313" s="118" t="str">
        <f t="shared" si="33"/>
        <v>393</v>
      </c>
      <c r="D313" s="113" t="s">
        <v>443</v>
      </c>
      <c r="E313" s="113" t="str">
        <f t="shared" si="30"/>
        <v/>
      </c>
      <c r="F313" s="118">
        <v>956.94428846999995</v>
      </c>
      <c r="G313" s="118">
        <v>963.25765209799999</v>
      </c>
      <c r="H313" s="118">
        <v>969.57101572600004</v>
      </c>
      <c r="I313" s="118">
        <v>975.88437935399998</v>
      </c>
      <c r="J313" s="118">
        <v>982.19774298200002</v>
      </c>
      <c r="K313" s="118">
        <v>988.51110660999996</v>
      </c>
      <c r="L313" s="118">
        <v>994.824470238</v>
      </c>
      <c r="M313" s="118">
        <v>1001.1378338660001</v>
      </c>
      <c r="N313" s="118">
        <v>1007.451197494</v>
      </c>
      <c r="O313" s="118">
        <v>1013.764561122</v>
      </c>
      <c r="P313" s="118">
        <v>1020.07792475</v>
      </c>
      <c r="Q313" s="118">
        <v>1026.3912883779999</v>
      </c>
      <c r="R313" s="118">
        <v>1032.7046520060001</v>
      </c>
      <c r="T313" s="118">
        <f t="shared" si="31"/>
        <v>994.82447023799978</v>
      </c>
    </row>
    <row r="314" spans="1:20">
      <c r="A314" s="118" t="str">
        <f t="shared" si="32"/>
        <v>LGE</v>
      </c>
      <c r="B314" s="118" t="s">
        <v>452</v>
      </c>
      <c r="C314" s="118" t="str">
        <f t="shared" si="33"/>
        <v>394</v>
      </c>
      <c r="D314" s="113" t="s">
        <v>444</v>
      </c>
      <c r="E314" s="113" t="str">
        <f t="shared" si="30"/>
        <v/>
      </c>
      <c r="F314" s="118">
        <v>2309.15810599</v>
      </c>
      <c r="G314" s="118">
        <v>2323.3541422100002</v>
      </c>
      <c r="H314" s="118">
        <v>2337.55017843</v>
      </c>
      <c r="I314" s="118">
        <v>2351.7462146500002</v>
      </c>
      <c r="J314" s="118">
        <v>2365.9776675399999</v>
      </c>
      <c r="K314" s="118">
        <v>2380.24453709</v>
      </c>
      <c r="L314" s="118">
        <v>2394.56453164</v>
      </c>
      <c r="M314" s="118">
        <v>2408.9420782799998</v>
      </c>
      <c r="N314" s="118">
        <v>2423.3284790799999</v>
      </c>
      <c r="O314" s="118">
        <v>2437.7237340500001</v>
      </c>
      <c r="P314" s="118">
        <v>2452.12784319</v>
      </c>
      <c r="Q314" s="118">
        <v>2466.5408064899998</v>
      </c>
      <c r="R314" s="118">
        <v>2367.8316419799999</v>
      </c>
      <c r="T314" s="118">
        <f t="shared" si="31"/>
        <v>2386.0838431246152</v>
      </c>
    </row>
    <row r="315" spans="1:20">
      <c r="A315" s="118" t="str">
        <f t="shared" si="32"/>
        <v>LGE</v>
      </c>
      <c r="B315" s="118" t="s">
        <v>452</v>
      </c>
      <c r="C315" s="118" t="str">
        <f t="shared" si="33"/>
        <v>396</v>
      </c>
      <c r="D315" s="113" t="s">
        <v>445</v>
      </c>
      <c r="E315" s="113" t="str">
        <f t="shared" si="30"/>
        <v/>
      </c>
      <c r="F315" s="118">
        <v>14.036442629969899</v>
      </c>
      <c r="G315" s="118">
        <v>14.0529475566399</v>
      </c>
      <c r="H315" s="118">
        <v>14.069452483309901</v>
      </c>
      <c r="I315" s="118">
        <v>14.085957409979899</v>
      </c>
      <c r="J315" s="118">
        <v>14.1024623366499</v>
      </c>
      <c r="K315" s="118">
        <v>14.118967263319901</v>
      </c>
      <c r="L315" s="118">
        <v>14.135472189989899</v>
      </c>
      <c r="M315" s="118">
        <v>14.1519771166599</v>
      </c>
      <c r="N315" s="118">
        <v>14.168482043329901</v>
      </c>
      <c r="O315" s="118">
        <v>14.184986969999899</v>
      </c>
      <c r="P315" s="118">
        <v>14.2014918966699</v>
      </c>
      <c r="Q315" s="118">
        <v>14.217996823339901</v>
      </c>
      <c r="R315" s="118">
        <v>14.234501750009899</v>
      </c>
      <c r="T315" s="118">
        <f t="shared" si="31"/>
        <v>14.135472189989899</v>
      </c>
    </row>
    <row r="316" spans="1:20">
      <c r="A316" s="118" t="str">
        <f t="shared" si="32"/>
        <v>LGE</v>
      </c>
      <c r="B316" s="118" t="s">
        <v>452</v>
      </c>
      <c r="C316" s="118" t="str">
        <f t="shared" si="33"/>
        <v>396</v>
      </c>
      <c r="D316" s="113" t="s">
        <v>1330</v>
      </c>
      <c r="E316" s="113" t="str">
        <f t="shared" si="30"/>
        <v/>
      </c>
      <c r="F316" s="118">
        <v>287.80201</v>
      </c>
      <c r="G316" s="118">
        <v>287.89233076074999</v>
      </c>
      <c r="H316" s="118">
        <v>287.98265152149997</v>
      </c>
      <c r="I316" s="118">
        <v>288.072972282249</v>
      </c>
      <c r="J316" s="118">
        <v>288.16329304299899</v>
      </c>
      <c r="K316" s="118">
        <v>288.25361380374898</v>
      </c>
      <c r="L316" s="118">
        <v>288.34393456449902</v>
      </c>
      <c r="M316" s="118">
        <v>288.43425532524901</v>
      </c>
      <c r="N316" s="118">
        <v>288.524576085999</v>
      </c>
      <c r="O316" s="118">
        <v>288.61489684674899</v>
      </c>
      <c r="P316" s="118">
        <v>288.70521760749898</v>
      </c>
      <c r="Q316" s="118">
        <v>288.79553836824903</v>
      </c>
      <c r="R316" s="118">
        <v>288.88585912899902</v>
      </c>
      <c r="T316" s="118">
        <f t="shared" si="31"/>
        <v>288.34393456449925</v>
      </c>
    </row>
    <row r="317" spans="1:20">
      <c r="A317" s="118" t="str">
        <f t="shared" si="32"/>
        <v>LGE</v>
      </c>
      <c r="B317" s="118" t="s">
        <v>452</v>
      </c>
      <c r="C317" s="118" t="str">
        <f t="shared" si="33"/>
        <v>397</v>
      </c>
      <c r="D317" s="113" t="s">
        <v>446</v>
      </c>
      <c r="E317" s="113" t="str">
        <f t="shared" si="30"/>
        <v/>
      </c>
      <c r="F317" s="118">
        <v>14479.80988766</v>
      </c>
      <c r="G317" s="118">
        <v>14526.190856179999</v>
      </c>
      <c r="H317" s="118">
        <v>14573.078180689999</v>
      </c>
      <c r="I317" s="118">
        <v>14620.42150701</v>
      </c>
      <c r="J317" s="118">
        <v>14668.1838604</v>
      </c>
      <c r="K317" s="118">
        <v>14717.832034610001</v>
      </c>
      <c r="L317" s="118">
        <v>14769.125373110001</v>
      </c>
      <c r="M317" s="118">
        <v>14820.50130446</v>
      </c>
      <c r="N317" s="118">
        <v>14871.87723581</v>
      </c>
      <c r="O317" s="118">
        <v>14923.253167160001</v>
      </c>
      <c r="P317" s="118">
        <v>14974.62909851</v>
      </c>
      <c r="Q317" s="118">
        <v>15026.00502986</v>
      </c>
      <c r="R317" s="118">
        <v>15077.380961209999</v>
      </c>
      <c r="T317" s="118">
        <f t="shared" si="31"/>
        <v>14772.945268974618</v>
      </c>
    </row>
    <row r="318" spans="1:20">
      <c r="A318" s="118" t="str">
        <f t="shared" si="32"/>
        <v>LGE</v>
      </c>
      <c r="B318" s="118" t="s">
        <v>452</v>
      </c>
      <c r="C318" s="118" t="str">
        <f t="shared" si="33"/>
        <v>397</v>
      </c>
      <c r="D318" s="113" t="s">
        <v>447</v>
      </c>
      <c r="E318" s="113" t="str">
        <f t="shared" si="30"/>
        <v/>
      </c>
      <c r="F318" s="118">
        <v>-10.515343925</v>
      </c>
      <c r="G318" s="118">
        <v>-10.466367315419999</v>
      </c>
      <c r="H318" s="118">
        <v>-10.417390705840001</v>
      </c>
      <c r="I318" s="118">
        <v>-10.36841409626</v>
      </c>
      <c r="J318" s="118">
        <v>-10.31943748668</v>
      </c>
      <c r="K318" s="118">
        <v>-10.2704608771</v>
      </c>
      <c r="L318" s="118">
        <v>-10.221484267519999</v>
      </c>
      <c r="M318" s="118">
        <v>-10.172507657940001</v>
      </c>
      <c r="N318" s="118">
        <v>-10.12353104836</v>
      </c>
      <c r="O318" s="118">
        <v>-10.07455443878</v>
      </c>
      <c r="P318" s="118">
        <v>-10.0255778292</v>
      </c>
      <c r="Q318" s="118">
        <v>-9.9766012196199991</v>
      </c>
      <c r="R318" s="118">
        <v>-9.9276246100399899</v>
      </c>
      <c r="T318" s="118">
        <f t="shared" si="31"/>
        <v>-10.221484267519999</v>
      </c>
    </row>
    <row r="319" spans="1:20">
      <c r="A319" s="118" t="str">
        <f t="shared" si="32"/>
        <v>LGE</v>
      </c>
      <c r="B319" s="118" t="s">
        <v>452</v>
      </c>
      <c r="C319" s="118" t="str">
        <f t="shared" si="33"/>
        <v>397</v>
      </c>
      <c r="D319" s="113" t="s">
        <v>448</v>
      </c>
      <c r="E319" s="113" t="str">
        <f t="shared" si="30"/>
        <v/>
      </c>
      <c r="F319" s="118">
        <v>18382.707333300001</v>
      </c>
      <c r="G319" s="118">
        <v>18398.24744069</v>
      </c>
      <c r="H319" s="118">
        <v>18413.787548079999</v>
      </c>
      <c r="I319" s="118">
        <v>18429.327655469999</v>
      </c>
      <c r="J319" s="118">
        <v>18444.867762860002</v>
      </c>
      <c r="K319" s="118">
        <v>18460.407870250001</v>
      </c>
      <c r="L319" s="118">
        <v>18475.94797764</v>
      </c>
      <c r="M319" s="118">
        <v>18491.48808503</v>
      </c>
      <c r="N319" s="118">
        <v>18507.028192419999</v>
      </c>
      <c r="O319" s="118">
        <v>18522.568299809998</v>
      </c>
      <c r="P319" s="118">
        <v>18538.108407200001</v>
      </c>
      <c r="Q319" s="118">
        <v>18553.648514590001</v>
      </c>
      <c r="R319" s="118">
        <v>18569.18862198</v>
      </c>
      <c r="T319" s="118">
        <f t="shared" si="31"/>
        <v>18475.947977639997</v>
      </c>
    </row>
    <row r="320" spans="1:20">
      <c r="A320" s="118" t="str">
        <f t="shared" si="32"/>
        <v>LGE</v>
      </c>
      <c r="B320" s="118" t="s">
        <v>452</v>
      </c>
      <c r="C320" s="118" t="str">
        <f t="shared" si="33"/>
        <v>398</v>
      </c>
      <c r="D320" s="113" t="s">
        <v>449</v>
      </c>
      <c r="E320" s="113" t="str">
        <f t="shared" si="30"/>
        <v/>
      </c>
      <c r="F320" s="118">
        <v>0</v>
      </c>
      <c r="G320" s="118">
        <v>0</v>
      </c>
      <c r="H320" s="118">
        <v>0</v>
      </c>
      <c r="I320" s="118">
        <v>0</v>
      </c>
      <c r="J320" s="118">
        <v>0</v>
      </c>
      <c r="K320" s="118">
        <v>0</v>
      </c>
      <c r="L320" s="118">
        <v>0</v>
      </c>
      <c r="M320" s="118">
        <v>0</v>
      </c>
      <c r="N320" s="118">
        <v>0</v>
      </c>
      <c r="O320" s="118">
        <v>0</v>
      </c>
      <c r="P320" s="118">
        <v>0</v>
      </c>
      <c r="Q320" s="118">
        <v>0</v>
      </c>
      <c r="R320" s="118">
        <v>0</v>
      </c>
      <c r="T320" s="118">
        <f t="shared" si="31"/>
        <v>0</v>
      </c>
    </row>
    <row r="321" spans="1:20">
      <c r="E321" s="113" t="str">
        <f t="shared" si="30"/>
        <v/>
      </c>
      <c r="T321" s="118">
        <f t="shared" si="31"/>
        <v>0</v>
      </c>
    </row>
    <row r="322" spans="1:20">
      <c r="D322" s="113" t="s">
        <v>730</v>
      </c>
      <c r="E322" s="113" t="str">
        <f t="shared" si="30"/>
        <v/>
      </c>
      <c r="F322" s="118">
        <v>0</v>
      </c>
      <c r="G322" s="118">
        <v>0</v>
      </c>
      <c r="H322" s="118">
        <v>0</v>
      </c>
      <c r="I322" s="118">
        <v>0</v>
      </c>
      <c r="J322" s="118">
        <v>0</v>
      </c>
      <c r="K322" s="118">
        <v>0</v>
      </c>
      <c r="L322" s="118">
        <v>0</v>
      </c>
      <c r="M322" s="118">
        <v>0</v>
      </c>
      <c r="N322" s="118">
        <v>0</v>
      </c>
      <c r="O322" s="118">
        <v>0</v>
      </c>
      <c r="P322" s="118">
        <v>0</v>
      </c>
      <c r="Q322" s="118">
        <v>0</v>
      </c>
      <c r="R322" s="118">
        <v>0</v>
      </c>
      <c r="T322" s="118">
        <f t="shared" si="31"/>
        <v>0</v>
      </c>
    </row>
    <row r="323" spans="1:20">
      <c r="A323" s="118" t="str">
        <f t="shared" ref="A323:A328" si="34">MID($D323,4,3)</f>
        <v>LGE</v>
      </c>
      <c r="B323" s="118" t="s">
        <v>545</v>
      </c>
      <c r="C323" s="118" t="str">
        <f t="shared" ref="C323:C328" si="35">MID($D323,9,3)</f>
        <v>350</v>
      </c>
      <c r="D323" s="113" t="s">
        <v>506</v>
      </c>
      <c r="E323" s="113" t="str">
        <f t="shared" si="30"/>
        <v/>
      </c>
      <c r="G323" s="118">
        <v>0</v>
      </c>
      <c r="S323" s="118">
        <f t="shared" ref="S323:S328" si="36">SUM(G323:R323)</f>
        <v>0</v>
      </c>
      <c r="T323" s="118">
        <f t="shared" si="31"/>
        <v>0</v>
      </c>
    </row>
    <row r="324" spans="1:20">
      <c r="A324" s="118" t="str">
        <f t="shared" si="34"/>
        <v>LGE</v>
      </c>
      <c r="B324" s="118" t="s">
        <v>545</v>
      </c>
      <c r="C324" s="118" t="str">
        <f t="shared" si="35"/>
        <v>376</v>
      </c>
      <c r="D324" s="113" t="s">
        <v>531</v>
      </c>
      <c r="E324" s="113" t="str">
        <f t="shared" si="30"/>
        <v/>
      </c>
      <c r="F324" s="118">
        <v>75535.121459999995</v>
      </c>
      <c r="S324" s="118">
        <f t="shared" si="36"/>
        <v>0</v>
      </c>
    </row>
    <row r="325" spans="1:20">
      <c r="A325" s="118" t="str">
        <f t="shared" si="34"/>
        <v>LGE</v>
      </c>
      <c r="B325" s="118" t="s">
        <v>545</v>
      </c>
      <c r="C325" s="118" t="str">
        <f t="shared" si="35"/>
        <v>376</v>
      </c>
      <c r="D325" s="113" t="s">
        <v>532</v>
      </c>
      <c r="E325" s="113" t="str">
        <f t="shared" si="30"/>
        <v>GLT</v>
      </c>
      <c r="F325" s="118">
        <v>-75535.121459999995</v>
      </c>
      <c r="S325" s="118">
        <f t="shared" si="36"/>
        <v>0</v>
      </c>
    </row>
    <row r="326" spans="1:20">
      <c r="A326" s="118" t="str">
        <f t="shared" si="34"/>
        <v>LGE</v>
      </c>
      <c r="B326" s="118" t="s">
        <v>545</v>
      </c>
      <c r="C326" s="118" t="str">
        <f t="shared" si="35"/>
        <v>380</v>
      </c>
      <c r="D326" s="113" t="s">
        <v>535</v>
      </c>
      <c r="E326" s="113" t="str">
        <f t="shared" si="30"/>
        <v/>
      </c>
      <c r="F326" s="118">
        <v>171825.76973999999</v>
      </c>
      <c r="S326" s="118">
        <f t="shared" si="36"/>
        <v>0</v>
      </c>
    </row>
    <row r="327" spans="1:20">
      <c r="A327" s="118" t="str">
        <f t="shared" si="34"/>
        <v>LGE</v>
      </c>
      <c r="B327" s="118" t="s">
        <v>545</v>
      </c>
      <c r="C327" s="118" t="str">
        <f t="shared" si="35"/>
        <v>380</v>
      </c>
      <c r="D327" s="113" t="s">
        <v>536</v>
      </c>
      <c r="E327" s="113" t="str">
        <f t="shared" si="30"/>
        <v>GLT</v>
      </c>
      <c r="F327" s="118">
        <v>-171825.76973999999</v>
      </c>
      <c r="S327" s="118">
        <f t="shared" si="36"/>
        <v>0</v>
      </c>
    </row>
    <row r="328" spans="1:20">
      <c r="A328" s="118" t="str">
        <f t="shared" si="34"/>
        <v>LGE</v>
      </c>
      <c r="B328" s="118" t="s">
        <v>545</v>
      </c>
      <c r="C328" s="118" t="str">
        <f t="shared" si="35"/>
        <v>394</v>
      </c>
      <c r="D328" s="113" t="s">
        <v>543</v>
      </c>
      <c r="E328" s="113" t="str">
        <f t="shared" si="30"/>
        <v/>
      </c>
      <c r="G328" s="118">
        <v>0</v>
      </c>
      <c r="S328" s="118">
        <f t="shared" si="36"/>
        <v>0</v>
      </c>
      <c r="T328" s="118">
        <f t="shared" si="31"/>
        <v>0</v>
      </c>
    </row>
    <row r="329" spans="1:20">
      <c r="E329" s="113" t="str">
        <f t="shared" ref="E329:E330" si="37">IF(ISTEXT(MID($D329,SEARCH("FUTURE USE",$D329),3)),"FUTURE USE",IF(ISTEXT(MID($D329,SEARCH("GLT",$D329),3)),"GLT",IF(ISTEXT(MID($D329,SEARCH("ARO",$D329),3)),"ARO",IF(ISTEXT(MID($D329,SEARCH("DSM",$D329),3)),"DSM",""))))</f>
        <v/>
      </c>
    </row>
    <row r="330" spans="1:20">
      <c r="E330" s="113" t="str">
        <f t="shared" si="37"/>
        <v/>
      </c>
    </row>
    <row r="331" spans="1:20">
      <c r="E331" s="113"/>
    </row>
    <row r="332" spans="1:20">
      <c r="E332" s="113"/>
    </row>
    <row r="333" spans="1:20">
      <c r="E333" s="113"/>
    </row>
    <row r="334" spans="1:20">
      <c r="E334" s="113"/>
    </row>
    <row r="335" spans="1:20">
      <c r="E335" s="113"/>
    </row>
    <row r="336" spans="1:20">
      <c r="E336" s="113"/>
    </row>
    <row r="337" spans="19:19">
      <c r="S337" s="118">
        <f t="shared" ref="S337" si="38">SUM(G337:R337)</f>
        <v>0</v>
      </c>
    </row>
  </sheetData>
  <pageMargins left="0.75" right="0.75" top="1" bottom="1" header="0.5" footer="0.5"/>
  <pageSetup scale="43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Q22"/>
  <sheetViews>
    <sheetView zoomScale="85" zoomScaleNormal="85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I26" sqref="I26"/>
    </sheetView>
  </sheetViews>
  <sheetFormatPr defaultColWidth="7.77734375" defaultRowHeight="15"/>
  <cols>
    <col min="1" max="1" width="7.77734375" style="118"/>
    <col min="2" max="2" width="32.77734375" style="113" customWidth="1"/>
    <col min="3" max="16" width="9.33203125" style="118" customWidth="1"/>
    <col min="17" max="16384" width="7.77734375" style="118"/>
  </cols>
  <sheetData>
    <row r="1" spans="1:17" s="117" customFormat="1">
      <c r="B1" s="258"/>
    </row>
    <row r="2" spans="1:17" s="117" customFormat="1" ht="45">
      <c r="A2" s="117" t="s">
        <v>1332</v>
      </c>
      <c r="B2" s="258" t="s">
        <v>1289</v>
      </c>
      <c r="C2" s="258" t="s">
        <v>1311</v>
      </c>
      <c r="D2" s="117" t="s">
        <v>1335</v>
      </c>
      <c r="E2" s="117" t="s">
        <v>1336</v>
      </c>
      <c r="F2" s="117" t="s">
        <v>1337</v>
      </c>
      <c r="G2" s="117" t="s">
        <v>1338</v>
      </c>
      <c r="H2" s="117" t="s">
        <v>1339</v>
      </c>
      <c r="I2" s="117" t="s">
        <v>1340</v>
      </c>
      <c r="J2" s="117" t="s">
        <v>1341</v>
      </c>
      <c r="K2" s="117" t="s">
        <v>1342</v>
      </c>
      <c r="L2" s="117" t="s">
        <v>1343</v>
      </c>
      <c r="M2" s="117" t="s">
        <v>1344</v>
      </c>
      <c r="N2" s="117" t="s">
        <v>1345</v>
      </c>
      <c r="O2" s="117" t="s">
        <v>1346</v>
      </c>
      <c r="P2" s="117" t="s">
        <v>1347</v>
      </c>
      <c r="Q2" s="117" t="s">
        <v>1349</v>
      </c>
    </row>
    <row r="3" spans="1:17" s="117" customFormat="1">
      <c r="B3" s="258"/>
      <c r="C3" s="258"/>
    </row>
    <row r="4" spans="1:17">
      <c r="C4" s="113"/>
    </row>
    <row r="5" spans="1:17">
      <c r="B5" s="113" t="s">
        <v>326</v>
      </c>
      <c r="C5" s="113"/>
    </row>
    <row r="6" spans="1:17">
      <c r="A6" s="388" t="str">
        <f t="shared" ref="A6:A11" si="0"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IF(ISTEXT(MID($B6,SEARCH("STORAGE",$B6),3)),"STORAGE AND PROCESSING","")))))))</f>
        <v>COMMON</v>
      </c>
      <c r="B6" s="113" t="s">
        <v>327</v>
      </c>
      <c r="C6" s="113" t="str">
        <f t="shared" ref="C6:C13" si="1"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118">
        <v>4869.3976700000003</v>
      </c>
      <c r="E6" s="118">
        <v>5310.4931900000001</v>
      </c>
      <c r="F6" s="118">
        <v>5638.0884699999997</v>
      </c>
      <c r="G6" s="118">
        <v>5822.4700700000003</v>
      </c>
      <c r="H6" s="118">
        <v>5494.36013</v>
      </c>
      <c r="I6" s="118">
        <v>4138.6530499999999</v>
      </c>
      <c r="J6" s="118">
        <v>1486.47614</v>
      </c>
      <c r="K6" s="118">
        <v>1603.8132499999999</v>
      </c>
      <c r="L6" s="118">
        <v>1833.3476700000001</v>
      </c>
      <c r="M6" s="118">
        <v>2738.6228799999999</v>
      </c>
      <c r="N6" s="118">
        <v>3630.9562900000001</v>
      </c>
      <c r="O6" s="118">
        <v>4745.6345199999996</v>
      </c>
      <c r="P6" s="118">
        <v>6004.67047</v>
      </c>
      <c r="Q6" s="118">
        <f t="shared" ref="Q6:Q20" si="2">SUM(D6:P6)/13</f>
        <v>4101.3064461538461</v>
      </c>
    </row>
    <row r="7" spans="1:17">
      <c r="A7" s="388" t="str">
        <f t="shared" si="0"/>
        <v>COMMON</v>
      </c>
      <c r="B7" s="113" t="s">
        <v>328</v>
      </c>
      <c r="C7" s="113" t="str">
        <f t="shared" si="1"/>
        <v/>
      </c>
      <c r="D7" s="118">
        <v>18355.943350000001</v>
      </c>
      <c r="E7" s="118">
        <v>20731.428950000001</v>
      </c>
      <c r="F7" s="118">
        <v>10052.61318</v>
      </c>
      <c r="G7" s="118">
        <v>12069.96574</v>
      </c>
      <c r="H7" s="118">
        <v>14811.314319999999</v>
      </c>
      <c r="I7" s="118">
        <v>17030.819670000001</v>
      </c>
      <c r="J7" s="118">
        <v>18562.062279999998</v>
      </c>
      <c r="K7" s="118">
        <v>21630.949260000001</v>
      </c>
      <c r="L7" s="118">
        <v>24785.400010000001</v>
      </c>
      <c r="M7" s="118">
        <v>27859.54664</v>
      </c>
      <c r="N7" s="118">
        <v>31265.221529999999</v>
      </c>
      <c r="O7" s="118">
        <v>33955.709819999996</v>
      </c>
      <c r="P7" s="118">
        <v>33813.389649999997</v>
      </c>
      <c r="Q7" s="118">
        <f t="shared" si="2"/>
        <v>21917.258800000003</v>
      </c>
    </row>
    <row r="8" spans="1:17">
      <c r="A8" s="388" t="str">
        <f t="shared" si="0"/>
        <v>DISTRIBUTION</v>
      </c>
      <c r="B8" s="113" t="s">
        <v>329</v>
      </c>
      <c r="C8" s="113" t="str">
        <f t="shared" si="1"/>
        <v/>
      </c>
      <c r="D8" s="118">
        <v>4422.4678999999996</v>
      </c>
      <c r="E8" s="118">
        <v>5698.8231599999999</v>
      </c>
      <c r="F8" s="118">
        <v>6420.7081399999997</v>
      </c>
      <c r="G8" s="118">
        <v>3706.3216200000002</v>
      </c>
      <c r="H8" s="118">
        <v>4232.0199400000001</v>
      </c>
      <c r="I8" s="118">
        <v>4642.0082599999996</v>
      </c>
      <c r="J8" s="118">
        <v>3454.5729500000002</v>
      </c>
      <c r="K8" s="118">
        <v>4261.6099199999999</v>
      </c>
      <c r="L8" s="118">
        <v>5135.3204999999998</v>
      </c>
      <c r="M8" s="118">
        <v>6127.8689800000002</v>
      </c>
      <c r="N8" s="118">
        <v>7204.6002699999999</v>
      </c>
      <c r="O8" s="118">
        <v>8477.3569000000007</v>
      </c>
      <c r="P8" s="118">
        <v>9716.61643</v>
      </c>
      <c r="Q8" s="118">
        <f t="shared" si="2"/>
        <v>5653.868843846154</v>
      </c>
    </row>
    <row r="9" spans="1:17">
      <c r="A9" s="388" t="str">
        <f t="shared" si="0"/>
        <v>DISTRIBUTION</v>
      </c>
      <c r="B9" s="113" t="s">
        <v>330</v>
      </c>
      <c r="C9" s="113" t="str">
        <f t="shared" si="1"/>
        <v>GLT</v>
      </c>
      <c r="D9" s="118">
        <v>0</v>
      </c>
      <c r="E9" s="118">
        <v>0</v>
      </c>
      <c r="F9" s="118">
        <v>0</v>
      </c>
      <c r="G9" s="118">
        <v>0</v>
      </c>
      <c r="H9" s="118">
        <v>0</v>
      </c>
      <c r="I9" s="118">
        <v>0</v>
      </c>
      <c r="J9" s="118">
        <v>0</v>
      </c>
      <c r="K9" s="118">
        <v>134.05540999999999</v>
      </c>
      <c r="L9" s="118">
        <v>420.80459999999999</v>
      </c>
      <c r="M9" s="118">
        <v>1333.07223</v>
      </c>
      <c r="N9" s="118">
        <v>2246.8214199999998</v>
      </c>
      <c r="O9" s="118">
        <v>3160.5706099999998</v>
      </c>
      <c r="P9" s="118">
        <v>4182.6197999999995</v>
      </c>
      <c r="Q9" s="118">
        <f t="shared" si="2"/>
        <v>882.91877461538456</v>
      </c>
    </row>
    <row r="10" spans="1:17">
      <c r="A10" s="388" t="str">
        <f t="shared" si="0"/>
        <v>TRANSMISSION</v>
      </c>
      <c r="B10" s="113" t="s">
        <v>1355</v>
      </c>
      <c r="C10" s="113" t="str">
        <f t="shared" si="1"/>
        <v>GLT</v>
      </c>
      <c r="D10" s="118">
        <v>833.54067999999995</v>
      </c>
      <c r="E10" s="118">
        <v>1048.9667299999999</v>
      </c>
      <c r="F10" s="118">
        <v>1266.47947</v>
      </c>
      <c r="G10" s="118">
        <v>1493.3904299999999</v>
      </c>
      <c r="H10" s="118">
        <v>1684.4049600000001</v>
      </c>
      <c r="I10" s="118">
        <v>1831.5159199999998</v>
      </c>
      <c r="J10" s="118">
        <v>2000.2868799999999</v>
      </c>
      <c r="K10" s="118">
        <v>3358.3900699999999</v>
      </c>
      <c r="L10" s="118">
        <v>4731.5681399999994</v>
      </c>
      <c r="M10" s="118">
        <v>6359.9254600000004</v>
      </c>
      <c r="N10" s="118">
        <v>8003.1039900000005</v>
      </c>
      <c r="O10" s="118">
        <v>9702.6225999999988</v>
      </c>
      <c r="P10" s="118">
        <v>11432.408599999999</v>
      </c>
      <c r="Q10" s="118">
        <f t="shared" ref="Q10" si="3">SUM(D10:P10)/13</f>
        <v>4134.354148461538</v>
      </c>
    </row>
    <row r="11" spans="1:17">
      <c r="A11" s="388" t="str">
        <f t="shared" si="0"/>
        <v>GENERAL</v>
      </c>
      <c r="B11" s="113" t="s">
        <v>331</v>
      </c>
      <c r="C11" s="113" t="str">
        <f t="shared" si="1"/>
        <v/>
      </c>
      <c r="D11" s="118">
        <v>106.02</v>
      </c>
      <c r="E11" s="118">
        <v>117.42</v>
      </c>
      <c r="F11" s="118">
        <v>157.32</v>
      </c>
      <c r="G11" s="118">
        <v>163.02000000000001</v>
      </c>
      <c r="H11" s="118">
        <v>167.58</v>
      </c>
      <c r="I11" s="118">
        <v>83.22</v>
      </c>
      <c r="J11" s="118">
        <v>0</v>
      </c>
      <c r="K11" s="118">
        <v>0</v>
      </c>
      <c r="L11" s="118">
        <v>4.5599999999999996</v>
      </c>
      <c r="M11" s="118">
        <v>37.619999999999997</v>
      </c>
      <c r="N11" s="118">
        <v>112.86</v>
      </c>
      <c r="O11" s="118">
        <v>178.98</v>
      </c>
      <c r="P11" s="118">
        <v>424.65</v>
      </c>
      <c r="Q11" s="118">
        <f t="shared" si="2"/>
        <v>119.48076923076923</v>
      </c>
    </row>
    <row r="12" spans="1:17">
      <c r="A12" s="388" t="str">
        <f>IF(ISTEXT(MID($B12,SEARCH("PRODUCTION",$B12),3)),"PRODUCTION",IF(ISTEXT(MID($B12,SEARCH("TRANSMISSION",$B12),3)),"TRANSMISSION",IF(ISTEXT(MID($B12,SEARCH("DISTRIBUTION",$B12),3)),"DISTRIBUTION",IF(ISTEXT(MID($B12,SEARCH("COMMON",$B12),3)),"COMMON",IF(ISTEXT(MID($B12,SEARCH("GENERAL",$B12),3)),"GENERAL",IF(ISTEXT(MID($B12,SEARCH("INTANGIBLE",$B12),3)),"INTANGIBLE",IF(ISTEXT(MID($B12,SEARCH("STORAGE",$B12),3)),"STORAGE AND PROCESSING","")))))))</f>
        <v>STORAGE AND PROCESSING</v>
      </c>
      <c r="B12" s="113" t="s">
        <v>332</v>
      </c>
      <c r="C12" s="113" t="str">
        <f t="shared" si="1"/>
        <v/>
      </c>
      <c r="D12" s="118">
        <v>3335.7545100000002</v>
      </c>
      <c r="E12" s="118">
        <v>3667.2115100000001</v>
      </c>
      <c r="F12" s="118">
        <v>4803.0952100000004</v>
      </c>
      <c r="G12" s="118">
        <v>5505.66302</v>
      </c>
      <c r="H12" s="118">
        <v>5302.1850299999996</v>
      </c>
      <c r="I12" s="118">
        <v>5524.8113899999998</v>
      </c>
      <c r="J12" s="118">
        <v>2878.4164700000001</v>
      </c>
      <c r="K12" s="118">
        <v>2923.1831000000002</v>
      </c>
      <c r="L12" s="118">
        <v>3223.8950399999999</v>
      </c>
      <c r="M12" s="118">
        <v>3484.7928700000002</v>
      </c>
      <c r="N12" s="118">
        <v>4310.9665400000004</v>
      </c>
      <c r="O12" s="118">
        <v>5773.66489</v>
      </c>
      <c r="P12" s="118">
        <v>7119.6071899999997</v>
      </c>
      <c r="Q12" s="118">
        <f t="shared" si="2"/>
        <v>4450.2497515384621</v>
      </c>
    </row>
    <row r="13" spans="1:17">
      <c r="A13" s="388" t="str">
        <f>IF(ISTEXT(MID($B13,SEARCH("PRODUCTION",$B13),3)),"PRODUCTION",IF(ISTEXT(MID($B13,SEARCH("TRANSMISSION",$B13),3)),"TRANSMISSION",IF(ISTEXT(MID($B13,SEARCH("DISTRIBUTION",$B13),3)),"DISTRIBUTION",IF(ISTEXT(MID($B13,SEARCH("COMMON",$B13),3)),"COMMON",IF(ISTEXT(MID($B13,SEARCH("GENERAL",$B13),3)),"GENERAL",IF(ISTEXT(MID($B13,SEARCH("INTANGIBLE",$B13),3)),"INTANGIBLE",IF(ISTEXT(MID($B13,SEARCH("STORAGE",$B13),3)),"STORAGE AND PROCESSING","")))))))</f>
        <v>TRANSMISSION</v>
      </c>
      <c r="B13" s="113" t="s">
        <v>333</v>
      </c>
      <c r="C13" s="113" t="str">
        <f t="shared" si="1"/>
        <v/>
      </c>
      <c r="D13" s="118">
        <v>855.23181999999997</v>
      </c>
      <c r="E13" s="118">
        <v>1074.0318199999999</v>
      </c>
      <c r="F13" s="118">
        <v>1814.3918200000001</v>
      </c>
      <c r="G13" s="118">
        <v>2402.4718200000002</v>
      </c>
      <c r="H13" s="118">
        <v>3563.9718200000002</v>
      </c>
      <c r="I13" s="118">
        <v>4773.2718199999999</v>
      </c>
      <c r="J13" s="118">
        <v>6467.0117300000002</v>
      </c>
      <c r="K13" s="118">
        <v>6969.5117300000002</v>
      </c>
      <c r="L13" s="118">
        <v>8982.5117300000002</v>
      </c>
      <c r="M13" s="118">
        <v>10432.51173</v>
      </c>
      <c r="N13" s="118">
        <v>11658.01173</v>
      </c>
      <c r="O13" s="118">
        <v>13503.51173</v>
      </c>
      <c r="P13" s="118">
        <v>16900.711729999999</v>
      </c>
      <c r="Q13" s="118">
        <f t="shared" si="2"/>
        <v>6876.704079230768</v>
      </c>
    </row>
    <row r="14" spans="1:17">
      <c r="A14" s="388" t="str">
        <f t="shared" ref="A14:A15" si="4">IF(ISTEXT(MID($B14,SEARCH("PRODUCTION",$B14),3)),"PRODUCTION",IF(ISTEXT(MID($B14,SEARCH("TRANSMISSION",$B14),3)),"TRANSMISSION",IF(ISTEXT(MID($B14,SEARCH("DISTRIBUTION",$B14),3)),"DISTRIBUTION",IF(ISTEXT(MID($B14,SEARCH("COMMON",$B14),3)),"COMMON",IF(ISTEXT(MID($B14,SEARCH("GENERAL",$B14),3)),"GENERAL",IF(ISTEXT(MID($B14,SEARCH("INTANGIBLE",$B14),3)),"INTANGIBLE",""))))))</f>
        <v/>
      </c>
      <c r="Q14" s="118">
        <f t="shared" si="2"/>
        <v>0</v>
      </c>
    </row>
    <row r="15" spans="1:17">
      <c r="A15" s="388" t="str">
        <f t="shared" si="4"/>
        <v/>
      </c>
      <c r="B15" s="113" t="s">
        <v>334</v>
      </c>
      <c r="Q15" s="118">
        <f t="shared" si="2"/>
        <v>0</v>
      </c>
    </row>
    <row r="16" spans="1:17">
      <c r="A16" s="388" t="str">
        <f t="shared" ref="A16:A22" si="5">IF(ISTEXT(MID($B16,SEARCH("PRODUCTION",$B16),3)),"PRODUCTION",IF(ISTEXT(MID($B16,SEARCH("TRANSMISSION",$B16),3)),"TRANSMISSION",IF(ISTEXT(MID($B16,SEARCH("DISTRIBUTION",$B16),3)),"DISTRIBUTION",IF(ISTEXT(MID($B16,SEARCH("COMMON",$B16),3)),"COMMON",IF(ISTEXT(MID($B16,SEARCH("GENERAL",$B16),3)),"GENERAL",IF(ISTEXT(MID($B16,SEARCH("INTANGIBLE",$B16),3)),"INTANGIBLE",IF(ISTEXT(MID($B16,SEARCH("STORAGE",$B16),3)),"STORAGE AND PROCESSING","")))))))</f>
        <v>COMMON</v>
      </c>
      <c r="B16" s="113" t="s">
        <v>327</v>
      </c>
      <c r="C16" s="113" t="str">
        <f t="shared" ref="C16:C22" si="6">IF(ISTEXT(MID($B16,SEARCH("FUTURE USE",$B16),3)),"FUTURE USE",IF(ISTEXT(MID($B16,SEARCH("ECR",$B16),3)),"ECR",IF(ISTEXT(MID($B16,SEARCH("ARO",$B16),3)),"ARO",IF(ISTEXT(MID($B16,SEARCH("DSM",$B16),3)),"DSM",IF(ISTEXT(MID($B16,SEARCH("GLT",$B16),3)),"GLT","")))))</f>
        <v/>
      </c>
      <c r="Q16" s="118">
        <f t="shared" si="2"/>
        <v>0</v>
      </c>
    </row>
    <row r="17" spans="1:17">
      <c r="A17" s="388" t="str">
        <f t="shared" si="5"/>
        <v>DISTRIBUTION</v>
      </c>
      <c r="B17" s="113" t="s">
        <v>329</v>
      </c>
      <c r="C17" s="113" t="str">
        <f t="shared" si="6"/>
        <v/>
      </c>
      <c r="D17" s="118">
        <v>64.348060000000004</v>
      </c>
      <c r="E17" s="118">
        <v>66.504779999999997</v>
      </c>
      <c r="F17" s="118">
        <v>74.361500000000007</v>
      </c>
      <c r="G17" s="118">
        <v>50.791339999999998</v>
      </c>
      <c r="H17" s="118">
        <v>50.791339999999998</v>
      </c>
      <c r="I17" s="118">
        <v>50.791339999999998</v>
      </c>
      <c r="J17" s="118">
        <v>48.634619999999998</v>
      </c>
      <c r="K17" s="118">
        <v>48.634619999999998</v>
      </c>
      <c r="L17" s="118">
        <v>48.634619999999998</v>
      </c>
      <c r="M17" s="118">
        <v>48.634619999999998</v>
      </c>
      <c r="N17" s="118">
        <v>50.803260000000002</v>
      </c>
      <c r="O17" s="118">
        <v>50.803260000000002</v>
      </c>
      <c r="P17" s="118">
        <v>2.1686399999999999</v>
      </c>
      <c r="Q17" s="118">
        <f t="shared" si="2"/>
        <v>50.454000000000001</v>
      </c>
    </row>
    <row r="18" spans="1:17">
      <c r="A18" s="388" t="str">
        <f t="shared" si="5"/>
        <v>DISTRIBUTION</v>
      </c>
      <c r="B18" s="113" t="s">
        <v>330</v>
      </c>
      <c r="C18" s="113" t="str">
        <f t="shared" si="6"/>
        <v>GLT</v>
      </c>
      <c r="D18" s="118">
        <v>0</v>
      </c>
      <c r="E18" s="118">
        <v>0</v>
      </c>
      <c r="F18" s="118">
        <v>0</v>
      </c>
      <c r="G18" s="118">
        <v>0</v>
      </c>
      <c r="H18" s="118">
        <v>0</v>
      </c>
      <c r="I18" s="118">
        <v>0</v>
      </c>
      <c r="J18" s="118">
        <v>0</v>
      </c>
      <c r="L18" s="118">
        <v>0</v>
      </c>
      <c r="M18" s="118">
        <v>0</v>
      </c>
      <c r="N18" s="118">
        <v>0</v>
      </c>
      <c r="O18" s="118">
        <v>0</v>
      </c>
      <c r="P18" s="118">
        <v>0</v>
      </c>
      <c r="Q18" s="118">
        <v>0</v>
      </c>
    </row>
    <row r="19" spans="1:17">
      <c r="A19" s="388" t="str">
        <f t="shared" si="5"/>
        <v>TRANSMISSION</v>
      </c>
      <c r="B19" s="113" t="s">
        <v>1355</v>
      </c>
      <c r="C19" s="113" t="str">
        <f t="shared" si="6"/>
        <v>GLT</v>
      </c>
      <c r="D19" s="118">
        <v>0</v>
      </c>
      <c r="E19" s="118">
        <v>0</v>
      </c>
      <c r="F19" s="118">
        <v>0</v>
      </c>
      <c r="G19" s="118">
        <v>0</v>
      </c>
      <c r="H19" s="118">
        <v>0</v>
      </c>
      <c r="I19" s="118">
        <v>0</v>
      </c>
      <c r="J19" s="118">
        <v>0</v>
      </c>
      <c r="K19" s="118">
        <v>27.36</v>
      </c>
      <c r="L19" s="118">
        <v>58.14</v>
      </c>
      <c r="M19" s="118">
        <v>88.92</v>
      </c>
      <c r="N19" s="118">
        <v>116.28</v>
      </c>
      <c r="O19" s="118">
        <v>155.04</v>
      </c>
      <c r="P19" s="118">
        <v>193.8</v>
      </c>
      <c r="Q19" s="118">
        <f t="shared" si="2"/>
        <v>49.195384615384611</v>
      </c>
    </row>
    <row r="20" spans="1:17">
      <c r="A20" s="388" t="str">
        <f t="shared" si="5"/>
        <v>GENERAL</v>
      </c>
      <c r="B20" s="113" t="s">
        <v>331</v>
      </c>
      <c r="C20" s="113" t="str">
        <f t="shared" si="6"/>
        <v/>
      </c>
      <c r="D20" s="118">
        <v>0</v>
      </c>
      <c r="E20" s="118">
        <v>0</v>
      </c>
      <c r="F20" s="118">
        <v>0</v>
      </c>
      <c r="G20" s="118">
        <v>0</v>
      </c>
      <c r="H20" s="118">
        <v>0</v>
      </c>
      <c r="I20" s="118">
        <v>0</v>
      </c>
      <c r="J20" s="118">
        <v>0</v>
      </c>
      <c r="K20" s="118">
        <v>0</v>
      </c>
      <c r="L20" s="118">
        <v>0</v>
      </c>
      <c r="M20" s="118">
        <v>0</v>
      </c>
      <c r="N20" s="118">
        <v>0</v>
      </c>
      <c r="O20" s="118">
        <v>0</v>
      </c>
      <c r="P20" s="118">
        <v>0</v>
      </c>
      <c r="Q20" s="118">
        <f t="shared" si="2"/>
        <v>0</v>
      </c>
    </row>
    <row r="21" spans="1:17">
      <c r="A21" s="388" t="str">
        <f t="shared" si="5"/>
        <v>STORAGE AND PROCESSING</v>
      </c>
      <c r="B21" s="113" t="s">
        <v>332</v>
      </c>
      <c r="C21" s="113" t="str">
        <f t="shared" si="6"/>
        <v/>
      </c>
      <c r="D21" s="118">
        <v>66.058499999999995</v>
      </c>
      <c r="E21" s="118">
        <v>68.118319999999997</v>
      </c>
      <c r="F21" s="118">
        <v>68.118319999999997</v>
      </c>
      <c r="G21" s="118">
        <v>51.639760000000003</v>
      </c>
      <c r="H21" s="118">
        <v>70.45581</v>
      </c>
      <c r="I21" s="118">
        <v>70.45581</v>
      </c>
      <c r="J21" s="118">
        <v>70.45581</v>
      </c>
      <c r="K21" s="118">
        <v>70.45581</v>
      </c>
      <c r="L21" s="118">
        <v>70.45581</v>
      </c>
      <c r="M21" s="118">
        <v>70.45581</v>
      </c>
      <c r="N21" s="118">
        <v>70.45581</v>
      </c>
      <c r="O21" s="118">
        <v>70.45581</v>
      </c>
      <c r="P21" s="118">
        <v>93.417330000000007</v>
      </c>
      <c r="Q21" s="118">
        <f t="shared" ref="Q21:Q22" si="7">SUM(D21:P21)/13</f>
        <v>70.076823846153857</v>
      </c>
    </row>
    <row r="22" spans="1:17">
      <c r="A22" s="388" t="str">
        <f t="shared" si="5"/>
        <v>TRANSMISSION</v>
      </c>
      <c r="B22" s="113" t="s">
        <v>333</v>
      </c>
      <c r="C22" s="113" t="str">
        <f t="shared" si="6"/>
        <v/>
      </c>
      <c r="D22" s="118">
        <v>2.6336599999999999</v>
      </c>
      <c r="E22" s="118">
        <v>2.6336599999999999</v>
      </c>
      <c r="F22" s="118">
        <v>19.73366</v>
      </c>
      <c r="G22" s="118">
        <v>19.73366</v>
      </c>
      <c r="H22" s="118">
        <v>19.73366</v>
      </c>
      <c r="I22" s="118">
        <v>19.73366</v>
      </c>
      <c r="J22" s="118">
        <v>19.73366</v>
      </c>
      <c r="K22" s="118">
        <v>19.73366</v>
      </c>
      <c r="L22" s="118">
        <v>19.73366</v>
      </c>
      <c r="M22" s="118">
        <v>19.73366</v>
      </c>
      <c r="N22" s="118">
        <v>19.73366</v>
      </c>
      <c r="O22" s="118">
        <v>19.73366</v>
      </c>
      <c r="P22" s="118">
        <v>19.73366</v>
      </c>
      <c r="Q22" s="118">
        <f t="shared" si="7"/>
        <v>17.102890769230765</v>
      </c>
    </row>
  </sheetData>
  <pageMargins left="0.75" right="0.75" top="1" bottom="1" header="0.5" footer="0.5"/>
  <pageSetup scale="68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X260"/>
  <sheetViews>
    <sheetView zoomScale="70" zoomScaleNormal="70" workbookViewId="0">
      <pane xSplit="1" ySplit="3" topLeftCell="B200" activePane="bottomRight" state="frozen"/>
      <selection activeCell="B4" sqref="B4"/>
      <selection pane="topRight" activeCell="B4" sqref="B4"/>
      <selection pane="bottomLeft" activeCell="B4" sqref="B4"/>
      <selection pane="bottomRight" activeCell="X225" sqref="X225"/>
    </sheetView>
  </sheetViews>
  <sheetFormatPr defaultColWidth="9" defaultRowHeight="15"/>
  <cols>
    <col min="1" max="1" width="26.77734375" style="334" customWidth="1"/>
    <col min="2" max="2" width="11.44140625" style="336" customWidth="1"/>
    <col min="3" max="6" width="9.33203125" style="336" customWidth="1"/>
    <col min="7" max="7" width="13.109375" style="336" customWidth="1"/>
    <col min="8" max="23" width="9.33203125" style="336" customWidth="1"/>
    <col min="24" max="24" width="12.6640625" style="336" customWidth="1"/>
    <col min="25" max="16384" width="9" style="336"/>
  </cols>
  <sheetData>
    <row r="1" spans="1:24" s="355" customFormat="1">
      <c r="A1" s="354"/>
    </row>
    <row r="2" spans="1:24" s="355" customFormat="1" ht="30">
      <c r="A2" s="434" t="s">
        <v>1802</v>
      </c>
      <c r="B2" s="355" t="s">
        <v>1320</v>
      </c>
      <c r="C2" s="355" t="s">
        <v>1321</v>
      </c>
      <c r="D2" s="355" t="s">
        <v>1322</v>
      </c>
      <c r="E2" s="355" t="s">
        <v>1323</v>
      </c>
      <c r="F2" s="355" t="s">
        <v>1324</v>
      </c>
      <c r="G2" s="355" t="s">
        <v>1325</v>
      </c>
      <c r="H2" s="355" t="s">
        <v>1691</v>
      </c>
      <c r="I2" s="355" t="s">
        <v>1692</v>
      </c>
      <c r="J2" s="355" t="s">
        <v>1693</v>
      </c>
      <c r="K2" s="355" t="s">
        <v>1335</v>
      </c>
      <c r="L2" s="355" t="s">
        <v>1336</v>
      </c>
      <c r="M2" s="355" t="s">
        <v>1337</v>
      </c>
      <c r="N2" s="355" t="s">
        <v>1338</v>
      </c>
      <c r="O2" s="355" t="s">
        <v>1339</v>
      </c>
      <c r="P2" s="355" t="s">
        <v>1340</v>
      </c>
      <c r="Q2" s="355" t="s">
        <v>1341</v>
      </c>
      <c r="R2" s="355" t="s">
        <v>1342</v>
      </c>
      <c r="S2" s="355" t="s">
        <v>1343</v>
      </c>
      <c r="T2" s="355" t="s">
        <v>1344</v>
      </c>
      <c r="U2" s="355" t="s">
        <v>1345</v>
      </c>
      <c r="V2" s="355" t="s">
        <v>1346</v>
      </c>
      <c r="W2" s="355" t="s">
        <v>1347</v>
      </c>
      <c r="X2" s="355" t="s">
        <v>325</v>
      </c>
    </row>
    <row r="3" spans="1:24" s="355" customFormat="1">
      <c r="A3" s="357" t="s">
        <v>786</v>
      </c>
    </row>
    <row r="4" spans="1:24">
      <c r="A4" s="356" t="s">
        <v>1126</v>
      </c>
    </row>
    <row r="6" spans="1:24">
      <c r="A6" s="356" t="s">
        <v>1127</v>
      </c>
    </row>
    <row r="8" spans="1:24">
      <c r="A8" s="356" t="s">
        <v>284</v>
      </c>
      <c r="B8" s="358"/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358"/>
      <c r="R8" s="358"/>
      <c r="S8" s="358"/>
      <c r="T8" s="358"/>
      <c r="U8" s="358"/>
      <c r="V8" s="358"/>
      <c r="W8" s="358"/>
    </row>
    <row r="9" spans="1:24">
      <c r="A9" s="334" t="s">
        <v>1128</v>
      </c>
      <c r="B9" s="336">
        <v>1194309.6719899985</v>
      </c>
      <c r="C9" s="336">
        <v>1204607.0818269986</v>
      </c>
      <c r="D9" s="336">
        <v>1209099.2488899985</v>
      </c>
      <c r="E9" s="336">
        <v>1214738.4527049987</v>
      </c>
      <c r="F9" s="336">
        <v>1219024.0219969987</v>
      </c>
      <c r="G9" s="336">
        <v>1224162.0177339984</v>
      </c>
      <c r="H9" s="336">
        <v>1230335.2076249986</v>
      </c>
      <c r="I9" s="336">
        <v>1238396.5842219985</v>
      </c>
      <c r="J9" s="336">
        <v>1247090.4526619986</v>
      </c>
      <c r="K9" s="336">
        <v>1256670.3494069977</v>
      </c>
      <c r="L9" s="336">
        <v>1266823.3663029973</v>
      </c>
      <c r="M9" s="336">
        <v>1277635.6281609985</v>
      </c>
      <c r="N9" s="336">
        <v>1287857.1677429986</v>
      </c>
      <c r="O9" s="336">
        <v>1297967.9770429973</v>
      </c>
      <c r="P9" s="336">
        <v>1303056.8364879983</v>
      </c>
      <c r="Q9" s="336">
        <v>1310681.3737459984</v>
      </c>
      <c r="R9" s="336">
        <v>1317676.2725129987</v>
      </c>
      <c r="S9" s="336">
        <v>1326683.3552639964</v>
      </c>
      <c r="T9" s="336">
        <v>1336894.6801559972</v>
      </c>
      <c r="U9" s="336">
        <v>1347846.8398579978</v>
      </c>
      <c r="V9" s="336">
        <v>1360517.3859729986</v>
      </c>
      <c r="W9" s="336">
        <v>1374759.1659309987</v>
      </c>
      <c r="X9" s="336">
        <f>SUM(K9:W9)/13</f>
        <v>1312697.722968152</v>
      </c>
    </row>
    <row r="10" spans="1:24">
      <c r="A10" s="334" t="s">
        <v>1129</v>
      </c>
      <c r="B10" s="336">
        <v>-345568.27610801876</v>
      </c>
      <c r="C10" s="336">
        <v>-347255.54811961489</v>
      </c>
      <c r="D10" s="336">
        <v>-345969.63163090218</v>
      </c>
      <c r="E10" s="336">
        <v>-348094.0615537439</v>
      </c>
      <c r="F10" s="336">
        <v>-350806.00318568776</v>
      </c>
      <c r="G10" s="336">
        <v>-353754.61094581604</v>
      </c>
      <c r="H10" s="336">
        <v>-356225.83662834705</v>
      </c>
      <c r="I10" s="336">
        <v>-358578.66699731251</v>
      </c>
      <c r="J10" s="336">
        <v>-361085.83615845564</v>
      </c>
      <c r="K10" s="336">
        <v>-362926.11003368185</v>
      </c>
      <c r="L10" s="336">
        <v>-365002.81168491079</v>
      </c>
      <c r="M10" s="336">
        <v>-367324.5978761384</v>
      </c>
      <c r="N10" s="336">
        <v>-370282.42621546175</v>
      </c>
      <c r="O10" s="336">
        <v>-372549.1326871459</v>
      </c>
      <c r="P10" s="336">
        <v>-371446.79583862185</v>
      </c>
      <c r="Q10" s="336">
        <v>-373896.15159120568</v>
      </c>
      <c r="R10" s="336">
        <v>-377100.40090594953</v>
      </c>
      <c r="S10" s="336">
        <v>-380027.53598250193</v>
      </c>
      <c r="T10" s="336">
        <v>-383296.92550917936</v>
      </c>
      <c r="U10" s="336">
        <v>-386091.811835284</v>
      </c>
      <c r="V10" s="336">
        <v>-389160.87068698136</v>
      </c>
      <c r="W10" s="336">
        <v>-391714.66565040761</v>
      </c>
      <c r="X10" s="336">
        <f t="shared" ref="X10:X73" si="0">SUM(K10:W10)/13</f>
        <v>-376216.94126903615</v>
      </c>
    </row>
    <row r="11" spans="1:24">
      <c r="B11" s="358"/>
      <c r="C11" s="358"/>
      <c r="D11" s="358"/>
      <c r="E11" s="358"/>
      <c r="F11" s="358"/>
      <c r="G11" s="358"/>
      <c r="H11" s="358"/>
      <c r="I11" s="358"/>
      <c r="J11" s="358"/>
      <c r="K11" s="358"/>
      <c r="L11" s="358"/>
      <c r="M11" s="358"/>
      <c r="N11" s="358"/>
      <c r="O11" s="358"/>
      <c r="P11" s="358"/>
      <c r="Q11" s="358"/>
      <c r="R11" s="358"/>
      <c r="S11" s="358"/>
      <c r="T11" s="358"/>
      <c r="U11" s="358"/>
      <c r="V11" s="358"/>
      <c r="W11" s="358"/>
      <c r="X11" s="336">
        <f t="shared" si="0"/>
        <v>0</v>
      </c>
    </row>
    <row r="12" spans="1:24" ht="15.75" thickBot="1">
      <c r="A12" s="356" t="s">
        <v>1130</v>
      </c>
      <c r="B12" s="359">
        <v>848741.39588197973</v>
      </c>
      <c r="C12" s="359">
        <v>857351.53370738379</v>
      </c>
      <c r="D12" s="359">
        <v>863129.61725909635</v>
      </c>
      <c r="E12" s="359">
        <v>866644.39115125476</v>
      </c>
      <c r="F12" s="359">
        <v>868218.01881131087</v>
      </c>
      <c r="G12" s="359">
        <v>870407.40678818233</v>
      </c>
      <c r="H12" s="359">
        <v>874109.37099665159</v>
      </c>
      <c r="I12" s="359">
        <v>879817.91722468589</v>
      </c>
      <c r="J12" s="359">
        <v>886004.61650354299</v>
      </c>
      <c r="K12" s="359">
        <v>893744.23937331582</v>
      </c>
      <c r="L12" s="359">
        <v>901820.55461808655</v>
      </c>
      <c r="M12" s="359">
        <v>910311.03028486005</v>
      </c>
      <c r="N12" s="359">
        <v>917574.74152753688</v>
      </c>
      <c r="O12" s="359">
        <v>925418.84435585141</v>
      </c>
      <c r="P12" s="359">
        <v>931610.04064937634</v>
      </c>
      <c r="Q12" s="359">
        <v>936785.22215479263</v>
      </c>
      <c r="R12" s="359">
        <v>940575.87160704914</v>
      </c>
      <c r="S12" s="359">
        <v>946655.81928149448</v>
      </c>
      <c r="T12" s="359">
        <v>953597.7546468178</v>
      </c>
      <c r="U12" s="359">
        <v>961755.02802271384</v>
      </c>
      <c r="V12" s="359">
        <v>971356.51528601721</v>
      </c>
      <c r="W12" s="359">
        <v>983044.50028059119</v>
      </c>
      <c r="X12" s="336">
        <f t="shared" si="0"/>
        <v>936480.78169911564</v>
      </c>
    </row>
    <row r="13" spans="1:24">
      <c r="X13" s="336">
        <f t="shared" si="0"/>
        <v>0</v>
      </c>
    </row>
    <row r="14" spans="1:24">
      <c r="A14" s="356" t="s">
        <v>1131</v>
      </c>
      <c r="B14" s="358"/>
      <c r="C14" s="358"/>
      <c r="D14" s="358"/>
      <c r="E14" s="358"/>
      <c r="F14" s="358"/>
      <c r="G14" s="358"/>
      <c r="H14" s="358"/>
      <c r="I14" s="358"/>
      <c r="J14" s="358"/>
      <c r="K14" s="358"/>
      <c r="L14" s="358"/>
      <c r="M14" s="358"/>
      <c r="N14" s="358"/>
      <c r="O14" s="358"/>
      <c r="P14" s="358"/>
      <c r="Q14" s="358"/>
      <c r="R14" s="358"/>
      <c r="S14" s="358"/>
      <c r="T14" s="358"/>
      <c r="U14" s="358"/>
      <c r="V14" s="358"/>
      <c r="W14" s="358"/>
      <c r="X14" s="336">
        <f t="shared" si="0"/>
        <v>0</v>
      </c>
    </row>
    <row r="15" spans="1:24">
      <c r="A15" s="334" t="s">
        <v>1132</v>
      </c>
      <c r="B15" s="358"/>
      <c r="C15" s="358"/>
      <c r="D15" s="358"/>
      <c r="E15" s="358"/>
      <c r="F15" s="358"/>
      <c r="G15" s="358"/>
      <c r="H15" s="358"/>
      <c r="I15" s="358"/>
      <c r="J15" s="358"/>
      <c r="K15" s="358"/>
      <c r="L15" s="358"/>
      <c r="M15" s="358"/>
      <c r="N15" s="358"/>
      <c r="O15" s="358"/>
      <c r="P15" s="358"/>
      <c r="Q15" s="358"/>
      <c r="R15" s="358"/>
      <c r="S15" s="358"/>
      <c r="T15" s="358"/>
      <c r="U15" s="358"/>
      <c r="V15" s="358"/>
      <c r="W15" s="358"/>
      <c r="X15" s="336">
        <f t="shared" si="0"/>
        <v>0</v>
      </c>
    </row>
    <row r="16" spans="1:24">
      <c r="A16" s="334" t="s">
        <v>1133</v>
      </c>
      <c r="B16" s="336">
        <v>0</v>
      </c>
      <c r="C16" s="336">
        <v>0</v>
      </c>
      <c r="D16" s="336">
        <v>0</v>
      </c>
      <c r="E16" s="336">
        <v>0</v>
      </c>
      <c r="F16" s="336">
        <v>0</v>
      </c>
      <c r="G16" s="336">
        <v>0</v>
      </c>
      <c r="H16" s="336">
        <v>0</v>
      </c>
      <c r="I16" s="336">
        <v>0</v>
      </c>
      <c r="J16" s="336">
        <v>0</v>
      </c>
      <c r="K16" s="336">
        <v>0</v>
      </c>
      <c r="L16" s="336">
        <v>0</v>
      </c>
      <c r="M16" s="336">
        <v>0</v>
      </c>
      <c r="N16" s="336">
        <v>0</v>
      </c>
      <c r="O16" s="336">
        <v>0</v>
      </c>
      <c r="P16" s="336">
        <v>0</v>
      </c>
      <c r="Q16" s="336">
        <v>0</v>
      </c>
      <c r="R16" s="336">
        <v>0</v>
      </c>
      <c r="S16" s="336">
        <v>0</v>
      </c>
      <c r="T16" s="336">
        <v>0</v>
      </c>
      <c r="U16" s="336">
        <v>0</v>
      </c>
      <c r="V16" s="336">
        <v>0</v>
      </c>
      <c r="W16" s="336">
        <v>0</v>
      </c>
      <c r="X16" s="336">
        <f t="shared" si="0"/>
        <v>0</v>
      </c>
    </row>
    <row r="17" spans="1:24">
      <c r="A17" s="334" t="s">
        <v>1134</v>
      </c>
      <c r="B17" s="336">
        <v>0</v>
      </c>
      <c r="C17" s="336">
        <v>0</v>
      </c>
      <c r="D17" s="336">
        <v>0</v>
      </c>
      <c r="E17" s="336">
        <v>0</v>
      </c>
      <c r="F17" s="336">
        <v>0</v>
      </c>
      <c r="G17" s="336">
        <v>0</v>
      </c>
      <c r="H17" s="336">
        <v>0</v>
      </c>
      <c r="I17" s="336">
        <v>0</v>
      </c>
      <c r="J17" s="336">
        <v>0</v>
      </c>
      <c r="K17" s="336">
        <v>0</v>
      </c>
      <c r="L17" s="336">
        <v>0</v>
      </c>
      <c r="M17" s="336">
        <v>0</v>
      </c>
      <c r="N17" s="336">
        <v>0</v>
      </c>
      <c r="O17" s="336">
        <v>0</v>
      </c>
      <c r="P17" s="336">
        <v>0</v>
      </c>
      <c r="Q17" s="336">
        <v>0</v>
      </c>
      <c r="R17" s="336">
        <v>0</v>
      </c>
      <c r="S17" s="336">
        <v>0</v>
      </c>
      <c r="T17" s="336">
        <v>0</v>
      </c>
      <c r="U17" s="336">
        <v>0</v>
      </c>
      <c r="V17" s="336">
        <v>0</v>
      </c>
      <c r="W17" s="336">
        <v>0</v>
      </c>
      <c r="X17" s="336">
        <f t="shared" si="0"/>
        <v>0</v>
      </c>
    </row>
    <row r="18" spans="1:24">
      <c r="B18" s="358"/>
      <c r="C18" s="358"/>
      <c r="D18" s="358"/>
      <c r="E18" s="358"/>
      <c r="F18" s="358"/>
      <c r="G18" s="358"/>
      <c r="H18" s="358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36">
        <f t="shared" si="0"/>
        <v>0</v>
      </c>
    </row>
    <row r="19" spans="1:24">
      <c r="A19" s="334" t="s">
        <v>1135</v>
      </c>
      <c r="B19" s="336">
        <v>170.26053900000002</v>
      </c>
      <c r="C19" s="336">
        <v>170.26053900000002</v>
      </c>
      <c r="D19" s="336">
        <v>170.26053900000002</v>
      </c>
      <c r="E19" s="336">
        <v>170.26053900000002</v>
      </c>
      <c r="F19" s="336">
        <v>170.26053900000002</v>
      </c>
      <c r="G19" s="336">
        <v>170.26053900000002</v>
      </c>
      <c r="H19" s="336">
        <v>170.26053900000002</v>
      </c>
      <c r="I19" s="336">
        <v>170.26053900000002</v>
      </c>
      <c r="J19" s="336">
        <v>170.26053900000002</v>
      </c>
      <c r="K19" s="336">
        <v>170.26053900000002</v>
      </c>
      <c r="L19" s="336">
        <v>170.26053900000002</v>
      </c>
      <c r="M19" s="336">
        <v>170.26053900000002</v>
      </c>
      <c r="N19" s="336">
        <v>170.26053900000002</v>
      </c>
      <c r="O19" s="336">
        <v>170.26053900000002</v>
      </c>
      <c r="P19" s="336">
        <v>170.26053900000002</v>
      </c>
      <c r="Q19" s="336">
        <v>170.26053900000002</v>
      </c>
      <c r="R19" s="336">
        <v>170.26053900000002</v>
      </c>
      <c r="S19" s="336">
        <v>170.26053900000002</v>
      </c>
      <c r="T19" s="336">
        <v>170.26053900000002</v>
      </c>
      <c r="U19" s="336">
        <v>170.26053900000002</v>
      </c>
      <c r="V19" s="336">
        <v>170.26053900000002</v>
      </c>
      <c r="W19" s="336">
        <v>170.26053900000002</v>
      </c>
      <c r="X19" s="336">
        <f t="shared" si="0"/>
        <v>170.26053900000005</v>
      </c>
    </row>
    <row r="20" spans="1:24">
      <c r="A20" s="334" t="s">
        <v>1136</v>
      </c>
      <c r="B20" s="336">
        <v>1492.9847171424904</v>
      </c>
      <c r="C20" s="336">
        <v>1502.1688512593532</v>
      </c>
      <c r="D20" s="336">
        <v>1500.2587957656867</v>
      </c>
      <c r="E20" s="336">
        <v>1491.2949421163864</v>
      </c>
      <c r="F20" s="336">
        <v>1491.1737517201889</v>
      </c>
      <c r="G20" s="336">
        <v>1492.0223850405125</v>
      </c>
      <c r="H20" s="336">
        <v>1491.6960958571226</v>
      </c>
      <c r="I20" s="336">
        <v>1497.127466369529</v>
      </c>
      <c r="J20" s="336">
        <v>1497.5711538768787</v>
      </c>
      <c r="K20" s="336">
        <v>1502.3809917994799</v>
      </c>
      <c r="L20" s="336">
        <v>1509.5229854771612</v>
      </c>
      <c r="M20" s="336">
        <v>1512.1170979635453</v>
      </c>
      <c r="N20" s="336">
        <v>1516.0480004319645</v>
      </c>
      <c r="O20" s="336">
        <v>1516.4344534745278</v>
      </c>
      <c r="P20" s="336">
        <v>1518.0734661147935</v>
      </c>
      <c r="Q20" s="336">
        <v>1518.5309561388947</v>
      </c>
      <c r="R20" s="336">
        <v>1517.4377025003816</v>
      </c>
      <c r="S20" s="336">
        <v>1519.5315652645895</v>
      </c>
      <c r="T20" s="336">
        <v>1519.1158159652182</v>
      </c>
      <c r="U20" s="336">
        <v>1524.4642153522973</v>
      </c>
      <c r="V20" s="336">
        <v>1530.1555655936256</v>
      </c>
      <c r="W20" s="336">
        <v>1540.8753272488254</v>
      </c>
      <c r="X20" s="336">
        <f t="shared" si="0"/>
        <v>1518.8221648711772</v>
      </c>
    </row>
    <row r="21" spans="1:24">
      <c r="B21" s="358"/>
      <c r="C21" s="358"/>
      <c r="D21" s="358"/>
      <c r="E21" s="358"/>
      <c r="F21" s="358"/>
      <c r="G21" s="358"/>
      <c r="H21" s="358"/>
      <c r="I21" s="358"/>
      <c r="J21" s="358"/>
      <c r="K21" s="358"/>
      <c r="L21" s="358"/>
      <c r="M21" s="358"/>
      <c r="N21" s="358"/>
      <c r="O21" s="358"/>
      <c r="P21" s="358"/>
      <c r="Q21" s="358"/>
      <c r="R21" s="358"/>
      <c r="S21" s="358"/>
      <c r="T21" s="358"/>
      <c r="U21" s="358"/>
      <c r="V21" s="358"/>
      <c r="W21" s="358"/>
      <c r="X21" s="336">
        <f t="shared" si="0"/>
        <v>0</v>
      </c>
    </row>
    <row r="22" spans="1:24" ht="15.75" thickBot="1">
      <c r="A22" s="356" t="s">
        <v>1137</v>
      </c>
      <c r="B22" s="359">
        <v>1663.2452561424905</v>
      </c>
      <c r="C22" s="359">
        <v>1672.4293902593533</v>
      </c>
      <c r="D22" s="359">
        <v>1670.5193347656868</v>
      </c>
      <c r="E22" s="359">
        <v>1661.5554811163865</v>
      </c>
      <c r="F22" s="359">
        <v>1661.434290720189</v>
      </c>
      <c r="G22" s="359">
        <v>1662.2829240405126</v>
      </c>
      <c r="H22" s="359">
        <v>1661.9566348571227</v>
      </c>
      <c r="I22" s="359">
        <v>1667.3880053695291</v>
      </c>
      <c r="J22" s="359">
        <v>1667.8316928768788</v>
      </c>
      <c r="K22" s="359">
        <v>1672.6415307994801</v>
      </c>
      <c r="L22" s="359">
        <v>1679.7835244771613</v>
      </c>
      <c r="M22" s="359">
        <v>1682.3776369635455</v>
      </c>
      <c r="N22" s="359">
        <v>1686.3085394319646</v>
      </c>
      <c r="O22" s="359">
        <v>1686.6949924745279</v>
      </c>
      <c r="P22" s="359">
        <v>1688.3340051147936</v>
      </c>
      <c r="Q22" s="359">
        <v>1688.7914951388948</v>
      </c>
      <c r="R22" s="359">
        <v>1687.6982415003818</v>
      </c>
      <c r="S22" s="359">
        <v>1689.7921042645896</v>
      </c>
      <c r="T22" s="359">
        <v>1689.3763549652183</v>
      </c>
      <c r="U22" s="359">
        <v>1694.7247543522974</v>
      </c>
      <c r="V22" s="359">
        <v>1700.4161045936257</v>
      </c>
      <c r="W22" s="359">
        <v>1711.1358662488256</v>
      </c>
      <c r="X22" s="336">
        <f t="shared" si="0"/>
        <v>1689.082703871178</v>
      </c>
    </row>
    <row r="23" spans="1:24">
      <c r="X23" s="336">
        <f t="shared" si="0"/>
        <v>0</v>
      </c>
    </row>
    <row r="24" spans="1:24">
      <c r="A24" s="356" t="s">
        <v>285</v>
      </c>
      <c r="B24" s="358"/>
      <c r="C24" s="358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8"/>
      <c r="V24" s="358"/>
      <c r="W24" s="358"/>
      <c r="X24" s="336">
        <f t="shared" si="0"/>
        <v>0</v>
      </c>
    </row>
    <row r="25" spans="1:24">
      <c r="A25" s="334" t="s">
        <v>1138</v>
      </c>
      <c r="B25" s="358"/>
      <c r="C25" s="358"/>
      <c r="D25" s="358"/>
      <c r="E25" s="358"/>
      <c r="F25" s="358"/>
      <c r="G25" s="358"/>
      <c r="H25" s="358"/>
      <c r="I25" s="358"/>
      <c r="J25" s="358"/>
      <c r="K25" s="358"/>
      <c r="L25" s="358"/>
      <c r="M25" s="358"/>
      <c r="N25" s="358"/>
      <c r="O25" s="358"/>
      <c r="P25" s="358"/>
      <c r="Q25" s="358"/>
      <c r="R25" s="358"/>
      <c r="S25" s="358"/>
      <c r="T25" s="358"/>
      <c r="U25" s="358"/>
      <c r="V25" s="358"/>
      <c r="W25" s="358"/>
      <c r="X25" s="336">
        <f t="shared" si="0"/>
        <v>0</v>
      </c>
    </row>
    <row r="26" spans="1:24">
      <c r="A26" s="334" t="s">
        <v>1139</v>
      </c>
      <c r="B26" s="336">
        <v>855.80524384725743</v>
      </c>
      <c r="C26" s="336">
        <v>861.0697519478166</v>
      </c>
      <c r="D26" s="336">
        <v>859.97487435881646</v>
      </c>
      <c r="E26" s="336">
        <v>854.83663491800473</v>
      </c>
      <c r="F26" s="336">
        <v>854.76716643960776</v>
      </c>
      <c r="G26" s="336">
        <v>855.25361806720821</v>
      </c>
      <c r="H26" s="336">
        <v>855.06658333674545</v>
      </c>
      <c r="I26" s="336">
        <v>858.17994097023234</v>
      </c>
      <c r="J26" s="336">
        <v>858.43427049622107</v>
      </c>
      <c r="K26" s="336">
        <v>861.19135465720035</v>
      </c>
      <c r="L26" s="336">
        <v>865.28527174201952</v>
      </c>
      <c r="M26" s="336">
        <v>866.77226289704367</v>
      </c>
      <c r="N26" s="336">
        <v>869.02552571139051</v>
      </c>
      <c r="O26" s="336">
        <v>869.24704742995129</v>
      </c>
      <c r="P26" s="336">
        <v>870.18655846189006</v>
      </c>
      <c r="Q26" s="336">
        <v>870.44879983458338</v>
      </c>
      <c r="R26" s="336">
        <v>869.82212751439693</v>
      </c>
      <c r="S26" s="336">
        <v>871.02236668157025</v>
      </c>
      <c r="T26" s="336">
        <v>870.7840518304921</v>
      </c>
      <c r="U26" s="336">
        <v>873.84984894756656</v>
      </c>
      <c r="V26" s="336">
        <v>877.11223155950813</v>
      </c>
      <c r="W26" s="336">
        <v>883.25698852317726</v>
      </c>
      <c r="X26" s="336">
        <f t="shared" si="0"/>
        <v>870.61572583006068</v>
      </c>
    </row>
    <row r="27" spans="1:24">
      <c r="A27" s="334" t="s">
        <v>1143</v>
      </c>
      <c r="B27" s="336">
        <v>3.3872771551474448</v>
      </c>
      <c r="C27" s="336">
        <v>3.4081140782094583</v>
      </c>
      <c r="D27" s="336">
        <v>3.4037805527121954</v>
      </c>
      <c r="E27" s="336">
        <v>3.3834434010054628</v>
      </c>
      <c r="F27" s="336">
        <v>3.3831684447679677</v>
      </c>
      <c r="G27" s="336">
        <v>3.38509382031001</v>
      </c>
      <c r="H27" s="336">
        <v>3.3843535368468385</v>
      </c>
      <c r="I27" s="336">
        <v>3.3966762063601794</v>
      </c>
      <c r="J27" s="336">
        <v>3.3976828426240431</v>
      </c>
      <c r="K27" s="336">
        <v>3.4085953817331989</v>
      </c>
      <c r="L27" s="336">
        <v>3.424799105554913</v>
      </c>
      <c r="M27" s="336">
        <v>3.4306846165464986</v>
      </c>
      <c r="N27" s="336">
        <v>3.4396030307656833</v>
      </c>
      <c r="O27" s="336">
        <v>3.4404798137277472</v>
      </c>
      <c r="P27" s="336">
        <v>3.4441983983921607</v>
      </c>
      <c r="Q27" s="336">
        <v>3.4452363497452807</v>
      </c>
      <c r="R27" s="336">
        <v>3.4427559807019827</v>
      </c>
      <c r="S27" s="336">
        <v>3.4475065273256549</v>
      </c>
      <c r="T27" s="336">
        <v>3.4465632771450876</v>
      </c>
      <c r="U27" s="336">
        <v>3.4586977021344683</v>
      </c>
      <c r="V27" s="336">
        <v>3.471610212512533</v>
      </c>
      <c r="W27" s="336">
        <v>3.4959311605747354</v>
      </c>
      <c r="X27" s="336">
        <f t="shared" si="0"/>
        <v>3.4458970428353792</v>
      </c>
    </row>
    <row r="28" spans="1:24">
      <c r="A28" s="334" t="s">
        <v>1138</v>
      </c>
      <c r="B28" s="336">
        <v>859.19252100240487</v>
      </c>
      <c r="C28" s="336">
        <v>864.47786602602605</v>
      </c>
      <c r="D28" s="336">
        <v>863.37865491152866</v>
      </c>
      <c r="E28" s="336">
        <v>858.22007831901021</v>
      </c>
      <c r="F28" s="336">
        <v>858.15033488437575</v>
      </c>
      <c r="G28" s="336">
        <v>858.63871188751818</v>
      </c>
      <c r="H28" s="336">
        <v>858.45093687359224</v>
      </c>
      <c r="I28" s="336">
        <v>861.57661717659255</v>
      </c>
      <c r="J28" s="336">
        <v>861.8319533388451</v>
      </c>
      <c r="K28" s="336">
        <v>864.59995003893357</v>
      </c>
      <c r="L28" s="336">
        <v>868.71007084757446</v>
      </c>
      <c r="M28" s="336">
        <v>870.20294751359017</v>
      </c>
      <c r="N28" s="336">
        <v>872.46512874215625</v>
      </c>
      <c r="O28" s="336">
        <v>872.68752724367903</v>
      </c>
      <c r="P28" s="336">
        <v>873.63075686028219</v>
      </c>
      <c r="Q28" s="336">
        <v>873.89403618432868</v>
      </c>
      <c r="R28" s="336">
        <v>873.26488349509896</v>
      </c>
      <c r="S28" s="336">
        <v>874.46987320889593</v>
      </c>
      <c r="T28" s="336">
        <v>874.23061510763716</v>
      </c>
      <c r="U28" s="336">
        <v>877.30854664970104</v>
      </c>
      <c r="V28" s="336">
        <v>880.58384177202072</v>
      </c>
      <c r="W28" s="336">
        <v>886.752919683752</v>
      </c>
      <c r="X28" s="336">
        <f t="shared" si="0"/>
        <v>874.06162287289612</v>
      </c>
    </row>
    <row r="29" spans="1:24">
      <c r="B29" s="358"/>
      <c r="C29" s="358"/>
      <c r="D29" s="358"/>
      <c r="E29" s="358"/>
      <c r="F29" s="358"/>
      <c r="G29" s="358"/>
      <c r="H29" s="358"/>
      <c r="I29" s="358"/>
      <c r="J29" s="358"/>
      <c r="K29" s="358"/>
      <c r="L29" s="358"/>
      <c r="M29" s="358"/>
      <c r="N29" s="358"/>
      <c r="O29" s="358"/>
      <c r="P29" s="358"/>
      <c r="Q29" s="358"/>
      <c r="R29" s="358"/>
      <c r="S29" s="358"/>
      <c r="T29" s="358"/>
      <c r="U29" s="358"/>
      <c r="V29" s="358"/>
      <c r="W29" s="358"/>
      <c r="X29" s="336">
        <f t="shared" si="0"/>
        <v>0</v>
      </c>
    </row>
    <row r="30" spans="1:24">
      <c r="A30" s="334" t="s">
        <v>1140</v>
      </c>
      <c r="B30" s="358"/>
      <c r="C30" s="358"/>
      <c r="D30" s="358"/>
      <c r="E30" s="358"/>
      <c r="F30" s="358"/>
      <c r="G30" s="358"/>
      <c r="H30" s="358"/>
      <c r="I30" s="358"/>
      <c r="J30" s="358"/>
      <c r="K30" s="358"/>
      <c r="L30" s="358"/>
      <c r="M30" s="358"/>
      <c r="N30" s="358"/>
      <c r="O30" s="358"/>
      <c r="P30" s="358"/>
      <c r="Q30" s="358"/>
      <c r="R30" s="358"/>
      <c r="S30" s="358"/>
      <c r="T30" s="358"/>
      <c r="U30" s="358"/>
      <c r="V30" s="358"/>
      <c r="W30" s="358"/>
      <c r="X30" s="336">
        <f t="shared" si="0"/>
        <v>0</v>
      </c>
    </row>
    <row r="31" spans="1:24">
      <c r="A31" s="334" t="s">
        <v>1141</v>
      </c>
      <c r="B31" s="360">
        <v>1.7798922394514031E-7</v>
      </c>
      <c r="C31" s="360">
        <v>1.143073068383488E-3</v>
      </c>
      <c r="D31" s="360">
        <v>1.1421607282536316E-3</v>
      </c>
      <c r="E31" s="360">
        <v>1.1360585302356871E-3</v>
      </c>
      <c r="F31" s="360">
        <v>-1.1896071203987628E-5</v>
      </c>
      <c r="G31" s="360">
        <v>0</v>
      </c>
      <c r="H31" s="360">
        <v>-1.1910181967805064E-5</v>
      </c>
      <c r="I31" s="360">
        <v>-1.0028817812586322E-5</v>
      </c>
      <c r="J31" s="360">
        <v>8.4980483382724042E-5</v>
      </c>
      <c r="K31" s="360">
        <v>8.5248535533604734E-5</v>
      </c>
      <c r="L31" s="360">
        <v>1.6995223123798226E-4</v>
      </c>
      <c r="M31" s="360">
        <v>1.7033679977552854E-4</v>
      </c>
      <c r="N31" s="360">
        <v>1.7081657264680358E-4</v>
      </c>
      <c r="O31" s="360">
        <v>2.6240990495537947E-4</v>
      </c>
      <c r="P31" s="360">
        <v>2.6283614336196744E-4</v>
      </c>
      <c r="Q31" s="360">
        <v>2.6330701162119425E-4</v>
      </c>
      <c r="R31" s="360">
        <v>2.9828295038564055E-4</v>
      </c>
      <c r="S31" s="360">
        <v>2.9889794952834198E-4</v>
      </c>
      <c r="T31" s="360">
        <v>2.9902993871934349E-4</v>
      </c>
      <c r="U31" s="360">
        <v>3.0227073756432552E-4</v>
      </c>
      <c r="V31" s="360">
        <v>3.070521163562792E-4</v>
      </c>
      <c r="W31" s="360">
        <v>3.0939911211853892E-4</v>
      </c>
      <c r="X31" s="436">
        <v>0</v>
      </c>
    </row>
    <row r="32" spans="1:24">
      <c r="A32" s="334" t="s">
        <v>1140</v>
      </c>
      <c r="B32" s="336">
        <v>1.7798922394514031E-7</v>
      </c>
      <c r="C32" s="336">
        <v>1.143073068383488E-3</v>
      </c>
      <c r="D32" s="336">
        <v>1.1421607282536316E-3</v>
      </c>
      <c r="E32" s="336">
        <v>1.1360585302356871E-3</v>
      </c>
      <c r="F32" s="336">
        <v>-1.1896071203987628E-5</v>
      </c>
      <c r="G32" s="336">
        <v>-1.1909064246025772E-5</v>
      </c>
      <c r="H32" s="336">
        <v>-1.1910181967805064E-5</v>
      </c>
      <c r="I32" s="336">
        <v>-1.0028817812586322E-5</v>
      </c>
      <c r="J32" s="336">
        <v>8.4980483382724042E-5</v>
      </c>
      <c r="K32" s="336">
        <v>8.5248535533604734E-5</v>
      </c>
      <c r="L32" s="336">
        <v>1.6995223123798226E-4</v>
      </c>
      <c r="M32" s="336">
        <v>1.7033679977552854E-4</v>
      </c>
      <c r="N32" s="336">
        <v>1.7081657264680358E-4</v>
      </c>
      <c r="O32" s="336">
        <v>2.6240990495537947E-4</v>
      </c>
      <c r="P32" s="336">
        <v>2.6283614336196744E-4</v>
      </c>
      <c r="Q32" s="336">
        <v>2.6330701162119425E-4</v>
      </c>
      <c r="R32" s="336">
        <v>2.9828295038564055E-4</v>
      </c>
      <c r="S32" s="336">
        <v>2.9889794952834198E-4</v>
      </c>
      <c r="T32" s="336">
        <v>2.9902993871934349E-4</v>
      </c>
      <c r="U32" s="336">
        <v>3.0227073756432552E-4</v>
      </c>
      <c r="V32" s="336">
        <v>3.070521163562792E-4</v>
      </c>
      <c r="W32" s="336">
        <v>3.0939911211853892E-4</v>
      </c>
      <c r="X32" s="336">
        <f t="shared" si="0"/>
        <v>2.4614153875422538E-4</v>
      </c>
    </row>
    <row r="33" spans="1:24">
      <c r="B33" s="358"/>
      <c r="C33" s="358"/>
      <c r="D33" s="358"/>
      <c r="E33" s="358"/>
      <c r="F33" s="358"/>
      <c r="G33" s="358"/>
      <c r="H33" s="358"/>
      <c r="I33" s="358"/>
      <c r="J33" s="358"/>
      <c r="K33" s="358"/>
      <c r="L33" s="358"/>
      <c r="M33" s="358"/>
      <c r="N33" s="358"/>
      <c r="O33" s="358"/>
      <c r="P33" s="358"/>
      <c r="Q33" s="358"/>
      <c r="R33" s="358"/>
      <c r="S33" s="358"/>
      <c r="T33" s="358"/>
      <c r="U33" s="358"/>
      <c r="V33" s="358"/>
      <c r="W33" s="358"/>
      <c r="X33" s="336">
        <f t="shared" si="0"/>
        <v>0</v>
      </c>
    </row>
    <row r="34" spans="1:24">
      <c r="A34" s="334" t="s">
        <v>1142</v>
      </c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N34" s="358"/>
      <c r="O34" s="358"/>
      <c r="P34" s="358"/>
      <c r="Q34" s="358"/>
      <c r="R34" s="358"/>
      <c r="S34" s="358"/>
      <c r="T34" s="358"/>
      <c r="U34" s="358"/>
      <c r="V34" s="358"/>
      <c r="W34" s="358"/>
      <c r="X34" s="336">
        <f t="shared" si="0"/>
        <v>0</v>
      </c>
    </row>
    <row r="35" spans="1:24">
      <c r="A35" s="334" t="s">
        <v>1144</v>
      </c>
      <c r="B35" s="336">
        <v>19097.306342899039</v>
      </c>
      <c r="C35" s="336">
        <v>17048.492873564275</v>
      </c>
      <c r="D35" s="336">
        <v>18710.693236371913</v>
      </c>
      <c r="E35" s="336">
        <v>22937.272036715178</v>
      </c>
      <c r="F35" s="336">
        <v>25039.074003646601</v>
      </c>
      <c r="G35" s="336">
        <v>23230.807001902034</v>
      </c>
      <c r="H35" s="336">
        <v>21618.81767547351</v>
      </c>
      <c r="I35" s="336">
        <v>18206.314267618276</v>
      </c>
      <c r="J35" s="336">
        <v>18928.752941751743</v>
      </c>
      <c r="K35" s="336">
        <v>20869.307120852838</v>
      </c>
      <c r="L35" s="336">
        <v>21975.044435907083</v>
      </c>
      <c r="M35" s="336">
        <v>22167.221517787257</v>
      </c>
      <c r="N35" s="336">
        <v>19231.232961529458</v>
      </c>
      <c r="O35" s="336">
        <v>16850.140467224199</v>
      </c>
      <c r="P35" s="336">
        <v>18301.663192560722</v>
      </c>
      <c r="Q35" s="336">
        <v>22850.201420708065</v>
      </c>
      <c r="R35" s="336">
        <v>25123.286361471401</v>
      </c>
      <c r="S35" s="336">
        <v>23362.535892097876</v>
      </c>
      <c r="T35" s="336">
        <v>21539.340995313163</v>
      </c>
      <c r="U35" s="336">
        <v>18201.0220066449</v>
      </c>
      <c r="V35" s="336">
        <v>18995.79871928773</v>
      </c>
      <c r="W35" s="336">
        <v>20914.965567010666</v>
      </c>
      <c r="X35" s="336">
        <f t="shared" si="0"/>
        <v>20798.596973722721</v>
      </c>
    </row>
    <row r="36" spans="1:24">
      <c r="A36" s="334" t="s">
        <v>1145</v>
      </c>
      <c r="B36" s="336">
        <v>1302.8403864427848</v>
      </c>
      <c r="C36" s="336">
        <v>1310.8548427895703</v>
      </c>
      <c r="D36" s="336">
        <v>1309.1880491453201</v>
      </c>
      <c r="E36" s="336">
        <v>1301.3658186707689</v>
      </c>
      <c r="F36" s="336">
        <v>1301.2600629046167</v>
      </c>
      <c r="G36" s="336">
        <v>1302.000615537409</v>
      </c>
      <c r="H36" s="336">
        <v>1301.7158820629811</v>
      </c>
      <c r="I36" s="336">
        <v>1306.4555212408295</v>
      </c>
      <c r="J36" s="336">
        <v>1306.8427013618971</v>
      </c>
      <c r="K36" s="336">
        <v>1311.0399654235164</v>
      </c>
      <c r="L36" s="336">
        <v>1317.2723653243079</v>
      </c>
      <c r="M36" s="336">
        <v>1319.5360954719984</v>
      </c>
      <c r="N36" s="336">
        <v>1322.9663640020246</v>
      </c>
      <c r="O36" s="336">
        <v>1323.3035989552927</v>
      </c>
      <c r="P36" s="336">
        <v>1324.7338693640315</v>
      </c>
      <c r="Q36" s="336">
        <v>1325.1330941336826</v>
      </c>
      <c r="R36" s="336">
        <v>1324.1790756654918</v>
      </c>
      <c r="S36" s="336">
        <v>1326.006267157512</v>
      </c>
      <c r="T36" s="336">
        <v>1325.643467075477</v>
      </c>
      <c r="U36" s="336">
        <v>1330.3107022080972</v>
      </c>
      <c r="V36" s="336">
        <v>1335.2772104801882</v>
      </c>
      <c r="W36" s="336">
        <v>1344.6317191078222</v>
      </c>
      <c r="X36" s="336">
        <f t="shared" si="0"/>
        <v>1325.3872149514957</v>
      </c>
    </row>
    <row r="37" spans="1:24">
      <c r="A37" s="334" t="s">
        <v>1146</v>
      </c>
      <c r="B37" s="336">
        <v>334.62640238922455</v>
      </c>
      <c r="C37" s="336">
        <v>336.6848653616172</v>
      </c>
      <c r="D37" s="336">
        <v>336.25675984193532</v>
      </c>
      <c r="E37" s="336">
        <v>334.24766888221677</v>
      </c>
      <c r="F37" s="336">
        <v>334.22050617531289</v>
      </c>
      <c r="G37" s="336">
        <v>334.41071248597837</v>
      </c>
      <c r="H37" s="336">
        <v>334.3375804744295</v>
      </c>
      <c r="I37" s="336">
        <v>335.55492714498888</v>
      </c>
      <c r="J37" s="336">
        <v>335.65437193679736</v>
      </c>
      <c r="K37" s="336">
        <v>336.73241295197658</v>
      </c>
      <c r="L37" s="336">
        <v>338.3331658751701</v>
      </c>
      <c r="M37" s="336">
        <v>338.91459080118881</v>
      </c>
      <c r="N37" s="336">
        <v>339.7956338125785</v>
      </c>
      <c r="O37" s="336">
        <v>339.88225050050607</v>
      </c>
      <c r="P37" s="336">
        <v>340.24960650689059</v>
      </c>
      <c r="Q37" s="336">
        <v>340.35214489133364</v>
      </c>
      <c r="R37" s="336">
        <v>340.10711121633744</v>
      </c>
      <c r="S37" s="336">
        <v>340.57641391973328</v>
      </c>
      <c r="T37" s="336">
        <v>340.48323098842326</v>
      </c>
      <c r="U37" s="336">
        <v>341.68198113294204</v>
      </c>
      <c r="V37" s="336">
        <v>342.95759771101251</v>
      </c>
      <c r="W37" s="336">
        <v>345.36024472806645</v>
      </c>
      <c r="X37" s="336">
        <f t="shared" si="0"/>
        <v>340.41741423355063</v>
      </c>
    </row>
    <row r="38" spans="1:24">
      <c r="A38" s="334" t="s">
        <v>1147</v>
      </c>
      <c r="B38" s="336">
        <v>0</v>
      </c>
      <c r="C38" s="336">
        <v>0</v>
      </c>
      <c r="D38" s="336">
        <v>0</v>
      </c>
      <c r="E38" s="336">
        <v>0</v>
      </c>
      <c r="F38" s="336">
        <v>0</v>
      </c>
      <c r="G38" s="336">
        <v>0</v>
      </c>
      <c r="H38" s="336">
        <v>0</v>
      </c>
      <c r="I38" s="336">
        <v>0</v>
      </c>
      <c r="J38" s="336">
        <v>0</v>
      </c>
      <c r="K38" s="336">
        <v>0</v>
      </c>
      <c r="L38" s="336">
        <v>0</v>
      </c>
      <c r="M38" s="336">
        <v>0</v>
      </c>
      <c r="N38" s="336">
        <v>0</v>
      </c>
      <c r="O38" s="336">
        <v>0</v>
      </c>
      <c r="P38" s="336">
        <v>0</v>
      </c>
      <c r="Q38" s="336">
        <v>0</v>
      </c>
      <c r="R38" s="336">
        <v>0</v>
      </c>
      <c r="S38" s="336">
        <v>0</v>
      </c>
      <c r="T38" s="336">
        <v>0</v>
      </c>
      <c r="U38" s="336">
        <v>0</v>
      </c>
      <c r="V38" s="336">
        <v>0</v>
      </c>
      <c r="W38" s="336">
        <v>0</v>
      </c>
      <c r="X38" s="336">
        <f t="shared" si="0"/>
        <v>0</v>
      </c>
    </row>
    <row r="39" spans="1:24">
      <c r="A39" s="334" t="s">
        <v>1148</v>
      </c>
      <c r="B39" s="336">
        <v>-167.52624877523641</v>
      </c>
      <c r="C39" s="336">
        <v>-168.55679082913733</v>
      </c>
      <c r="D39" s="336">
        <v>-168.34246550608987</v>
      </c>
      <c r="E39" s="336">
        <v>-167.33664089235126</v>
      </c>
      <c r="F39" s="336">
        <v>-167.32304224513842</v>
      </c>
      <c r="G39" s="336">
        <v>-167.41826649968513</v>
      </c>
      <c r="H39" s="336">
        <v>-167.38165393273675</v>
      </c>
      <c r="I39" s="336">
        <v>-167.99110231971918</v>
      </c>
      <c r="J39" s="336">
        <v>-168.04088802943292</v>
      </c>
      <c r="K39" s="336">
        <v>-168.58059489658189</v>
      </c>
      <c r="L39" s="336">
        <v>-169.38199051427341</v>
      </c>
      <c r="M39" s="336">
        <v>-169.67307315480889</v>
      </c>
      <c r="N39" s="336">
        <v>-170.11415559676178</v>
      </c>
      <c r="O39" s="336">
        <v>-170.15751908722828</v>
      </c>
      <c r="P39" s="336">
        <v>-170.34143097605485</v>
      </c>
      <c r="Q39" s="336">
        <v>-170.39276545169267</v>
      </c>
      <c r="R39" s="336">
        <v>-170.27009260788049</v>
      </c>
      <c r="S39" s="336">
        <v>-170.50504275191764</v>
      </c>
      <c r="T39" s="336">
        <v>-170.45839195921033</v>
      </c>
      <c r="U39" s="336">
        <v>-171.05853024326726</v>
      </c>
      <c r="V39" s="336">
        <v>-171.69715068287942</v>
      </c>
      <c r="W39" s="336">
        <v>-172.90000389178397</v>
      </c>
      <c r="X39" s="336">
        <f t="shared" si="0"/>
        <v>-170.42544167802623</v>
      </c>
    </row>
    <row r="40" spans="1:24">
      <c r="A40" s="334" t="s">
        <v>1149</v>
      </c>
      <c r="B40" s="336">
        <v>-96.165621719280537</v>
      </c>
      <c r="C40" s="336">
        <v>-96.757187029467886</v>
      </c>
      <c r="D40" s="336">
        <v>-96.634157187328356</v>
      </c>
      <c r="E40" s="336">
        <v>-96.05678050738787</v>
      </c>
      <c r="F40" s="336">
        <v>-96.048974432976706</v>
      </c>
      <c r="G40" s="336">
        <v>-96.10363631258177</v>
      </c>
      <c r="H40" s="336">
        <v>-96.082619485134913</v>
      </c>
      <c r="I40" s="336">
        <v>-96.432463067668706</v>
      </c>
      <c r="J40" s="336">
        <v>-96.461041715864795</v>
      </c>
      <c r="K40" s="336">
        <v>-96.770851353488695</v>
      </c>
      <c r="L40" s="336">
        <v>-97.2308790111354</v>
      </c>
      <c r="M40" s="336">
        <v>-97.397970098672005</v>
      </c>
      <c r="N40" s="336">
        <v>-97.651166045993477</v>
      </c>
      <c r="O40" s="336">
        <v>-97.676058127390363</v>
      </c>
      <c r="P40" s="336">
        <v>-97.781629649822676</v>
      </c>
      <c r="Q40" s="336">
        <v>-97.811097341013962</v>
      </c>
      <c r="R40" s="336">
        <v>-97.740679061015953</v>
      </c>
      <c r="S40" s="336">
        <v>-97.875548234292097</v>
      </c>
      <c r="T40" s="336">
        <v>-97.8487691324069</v>
      </c>
      <c r="U40" s="336">
        <v>-98.193268407152246</v>
      </c>
      <c r="V40" s="336">
        <v>-98.559857715197566</v>
      </c>
      <c r="W40" s="336">
        <v>-99.250335341939689</v>
      </c>
      <c r="X40" s="336">
        <f t="shared" si="0"/>
        <v>-97.829854578424687</v>
      </c>
    </row>
    <row r="41" spans="1:24">
      <c r="A41" s="334" t="s">
        <v>1150</v>
      </c>
      <c r="B41" s="336">
        <v>0.52736601897404467</v>
      </c>
      <c r="C41" s="336">
        <v>0.53061012468478741</v>
      </c>
      <c r="D41" s="336">
        <v>0.52993543702713852</v>
      </c>
      <c r="E41" s="336">
        <v>0.52676914084244275</v>
      </c>
      <c r="F41" s="336">
        <v>0.52672633283774795</v>
      </c>
      <c r="G41" s="336">
        <v>0.52702609503261111</v>
      </c>
      <c r="H41" s="336">
        <v>0.5269108401169359</v>
      </c>
      <c r="I41" s="336">
        <v>0.52882935958455846</v>
      </c>
      <c r="J41" s="336">
        <v>0.5289860830337223</v>
      </c>
      <c r="K41" s="336">
        <v>0.5306850589495693</v>
      </c>
      <c r="L41" s="336">
        <v>0.53320782072341077</v>
      </c>
      <c r="M41" s="336">
        <v>0.53412413738694198</v>
      </c>
      <c r="N41" s="336">
        <v>0.53551264750492444</v>
      </c>
      <c r="O41" s="336">
        <v>0.53564915406137936</v>
      </c>
      <c r="P41" s="336">
        <v>0.53622810142850275</v>
      </c>
      <c r="Q41" s="336">
        <v>0.53638970033166655</v>
      </c>
      <c r="R41" s="336">
        <v>0.53600353106117671</v>
      </c>
      <c r="S41" s="336">
        <v>0.53674314484125052</v>
      </c>
      <c r="T41" s="336">
        <v>0.53659628998708953</v>
      </c>
      <c r="U41" s="336">
        <v>0.53848550161816733</v>
      </c>
      <c r="V41" s="336">
        <v>0.54049585355606322</v>
      </c>
      <c r="W41" s="336">
        <v>0.54428238798172934</v>
      </c>
      <c r="X41" s="336">
        <f t="shared" si="0"/>
        <v>0.53649256380245169</v>
      </c>
    </row>
    <row r="42" spans="1:24">
      <c r="A42" s="334" t="s">
        <v>1151</v>
      </c>
      <c r="B42" s="365">
        <v>114.06018073891306</v>
      </c>
      <c r="C42" s="365">
        <v>114.76182489191198</v>
      </c>
      <c r="D42" s="365">
        <v>114.61590157981946</v>
      </c>
      <c r="E42" s="365">
        <v>113.93108628625555</v>
      </c>
      <c r="F42" s="365">
        <v>113.92182765263701</v>
      </c>
      <c r="G42" s="365">
        <v>113.98666104897775</v>
      </c>
      <c r="H42" s="365">
        <v>113.96173339713826</v>
      </c>
      <c r="I42" s="365">
        <v>114.37667609225893</v>
      </c>
      <c r="J42" s="365">
        <v>114.41057267318091</v>
      </c>
      <c r="K42" s="365">
        <v>114.77803188189057</v>
      </c>
      <c r="L42" s="365">
        <v>115.32366177371668</v>
      </c>
      <c r="M42" s="365">
        <v>115.52184527530024</v>
      </c>
      <c r="N42" s="365">
        <v>115.82215608281679</v>
      </c>
      <c r="O42" s="365">
        <v>115.85168009828443</v>
      </c>
      <c r="P42" s="365">
        <v>115.97689643562236</v>
      </c>
      <c r="Q42" s="365">
        <v>116.01184749321597</v>
      </c>
      <c r="R42" s="365">
        <v>115.92832573564503</v>
      </c>
      <c r="S42" s="365">
        <v>116.08829144901493</v>
      </c>
      <c r="T42" s="365">
        <v>116.05652927510658</v>
      </c>
      <c r="U42" s="365">
        <v>116.46513319030386</v>
      </c>
      <c r="V42" s="365">
        <v>116.89993766600998</v>
      </c>
      <c r="W42" s="365">
        <v>117.71889980127574</v>
      </c>
      <c r="X42" s="336">
        <f t="shared" si="0"/>
        <v>116.03409508909256</v>
      </c>
    </row>
    <row r="43" spans="1:24" ht="15.75" thickBot="1">
      <c r="A43" s="334" t="s">
        <v>1152</v>
      </c>
      <c r="B43" s="335">
        <v>14046.381968384982</v>
      </c>
      <c r="C43" s="335">
        <v>14046.381968384982</v>
      </c>
      <c r="D43" s="335">
        <v>14046.381968384982</v>
      </c>
      <c r="E43" s="335">
        <v>14046.381968384982</v>
      </c>
      <c r="F43" s="335">
        <v>14046.381968384982</v>
      </c>
      <c r="G43" s="335">
        <v>14046.381968384982</v>
      </c>
      <c r="H43" s="335">
        <v>14046.381968384982</v>
      </c>
      <c r="I43" s="335">
        <v>14046.381968384982</v>
      </c>
      <c r="J43" s="335">
        <v>14046.381968384982</v>
      </c>
      <c r="K43" s="335">
        <v>14046.381968384982</v>
      </c>
      <c r="L43" s="335">
        <v>14046.381968384982</v>
      </c>
      <c r="M43" s="335">
        <v>14046.381968384982</v>
      </c>
      <c r="N43" s="335">
        <v>14046.381968384982</v>
      </c>
      <c r="O43" s="335">
        <v>14046.381968384982</v>
      </c>
      <c r="P43" s="335">
        <v>14046.381968384982</v>
      </c>
      <c r="Q43" s="335">
        <v>14046.381968384982</v>
      </c>
      <c r="R43" s="335">
        <v>14046.381968384982</v>
      </c>
      <c r="S43" s="335">
        <v>14046.381968384982</v>
      </c>
      <c r="T43" s="335">
        <v>14046.381968384982</v>
      </c>
      <c r="U43" s="335">
        <v>14046.381968384982</v>
      </c>
      <c r="V43" s="335">
        <v>14046.381968384982</v>
      </c>
      <c r="W43" s="335">
        <v>14046.381968384982</v>
      </c>
      <c r="X43" s="336">
        <f t="shared" si="0"/>
        <v>14046.381968384985</v>
      </c>
    </row>
    <row r="44" spans="1:24">
      <c r="A44" s="334" t="s">
        <v>1142</v>
      </c>
      <c r="B44" s="336">
        <v>34632.050776379401</v>
      </c>
      <c r="C44" s="336">
        <v>32592.393007258441</v>
      </c>
      <c r="D44" s="336">
        <v>34252.689228067575</v>
      </c>
      <c r="E44" s="336">
        <v>38470.331926680505</v>
      </c>
      <c r="F44" s="336">
        <v>40572.013078418873</v>
      </c>
      <c r="G44" s="336">
        <v>38764.59208264215</v>
      </c>
      <c r="H44" s="336">
        <v>37152.277477215284</v>
      </c>
      <c r="I44" s="336">
        <v>33745.188624453534</v>
      </c>
      <c r="J44" s="336">
        <v>34468.069612446336</v>
      </c>
      <c r="K44" s="336">
        <v>36413.418738304084</v>
      </c>
      <c r="L44" s="336">
        <v>37526.275935560574</v>
      </c>
      <c r="M44" s="336">
        <v>37721.039098604633</v>
      </c>
      <c r="N44" s="336">
        <v>34788.969274816605</v>
      </c>
      <c r="O44" s="336">
        <v>32408.262037102701</v>
      </c>
      <c r="P44" s="336">
        <v>33861.418700727794</v>
      </c>
      <c r="Q44" s="336">
        <v>38410.413002518901</v>
      </c>
      <c r="R44" s="336">
        <v>40682.408074336025</v>
      </c>
      <c r="S44" s="336">
        <v>38923.744985167752</v>
      </c>
      <c r="T44" s="336">
        <v>37100.135626235518</v>
      </c>
      <c r="U44" s="336">
        <v>33767.148478412426</v>
      </c>
      <c r="V44" s="336">
        <v>34567.598920985401</v>
      </c>
      <c r="W44" s="336">
        <v>36497.452342187076</v>
      </c>
      <c r="X44" s="336">
        <f t="shared" si="0"/>
        <v>36359.098862689192</v>
      </c>
    </row>
    <row r="45" spans="1:24">
      <c r="B45" s="358"/>
      <c r="C45" s="358"/>
      <c r="D45" s="358"/>
      <c r="E45" s="358"/>
      <c r="F45" s="358"/>
      <c r="G45" s="358"/>
      <c r="H45" s="358"/>
      <c r="I45" s="358"/>
      <c r="J45" s="358"/>
      <c r="K45" s="358"/>
      <c r="L45" s="358"/>
      <c r="M45" s="358"/>
      <c r="N45" s="358"/>
      <c r="O45" s="358"/>
      <c r="P45" s="358"/>
      <c r="Q45" s="358"/>
      <c r="R45" s="358"/>
      <c r="S45" s="358"/>
      <c r="T45" s="358"/>
      <c r="U45" s="358"/>
      <c r="V45" s="358"/>
      <c r="W45" s="358"/>
      <c r="X45" s="336">
        <f t="shared" si="0"/>
        <v>0</v>
      </c>
    </row>
    <row r="46" spans="1:24">
      <c r="A46" s="334" t="s">
        <v>1153</v>
      </c>
      <c r="B46" s="358"/>
      <c r="C46" s="358"/>
      <c r="D46" s="358"/>
      <c r="E46" s="358"/>
      <c r="F46" s="358"/>
      <c r="G46" s="358"/>
      <c r="H46" s="358"/>
      <c r="I46" s="358"/>
      <c r="J46" s="358"/>
      <c r="K46" s="358"/>
      <c r="L46" s="358"/>
      <c r="M46" s="358"/>
      <c r="N46" s="358"/>
      <c r="O46" s="358"/>
      <c r="P46" s="358"/>
      <c r="Q46" s="358"/>
      <c r="R46" s="358"/>
      <c r="S46" s="358"/>
      <c r="T46" s="358"/>
      <c r="U46" s="358"/>
      <c r="V46" s="358"/>
      <c r="W46" s="358"/>
      <c r="X46" s="336">
        <f t="shared" si="0"/>
        <v>0</v>
      </c>
    </row>
    <row r="47" spans="1:24">
      <c r="A47" s="334" t="s">
        <v>1154</v>
      </c>
      <c r="B47" s="336">
        <v>3424.5340048540656</v>
      </c>
      <c r="C47" s="336">
        <v>3445.6100855787572</v>
      </c>
      <c r="D47" s="336">
        <v>3748.313217119382</v>
      </c>
      <c r="E47" s="336">
        <v>3897.6646530446078</v>
      </c>
      <c r="F47" s="336">
        <v>4187.3919311194259</v>
      </c>
      <c r="G47" s="336">
        <v>4135.9923869988279</v>
      </c>
      <c r="H47" s="336">
        <v>4283.40442201524</v>
      </c>
      <c r="I47" s="336">
        <v>3527.4242129830418</v>
      </c>
      <c r="J47" s="336">
        <v>3738.963518101059</v>
      </c>
      <c r="K47" s="336">
        <v>3602.3952851097301</v>
      </c>
      <c r="L47" s="336">
        <v>3642.9470943467354</v>
      </c>
      <c r="M47" s="336">
        <v>3736.9644914260844</v>
      </c>
      <c r="N47" s="336">
        <v>3836.5765344862784</v>
      </c>
      <c r="O47" s="336">
        <v>3833.5567377624739</v>
      </c>
      <c r="P47" s="336">
        <v>3884.9848227110051</v>
      </c>
      <c r="Q47" s="336">
        <v>4476.660625215497</v>
      </c>
      <c r="R47" s="336">
        <v>4558.1814338098229</v>
      </c>
      <c r="S47" s="336">
        <v>4482.0666375582641</v>
      </c>
      <c r="T47" s="336">
        <v>4786.9432143021668</v>
      </c>
      <c r="U47" s="336">
        <v>4163.1721727437034</v>
      </c>
      <c r="V47" s="336">
        <v>3995.6840183070271</v>
      </c>
      <c r="W47" s="336">
        <v>3924.1298577483039</v>
      </c>
      <c r="X47" s="336">
        <f t="shared" si="0"/>
        <v>4071.0971481174688</v>
      </c>
    </row>
    <row r="48" spans="1:24">
      <c r="A48" s="334" t="s">
        <v>1155</v>
      </c>
      <c r="B48" s="336">
        <v>0</v>
      </c>
      <c r="C48" s="336">
        <v>0</v>
      </c>
      <c r="D48" s="336">
        <v>0</v>
      </c>
      <c r="E48" s="336">
        <v>0</v>
      </c>
      <c r="F48" s="336">
        <v>0</v>
      </c>
      <c r="G48" s="336">
        <v>0</v>
      </c>
      <c r="H48" s="336">
        <v>0</v>
      </c>
      <c r="I48" s="336">
        <v>0</v>
      </c>
      <c r="J48" s="336">
        <v>0</v>
      </c>
      <c r="K48" s="336">
        <v>0</v>
      </c>
      <c r="L48" s="336">
        <v>0</v>
      </c>
      <c r="M48" s="336">
        <v>0</v>
      </c>
      <c r="N48" s="336">
        <v>0</v>
      </c>
      <c r="O48" s="336">
        <v>0</v>
      </c>
      <c r="P48" s="336">
        <v>0</v>
      </c>
      <c r="Q48" s="336">
        <v>0</v>
      </c>
      <c r="R48" s="336">
        <v>0</v>
      </c>
      <c r="S48" s="336">
        <v>0</v>
      </c>
      <c r="T48" s="336">
        <v>0</v>
      </c>
      <c r="U48" s="336">
        <v>0</v>
      </c>
      <c r="V48" s="336">
        <v>0</v>
      </c>
      <c r="W48" s="336">
        <v>0</v>
      </c>
      <c r="X48" s="336">
        <f t="shared" si="0"/>
        <v>0</v>
      </c>
    </row>
    <row r="49" spans="1:24">
      <c r="A49" s="435" t="s">
        <v>1803</v>
      </c>
      <c r="X49" s="336">
        <f t="shared" si="0"/>
        <v>0</v>
      </c>
    </row>
    <row r="50" spans="1:24">
      <c r="A50" s="334" t="s">
        <v>1153</v>
      </c>
      <c r="B50" s="336">
        <v>3424.5340048540656</v>
      </c>
      <c r="C50" s="336">
        <v>3445.6100855787572</v>
      </c>
      <c r="D50" s="336">
        <v>3748.313217119382</v>
      </c>
      <c r="E50" s="336">
        <v>3897.6646530446078</v>
      </c>
      <c r="F50" s="336">
        <v>4187.3919311194259</v>
      </c>
      <c r="G50" s="336">
        <v>4135.9923869988279</v>
      </c>
      <c r="H50" s="336">
        <v>4283.40442201524</v>
      </c>
      <c r="I50" s="336">
        <v>3527.4242129830418</v>
      </c>
      <c r="J50" s="336">
        <v>3738.963518101059</v>
      </c>
      <c r="K50" s="336">
        <v>3602.3952851097301</v>
      </c>
      <c r="L50" s="336">
        <v>3642.9470943467354</v>
      </c>
      <c r="M50" s="336">
        <v>3736.9644914260844</v>
      </c>
      <c r="N50" s="336">
        <v>3836.5765344862784</v>
      </c>
      <c r="O50" s="336">
        <v>3833.5567377624739</v>
      </c>
      <c r="P50" s="336">
        <v>3884.9848227110051</v>
      </c>
      <c r="Q50" s="336">
        <v>4476.660625215497</v>
      </c>
      <c r="R50" s="336">
        <v>4558.1814338098229</v>
      </c>
      <c r="S50" s="336">
        <v>4482.0666375582641</v>
      </c>
      <c r="T50" s="336">
        <v>4786.9432143021668</v>
      </c>
      <c r="U50" s="336">
        <v>4163.1721727437034</v>
      </c>
      <c r="V50" s="336">
        <v>3995.6840183070271</v>
      </c>
      <c r="W50" s="336">
        <v>3924.1298577483039</v>
      </c>
      <c r="X50" s="336">
        <f t="shared" si="0"/>
        <v>4071.0971481174688</v>
      </c>
    </row>
    <row r="51" spans="1:24">
      <c r="B51" s="358"/>
      <c r="C51" s="358"/>
      <c r="D51" s="358"/>
      <c r="E51" s="358"/>
      <c r="F51" s="358"/>
      <c r="G51" s="358"/>
      <c r="H51" s="358"/>
      <c r="I51" s="358"/>
      <c r="J51" s="358"/>
      <c r="K51" s="358"/>
      <c r="L51" s="358"/>
      <c r="M51" s="358"/>
      <c r="N51" s="358"/>
      <c r="O51" s="358"/>
      <c r="P51" s="358"/>
      <c r="Q51" s="358"/>
      <c r="R51" s="358"/>
      <c r="S51" s="358"/>
      <c r="T51" s="358"/>
      <c r="U51" s="358"/>
      <c r="V51" s="358"/>
      <c r="W51" s="358"/>
      <c r="X51" s="336">
        <f t="shared" si="0"/>
        <v>0</v>
      </c>
    </row>
    <row r="52" spans="1:24">
      <c r="A52" s="334" t="s">
        <v>1156</v>
      </c>
      <c r="B52" s="358"/>
      <c r="C52" s="358"/>
      <c r="D52" s="358"/>
      <c r="E52" s="358"/>
      <c r="F52" s="358"/>
      <c r="G52" s="358"/>
      <c r="H52" s="358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36">
        <f t="shared" si="0"/>
        <v>0</v>
      </c>
    </row>
    <row r="53" spans="1:24">
      <c r="A53" s="334" t="s">
        <v>1157</v>
      </c>
      <c r="B53" s="336">
        <v>0</v>
      </c>
      <c r="C53" s="336">
        <v>0</v>
      </c>
      <c r="D53" s="336">
        <v>0</v>
      </c>
      <c r="E53" s="336">
        <v>0</v>
      </c>
      <c r="F53" s="336">
        <v>0</v>
      </c>
      <c r="G53" s="336">
        <v>0</v>
      </c>
      <c r="H53" s="336">
        <v>0</v>
      </c>
      <c r="I53" s="336">
        <v>0</v>
      </c>
      <c r="J53" s="336">
        <v>0</v>
      </c>
      <c r="K53" s="336">
        <v>0</v>
      </c>
      <c r="L53" s="336">
        <v>0</v>
      </c>
      <c r="M53" s="336">
        <v>0</v>
      </c>
      <c r="N53" s="336">
        <v>0</v>
      </c>
      <c r="O53" s="336">
        <v>0</v>
      </c>
      <c r="P53" s="336">
        <v>0</v>
      </c>
      <c r="Q53" s="336">
        <v>0</v>
      </c>
      <c r="R53" s="336">
        <v>0</v>
      </c>
      <c r="S53" s="336">
        <v>0</v>
      </c>
      <c r="T53" s="336">
        <v>0</v>
      </c>
      <c r="U53" s="336">
        <v>0</v>
      </c>
      <c r="V53" s="336">
        <v>0</v>
      </c>
      <c r="W53" s="336">
        <v>0</v>
      </c>
      <c r="X53" s="336">
        <f t="shared" si="0"/>
        <v>0</v>
      </c>
    </row>
    <row r="54" spans="1:24">
      <c r="A54" s="334" t="s">
        <v>1158</v>
      </c>
      <c r="B54" s="336">
        <v>279.25451488000022</v>
      </c>
      <c r="C54" s="336">
        <v>277.23722464000019</v>
      </c>
      <c r="D54" s="336">
        <v>276.5492246400002</v>
      </c>
      <c r="E54" s="336">
        <v>276.32522288000024</v>
      </c>
      <c r="F54" s="336">
        <v>276.20573136000024</v>
      </c>
      <c r="G54" s="336">
        <v>275.62264984000029</v>
      </c>
      <c r="H54" s="336">
        <v>275.38366680000024</v>
      </c>
      <c r="I54" s="336">
        <v>275.26417528000025</v>
      </c>
      <c r="J54" s="336">
        <v>275.14468376000025</v>
      </c>
      <c r="K54" s="336">
        <v>274.90570072000025</v>
      </c>
      <c r="L54" s="336">
        <v>274.7862092000002</v>
      </c>
      <c r="M54" s="336">
        <v>274.66671768000026</v>
      </c>
      <c r="N54" s="336">
        <v>274.42773464000021</v>
      </c>
      <c r="O54" s="336">
        <v>274.12804344000023</v>
      </c>
      <c r="P54" s="336">
        <v>272.20855192000022</v>
      </c>
      <c r="Q54" s="336">
        <v>272.00939624000023</v>
      </c>
      <c r="R54" s="336">
        <v>271.87803240000028</v>
      </c>
      <c r="S54" s="336">
        <v>271.27844266000022</v>
      </c>
      <c r="T54" s="336">
        <v>271.02758730000028</v>
      </c>
      <c r="U54" s="336">
        <v>270.89622346000027</v>
      </c>
      <c r="V54" s="336">
        <v>270.76485962000027</v>
      </c>
      <c r="W54" s="336">
        <v>270.51400426000026</v>
      </c>
      <c r="X54" s="336">
        <f t="shared" si="0"/>
        <v>272.57626950307713</v>
      </c>
    </row>
    <row r="55" spans="1:24">
      <c r="A55" s="334" t="s">
        <v>1159</v>
      </c>
      <c r="B55" s="336">
        <v>0</v>
      </c>
      <c r="C55" s="336">
        <v>0</v>
      </c>
      <c r="D55" s="336">
        <v>0</v>
      </c>
      <c r="E55" s="336">
        <v>0</v>
      </c>
      <c r="F55" s="336">
        <v>0</v>
      </c>
      <c r="G55" s="336">
        <v>0</v>
      </c>
      <c r="H55" s="336">
        <v>0</v>
      </c>
      <c r="I55" s="336">
        <v>0</v>
      </c>
      <c r="J55" s="336">
        <v>0</v>
      </c>
      <c r="K55" s="336">
        <v>0</v>
      </c>
      <c r="L55" s="336">
        <v>0</v>
      </c>
      <c r="M55" s="336">
        <v>0</v>
      </c>
      <c r="N55" s="336">
        <v>0</v>
      </c>
      <c r="O55" s="336">
        <v>0</v>
      </c>
      <c r="P55" s="336">
        <v>0</v>
      </c>
      <c r="Q55" s="336">
        <v>0</v>
      </c>
      <c r="R55" s="336">
        <v>0</v>
      </c>
      <c r="S55" s="336">
        <v>0</v>
      </c>
      <c r="T55" s="336">
        <v>0</v>
      </c>
      <c r="U55" s="336">
        <v>0</v>
      </c>
      <c r="V55" s="336">
        <v>0</v>
      </c>
      <c r="W55" s="336">
        <v>0</v>
      </c>
      <c r="X55" s="336">
        <f t="shared" si="0"/>
        <v>0</v>
      </c>
    </row>
    <row r="56" spans="1:24">
      <c r="A56" s="334" t="s">
        <v>1160</v>
      </c>
      <c r="B56" s="336">
        <v>51.374916239999962</v>
      </c>
      <c r="C56" s="336">
        <v>51.374916239999962</v>
      </c>
      <c r="D56" s="336">
        <v>51.374916239999962</v>
      </c>
      <c r="E56" s="336">
        <v>51.374916239999962</v>
      </c>
      <c r="F56" s="336">
        <v>51.374916239999962</v>
      </c>
      <c r="G56" s="336">
        <v>51.374916239999962</v>
      </c>
      <c r="H56" s="336">
        <v>51.374916239999962</v>
      </c>
      <c r="I56" s="336">
        <v>51.374916239999962</v>
      </c>
      <c r="J56" s="336">
        <v>51.374916239999962</v>
      </c>
      <c r="K56" s="336">
        <v>51.374916239999962</v>
      </c>
      <c r="L56" s="336">
        <v>51.374916239999962</v>
      </c>
      <c r="M56" s="336">
        <v>51.374916239999962</v>
      </c>
      <c r="N56" s="336">
        <v>51.374916239999962</v>
      </c>
      <c r="O56" s="336">
        <v>51.374916239999962</v>
      </c>
      <c r="P56" s="336">
        <v>51.374916239999962</v>
      </c>
      <c r="Q56" s="336">
        <v>51.374916239999962</v>
      </c>
      <c r="R56" s="336">
        <v>51.374916239999962</v>
      </c>
      <c r="S56" s="336">
        <v>51.374916239999962</v>
      </c>
      <c r="T56" s="336">
        <v>51.374916239999962</v>
      </c>
      <c r="U56" s="336">
        <v>51.374916239999962</v>
      </c>
      <c r="V56" s="336">
        <v>51.374916239999962</v>
      </c>
      <c r="W56" s="336">
        <v>51.374916239999962</v>
      </c>
      <c r="X56" s="336">
        <f t="shared" si="0"/>
        <v>51.374916239999955</v>
      </c>
    </row>
    <row r="57" spans="1:24" ht="15.75">
      <c r="A57" s="334" t="s">
        <v>1161</v>
      </c>
      <c r="B57" s="361">
        <v>41388.0747619666</v>
      </c>
      <c r="C57" s="361">
        <v>50447.770720697197</v>
      </c>
      <c r="D57" s="361">
        <v>51126.775838808499</v>
      </c>
      <c r="E57" s="361">
        <v>42327.856618504899</v>
      </c>
      <c r="F57" s="361">
        <v>28235.509906085899</v>
      </c>
      <c r="G57" s="361">
        <v>15380.3838237823</v>
      </c>
      <c r="H57" s="361">
        <v>7920.4211389170396</v>
      </c>
      <c r="I57" s="361">
        <v>5293.2958174368996</v>
      </c>
      <c r="J57" s="361">
        <v>5358.1658983633597</v>
      </c>
      <c r="K57" s="361">
        <v>10989.973738352401</v>
      </c>
      <c r="L57" s="361">
        <v>20093.992861252002</v>
      </c>
      <c r="M57" s="361">
        <v>31243.473293043298</v>
      </c>
      <c r="N57" s="361">
        <v>41797.623980795397</v>
      </c>
      <c r="O57" s="361">
        <v>51110.041677018802</v>
      </c>
      <c r="P57" s="361">
        <v>52085.411799909103</v>
      </c>
      <c r="Q57" s="361">
        <v>43204.758555537497</v>
      </c>
      <c r="R57" s="361">
        <v>28740.971358860301</v>
      </c>
      <c r="S57" s="361">
        <v>15543.7084417145</v>
      </c>
      <c r="T57" s="361">
        <v>7858.5644241501304</v>
      </c>
      <c r="U57" s="361">
        <v>5143.1920152127004</v>
      </c>
      <c r="V57" s="361">
        <v>5188.9884327460004</v>
      </c>
      <c r="W57" s="361">
        <v>10637.0474875948</v>
      </c>
      <c r="X57" s="336">
        <f t="shared" si="0"/>
        <v>24895.211389706696</v>
      </c>
    </row>
    <row r="58" spans="1:24">
      <c r="A58" s="334" t="s">
        <v>1156</v>
      </c>
      <c r="B58" s="336">
        <v>41718.704193086603</v>
      </c>
      <c r="C58" s="336">
        <v>50776.3828615772</v>
      </c>
      <c r="D58" s="336">
        <v>51454.699979688499</v>
      </c>
      <c r="E58" s="336">
        <v>42655.556757624901</v>
      </c>
      <c r="F58" s="336">
        <v>28563.090553685899</v>
      </c>
      <c r="G58" s="336">
        <v>15707.381389862301</v>
      </c>
      <c r="H58" s="336">
        <v>8247.1797219570399</v>
      </c>
      <c r="I58" s="336">
        <v>5619.9349089568996</v>
      </c>
      <c r="J58" s="336">
        <v>5684.6854983633602</v>
      </c>
      <c r="K58" s="336">
        <v>11316.254355312401</v>
      </c>
      <c r="L58" s="336">
        <v>20420.153986692003</v>
      </c>
      <c r="M58" s="336">
        <v>31569.5149269633</v>
      </c>
      <c r="N58" s="336">
        <v>42123.4266316754</v>
      </c>
      <c r="O58" s="336">
        <v>51435.544636698804</v>
      </c>
      <c r="P58" s="336">
        <v>52408.995268069106</v>
      </c>
      <c r="Q58" s="336">
        <v>43528.142868017494</v>
      </c>
      <c r="R58" s="336">
        <v>29064.224307500303</v>
      </c>
      <c r="S58" s="336">
        <v>15866.361800614501</v>
      </c>
      <c r="T58" s="336">
        <v>8180.9669276901304</v>
      </c>
      <c r="U58" s="336">
        <v>5465.4631549127007</v>
      </c>
      <c r="V58" s="336">
        <v>5511.128208606001</v>
      </c>
      <c r="W58" s="336">
        <v>10958.9364080948</v>
      </c>
      <c r="X58" s="336">
        <f t="shared" si="0"/>
        <v>25219.162575449758</v>
      </c>
    </row>
    <row r="59" spans="1:24">
      <c r="B59" s="358"/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36">
        <f t="shared" si="0"/>
        <v>0</v>
      </c>
    </row>
    <row r="60" spans="1:24">
      <c r="A60" s="334" t="s">
        <v>1162</v>
      </c>
      <c r="B60" s="358"/>
      <c r="C60" s="358"/>
      <c r="D60" s="358"/>
      <c r="E60" s="358"/>
      <c r="F60" s="358"/>
      <c r="G60" s="358"/>
      <c r="H60" s="358"/>
      <c r="I60" s="358"/>
      <c r="J60" s="358"/>
      <c r="K60" s="358"/>
      <c r="L60" s="358"/>
      <c r="M60" s="358"/>
      <c r="N60" s="358"/>
      <c r="O60" s="358"/>
      <c r="P60" s="358"/>
      <c r="Q60" s="358"/>
      <c r="R60" s="358"/>
      <c r="S60" s="358"/>
      <c r="T60" s="358"/>
      <c r="U60" s="358"/>
      <c r="V60" s="358"/>
      <c r="W60" s="358"/>
      <c r="X60" s="336">
        <f t="shared" si="0"/>
        <v>0</v>
      </c>
    </row>
    <row r="61" spans="1:24">
      <c r="A61" s="334" t="s">
        <v>1163</v>
      </c>
      <c r="B61" s="336">
        <v>1901.8386977984119</v>
      </c>
      <c r="C61" s="336">
        <v>1748.3149408468234</v>
      </c>
      <c r="D61" s="336">
        <v>1537.1433855772502</v>
      </c>
      <c r="E61" s="336">
        <v>1391.0630911356664</v>
      </c>
      <c r="F61" s="336">
        <v>1929.4233053459061</v>
      </c>
      <c r="G61" s="336">
        <v>1757.5755046389061</v>
      </c>
      <c r="H61" s="336">
        <v>1538.2763142759061</v>
      </c>
      <c r="I61" s="336">
        <v>2205.9342821246132</v>
      </c>
      <c r="J61" s="336">
        <v>1991.8660652786134</v>
      </c>
      <c r="K61" s="336">
        <v>2059.329632295613</v>
      </c>
      <c r="L61" s="336">
        <v>1858.312791259613</v>
      </c>
      <c r="M61" s="336">
        <v>1682.3104480519221</v>
      </c>
      <c r="N61" s="336">
        <v>1647.7753227142421</v>
      </c>
      <c r="O61" s="336">
        <v>1534.4217456742419</v>
      </c>
      <c r="P61" s="336">
        <v>1583.4499181054196</v>
      </c>
      <c r="Q61" s="336">
        <v>1426.4706561934318</v>
      </c>
      <c r="R61" s="336">
        <v>2077.3174749160594</v>
      </c>
      <c r="S61" s="336">
        <v>1892.7773152440593</v>
      </c>
      <c r="T61" s="336">
        <v>1662.5240707260593</v>
      </c>
      <c r="U61" s="336">
        <v>2396.8624918913511</v>
      </c>
      <c r="V61" s="336">
        <v>2162.5723509933509</v>
      </c>
      <c r="W61" s="336">
        <v>2225.1342360493509</v>
      </c>
      <c r="X61" s="336">
        <f t="shared" si="0"/>
        <v>1862.2506503165166</v>
      </c>
    </row>
    <row r="62" spans="1:24">
      <c r="A62" s="435" t="s">
        <v>1699</v>
      </c>
      <c r="B62" s="336">
        <v>659.69976975100019</v>
      </c>
      <c r="C62" s="336">
        <v>659.69976975100019</v>
      </c>
      <c r="D62" s="336">
        <v>659.69976975100019</v>
      </c>
      <c r="E62" s="336">
        <v>659.69976975100019</v>
      </c>
      <c r="F62" s="336">
        <v>659.69976975100019</v>
      </c>
      <c r="G62" s="336">
        <v>659.69976975100019</v>
      </c>
      <c r="H62" s="336">
        <v>659.69976975100019</v>
      </c>
      <c r="I62" s="336">
        <v>659.69976975100019</v>
      </c>
      <c r="J62" s="336">
        <v>659.69976975100019</v>
      </c>
      <c r="K62" s="336">
        <v>659.69976975100019</v>
      </c>
      <c r="L62" s="336">
        <v>659.69976975100019</v>
      </c>
      <c r="M62" s="336">
        <v>659.69976975100019</v>
      </c>
      <c r="N62" s="336">
        <v>659.69976975100019</v>
      </c>
      <c r="O62" s="336">
        <v>659.69976975100019</v>
      </c>
      <c r="P62" s="336">
        <v>659.69976975100019</v>
      </c>
      <c r="Q62" s="336">
        <v>659.69976975100019</v>
      </c>
      <c r="R62" s="336">
        <v>659.69976975100019</v>
      </c>
      <c r="S62" s="336">
        <v>659.69976975100019</v>
      </c>
      <c r="T62" s="336">
        <v>659.69976975100019</v>
      </c>
      <c r="U62" s="336">
        <v>659.69976975100019</v>
      </c>
      <c r="V62" s="336">
        <v>659.69976975100019</v>
      </c>
      <c r="W62" s="336">
        <v>659.69976975100019</v>
      </c>
      <c r="X62" s="336">
        <f t="shared" si="0"/>
        <v>659.6997697510003</v>
      </c>
    </row>
    <row r="63" spans="1:24" ht="15.75" thickBot="1">
      <c r="A63" s="334" t="s">
        <v>1164</v>
      </c>
      <c r="B63" s="335">
        <v>317.80624009200005</v>
      </c>
      <c r="C63" s="335">
        <v>282.49443614699857</v>
      </c>
      <c r="D63" s="335">
        <v>247.18263220199853</v>
      </c>
      <c r="E63" s="335">
        <v>211.87082825699852</v>
      </c>
      <c r="F63" s="335">
        <v>176.55902431199854</v>
      </c>
      <c r="G63" s="335">
        <v>141.24722036699987</v>
      </c>
      <c r="H63" s="335">
        <v>105.93541642199988</v>
      </c>
      <c r="I63" s="335">
        <v>70.623612476999867</v>
      </c>
      <c r="J63" s="335">
        <v>35.311808531999858</v>
      </c>
      <c r="K63" s="335">
        <v>-1.3037038115726318E-14</v>
      </c>
      <c r="L63" s="335">
        <v>396.19844469700013</v>
      </c>
      <c r="M63" s="335">
        <v>360.18040482600009</v>
      </c>
      <c r="N63" s="335">
        <v>324.16236495500004</v>
      </c>
      <c r="O63" s="335">
        <v>288.14432508400006</v>
      </c>
      <c r="P63" s="335">
        <v>252.12628521299854</v>
      </c>
      <c r="Q63" s="335">
        <v>216.10824534199853</v>
      </c>
      <c r="R63" s="335">
        <v>180.09020547099851</v>
      </c>
      <c r="S63" s="335">
        <v>144.07216559999989</v>
      </c>
      <c r="T63" s="335">
        <v>108.05412572899988</v>
      </c>
      <c r="U63" s="335">
        <v>72.036085857999865</v>
      </c>
      <c r="V63" s="335">
        <v>36.018045986999851</v>
      </c>
      <c r="W63" s="335">
        <v>6.1159999411017897E-6</v>
      </c>
      <c r="X63" s="336">
        <f t="shared" si="0"/>
        <v>182.86082345215345</v>
      </c>
    </row>
    <row r="64" spans="1:24">
      <c r="A64" s="334" t="s">
        <v>1162</v>
      </c>
      <c r="B64" s="336">
        <v>2879.3447076414122</v>
      </c>
      <c r="C64" s="336">
        <v>2690.5091467448219</v>
      </c>
      <c r="D64" s="336">
        <v>2444.0257875302486</v>
      </c>
      <c r="E64" s="336">
        <v>2262.6336891436654</v>
      </c>
      <c r="F64" s="336">
        <v>2765.6820994089048</v>
      </c>
      <c r="G64" s="336">
        <v>2558.5224947569063</v>
      </c>
      <c r="H64" s="336">
        <v>2303.9115004489063</v>
      </c>
      <c r="I64" s="336">
        <v>2936.2576643526131</v>
      </c>
      <c r="J64" s="336">
        <v>2686.8776435616132</v>
      </c>
      <c r="K64" s="336">
        <v>2719.0294020466131</v>
      </c>
      <c r="L64" s="336">
        <v>2914.2110057076134</v>
      </c>
      <c r="M64" s="336">
        <v>2702.1906226289225</v>
      </c>
      <c r="N64" s="336">
        <v>2631.6374574202423</v>
      </c>
      <c r="O64" s="336">
        <v>2482.2658405092425</v>
      </c>
      <c r="P64" s="336">
        <v>2495.2759730694183</v>
      </c>
      <c r="Q64" s="336">
        <v>2302.2786712864304</v>
      </c>
      <c r="R64" s="336">
        <v>2917.1074501380581</v>
      </c>
      <c r="S64" s="336">
        <v>2696.5492505950597</v>
      </c>
      <c r="T64" s="336">
        <v>2430.2779662060593</v>
      </c>
      <c r="U64" s="336">
        <v>3128.5983475003509</v>
      </c>
      <c r="V64" s="336">
        <v>2858.2901667313508</v>
      </c>
      <c r="W64" s="336">
        <v>2884.8340119163508</v>
      </c>
      <c r="X64" s="336">
        <f t="shared" si="0"/>
        <v>2704.8112435196699</v>
      </c>
    </row>
    <row r="65" spans="1:24">
      <c r="B65" s="358"/>
      <c r="C65" s="358"/>
      <c r="D65" s="358"/>
      <c r="E65" s="358"/>
      <c r="F65" s="358"/>
      <c r="G65" s="358"/>
      <c r="H65" s="358"/>
      <c r="I65" s="358"/>
      <c r="J65" s="358"/>
      <c r="K65" s="358"/>
      <c r="L65" s="358"/>
      <c r="M65" s="358"/>
      <c r="N65" s="358"/>
      <c r="O65" s="358"/>
      <c r="P65" s="358"/>
      <c r="Q65" s="358"/>
      <c r="R65" s="358"/>
      <c r="S65" s="358"/>
      <c r="T65" s="358"/>
      <c r="U65" s="358"/>
      <c r="V65" s="358"/>
      <c r="W65" s="358"/>
      <c r="X65" s="336">
        <f t="shared" si="0"/>
        <v>0</v>
      </c>
    </row>
    <row r="66" spans="1:24">
      <c r="A66" s="334" t="s">
        <v>1165</v>
      </c>
      <c r="B66" s="358"/>
      <c r="C66" s="358"/>
      <c r="D66" s="358"/>
      <c r="E66" s="358"/>
      <c r="F66" s="358"/>
      <c r="G66" s="358"/>
      <c r="H66" s="358"/>
      <c r="I66" s="358"/>
      <c r="J66" s="358"/>
      <c r="K66" s="358"/>
      <c r="L66" s="358"/>
      <c r="M66" s="358"/>
      <c r="N66" s="358"/>
      <c r="O66" s="358"/>
      <c r="P66" s="358"/>
      <c r="Q66" s="358"/>
      <c r="R66" s="358"/>
      <c r="S66" s="358"/>
      <c r="T66" s="358"/>
      <c r="U66" s="358"/>
      <c r="V66" s="358"/>
      <c r="W66" s="358"/>
      <c r="X66" s="336">
        <f t="shared" si="0"/>
        <v>0</v>
      </c>
    </row>
    <row r="67" spans="1:24">
      <c r="A67" s="334" t="s">
        <v>1166</v>
      </c>
      <c r="B67" s="336">
        <v>0</v>
      </c>
      <c r="C67" s="336">
        <v>0</v>
      </c>
      <c r="D67" s="336">
        <v>0</v>
      </c>
      <c r="E67" s="336">
        <v>0</v>
      </c>
      <c r="F67" s="336">
        <v>0</v>
      </c>
      <c r="G67" s="336">
        <v>0</v>
      </c>
      <c r="H67" s="336">
        <v>0</v>
      </c>
      <c r="I67" s="336">
        <v>0</v>
      </c>
      <c r="J67" s="336">
        <v>0</v>
      </c>
      <c r="K67" s="336">
        <v>0</v>
      </c>
      <c r="L67" s="336">
        <v>0</v>
      </c>
      <c r="M67" s="336">
        <v>0</v>
      </c>
      <c r="N67" s="336">
        <v>0</v>
      </c>
      <c r="O67" s="336">
        <v>0</v>
      </c>
      <c r="P67" s="336">
        <v>0</v>
      </c>
      <c r="Q67" s="336">
        <v>0</v>
      </c>
      <c r="R67" s="336">
        <v>0</v>
      </c>
      <c r="S67" s="336">
        <v>0</v>
      </c>
      <c r="T67" s="336">
        <v>0</v>
      </c>
      <c r="U67" s="336">
        <v>0</v>
      </c>
      <c r="V67" s="336">
        <v>0</v>
      </c>
      <c r="W67" s="336">
        <v>0</v>
      </c>
      <c r="X67" s="336">
        <f t="shared" si="0"/>
        <v>0</v>
      </c>
    </row>
    <row r="68" spans="1:24">
      <c r="A68" s="334" t="s">
        <v>1167</v>
      </c>
      <c r="B68" s="336">
        <v>0</v>
      </c>
      <c r="C68" s="336">
        <v>0</v>
      </c>
      <c r="D68" s="336">
        <v>0</v>
      </c>
      <c r="E68" s="336">
        <v>0</v>
      </c>
      <c r="F68" s="336">
        <v>0</v>
      </c>
      <c r="G68" s="336">
        <v>0</v>
      </c>
      <c r="H68" s="336">
        <v>0</v>
      </c>
      <c r="I68" s="336">
        <v>0</v>
      </c>
      <c r="J68" s="336">
        <v>0</v>
      </c>
      <c r="K68" s="336">
        <v>0</v>
      </c>
      <c r="L68" s="336">
        <v>0</v>
      </c>
      <c r="M68" s="336">
        <v>0</v>
      </c>
      <c r="N68" s="336">
        <v>0</v>
      </c>
      <c r="O68" s="336">
        <v>0</v>
      </c>
      <c r="P68" s="336">
        <v>0</v>
      </c>
      <c r="Q68" s="336">
        <v>0</v>
      </c>
      <c r="R68" s="336">
        <v>0</v>
      </c>
      <c r="S68" s="336">
        <v>0</v>
      </c>
      <c r="T68" s="336">
        <v>0</v>
      </c>
      <c r="U68" s="336">
        <v>0</v>
      </c>
      <c r="V68" s="336">
        <v>0</v>
      </c>
      <c r="W68" s="336">
        <v>0</v>
      </c>
      <c r="X68" s="336">
        <f t="shared" si="0"/>
        <v>0</v>
      </c>
    </row>
    <row r="69" spans="1:24">
      <c r="A69" s="334" t="s">
        <v>1165</v>
      </c>
      <c r="B69" s="336">
        <v>0</v>
      </c>
      <c r="C69" s="336">
        <v>0</v>
      </c>
      <c r="D69" s="336">
        <v>0</v>
      </c>
      <c r="E69" s="336">
        <v>0</v>
      </c>
      <c r="F69" s="336">
        <v>0</v>
      </c>
      <c r="G69" s="336">
        <v>0</v>
      </c>
      <c r="H69" s="336">
        <v>0</v>
      </c>
      <c r="I69" s="336">
        <v>0</v>
      </c>
      <c r="J69" s="336">
        <v>0</v>
      </c>
      <c r="K69" s="336">
        <v>0</v>
      </c>
      <c r="L69" s="336">
        <v>0</v>
      </c>
      <c r="M69" s="336">
        <v>0</v>
      </c>
      <c r="N69" s="336">
        <v>0</v>
      </c>
      <c r="O69" s="336">
        <v>0</v>
      </c>
      <c r="P69" s="336">
        <v>0</v>
      </c>
      <c r="Q69" s="336">
        <v>0</v>
      </c>
      <c r="R69" s="336">
        <v>0</v>
      </c>
      <c r="S69" s="336">
        <v>0</v>
      </c>
      <c r="T69" s="336">
        <v>0</v>
      </c>
      <c r="U69" s="336">
        <v>0</v>
      </c>
      <c r="V69" s="336">
        <v>0</v>
      </c>
      <c r="W69" s="336">
        <v>0</v>
      </c>
      <c r="X69" s="336">
        <f t="shared" si="0"/>
        <v>0</v>
      </c>
    </row>
    <row r="70" spans="1:24">
      <c r="B70" s="358"/>
      <c r="C70" s="358"/>
      <c r="D70" s="358"/>
      <c r="E70" s="358"/>
      <c r="F70" s="358"/>
      <c r="G70" s="358"/>
      <c r="H70" s="358"/>
      <c r="I70" s="358"/>
      <c r="J70" s="358"/>
      <c r="K70" s="358"/>
      <c r="L70" s="358"/>
      <c r="M70" s="358"/>
      <c r="N70" s="358"/>
      <c r="O70" s="358"/>
      <c r="P70" s="358"/>
      <c r="Q70" s="358"/>
      <c r="R70" s="358"/>
      <c r="S70" s="358"/>
      <c r="T70" s="358"/>
      <c r="U70" s="358"/>
      <c r="V70" s="358"/>
      <c r="W70" s="358"/>
      <c r="X70" s="336">
        <f t="shared" si="0"/>
        <v>0</v>
      </c>
    </row>
    <row r="71" spans="1:24" ht="15.75" thickBot="1">
      <c r="A71" s="356" t="s">
        <v>286</v>
      </c>
      <c r="B71" s="359">
        <v>83513.826203141871</v>
      </c>
      <c r="C71" s="359">
        <v>90369.374110258315</v>
      </c>
      <c r="D71" s="359">
        <v>92763.108009477961</v>
      </c>
      <c r="E71" s="359">
        <v>88144.408240871227</v>
      </c>
      <c r="F71" s="359">
        <v>76946.327985621392</v>
      </c>
      <c r="G71" s="359">
        <v>62025.127054238648</v>
      </c>
      <c r="H71" s="359">
        <v>52845.224046599877</v>
      </c>
      <c r="I71" s="359">
        <v>46690.382017893869</v>
      </c>
      <c r="J71" s="359">
        <v>47440.428310791693</v>
      </c>
      <c r="K71" s="359">
        <v>54915.69781606031</v>
      </c>
      <c r="L71" s="359">
        <v>65372.298263106735</v>
      </c>
      <c r="M71" s="359">
        <v>76599.912257473348</v>
      </c>
      <c r="N71" s="359">
        <v>84253.075197957252</v>
      </c>
      <c r="O71" s="359">
        <v>91032.317041726797</v>
      </c>
      <c r="P71" s="359">
        <v>93524.305784273747</v>
      </c>
      <c r="Q71" s="359">
        <v>89591.389466529654</v>
      </c>
      <c r="R71" s="359">
        <v>78095.186447562257</v>
      </c>
      <c r="S71" s="359">
        <v>62843.192846042417</v>
      </c>
      <c r="T71" s="359">
        <v>53372.554648571444</v>
      </c>
      <c r="U71" s="359">
        <v>47401.691002489621</v>
      </c>
      <c r="V71" s="359">
        <v>47813.285463453925</v>
      </c>
      <c r="W71" s="359">
        <v>55152.105849029387</v>
      </c>
      <c r="X71" s="336">
        <f t="shared" si="0"/>
        <v>69228.231698790551</v>
      </c>
    </row>
    <row r="72" spans="1:24">
      <c r="X72" s="336">
        <f t="shared" si="0"/>
        <v>0</v>
      </c>
    </row>
    <row r="73" spans="1:24">
      <c r="A73" s="356" t="s">
        <v>1168</v>
      </c>
      <c r="B73" s="358"/>
      <c r="C73" s="358"/>
      <c r="D73" s="358"/>
      <c r="E73" s="358"/>
      <c r="F73" s="358"/>
      <c r="G73" s="358"/>
      <c r="H73" s="358"/>
      <c r="I73" s="358"/>
      <c r="J73" s="358"/>
      <c r="K73" s="358"/>
      <c r="L73" s="358"/>
      <c r="M73" s="358"/>
      <c r="N73" s="358"/>
      <c r="O73" s="358"/>
      <c r="P73" s="358"/>
      <c r="Q73" s="358"/>
      <c r="R73" s="358"/>
      <c r="S73" s="358"/>
      <c r="T73" s="358"/>
      <c r="U73" s="358"/>
      <c r="V73" s="358"/>
      <c r="W73" s="358"/>
      <c r="X73" s="336">
        <f t="shared" si="0"/>
        <v>0</v>
      </c>
    </row>
    <row r="74" spans="1:24">
      <c r="A74" s="334" t="s">
        <v>1169</v>
      </c>
      <c r="B74" s="358"/>
      <c r="C74" s="358"/>
      <c r="D74" s="358"/>
      <c r="E74" s="358"/>
      <c r="F74" s="358"/>
      <c r="G74" s="358"/>
      <c r="H74" s="358"/>
      <c r="I74" s="358"/>
      <c r="J74" s="358"/>
      <c r="K74" s="358"/>
      <c r="L74" s="358"/>
      <c r="M74" s="358"/>
      <c r="N74" s="358"/>
      <c r="O74" s="358"/>
      <c r="P74" s="358"/>
      <c r="Q74" s="358"/>
      <c r="R74" s="358"/>
      <c r="S74" s="358"/>
      <c r="T74" s="358"/>
      <c r="U74" s="358"/>
      <c r="V74" s="358"/>
      <c r="W74" s="358"/>
      <c r="X74" s="336">
        <f t="shared" ref="X74:X137" si="1">SUM(K74:W74)/13</f>
        <v>0</v>
      </c>
    </row>
    <row r="75" spans="1:24">
      <c r="A75" s="334" t="s">
        <v>1170</v>
      </c>
      <c r="B75" s="336">
        <v>2162.8443857903949</v>
      </c>
      <c r="C75" s="336">
        <v>2150.2729764506585</v>
      </c>
      <c r="D75" s="336">
        <v>2122.5174590832594</v>
      </c>
      <c r="E75" s="336">
        <v>2084.912393023706</v>
      </c>
      <c r="F75" s="336">
        <v>2059.8099590288812</v>
      </c>
      <c r="G75" s="336">
        <v>2038.439168026169</v>
      </c>
      <c r="H75" s="336">
        <v>2013.0293104637708</v>
      </c>
      <c r="I75" s="336">
        <v>2108.0171164945232</v>
      </c>
      <c r="J75" s="336">
        <v>2082.6517989182239</v>
      </c>
      <c r="K75" s="336">
        <v>2182.682601222331</v>
      </c>
      <c r="L75" s="336">
        <v>2165.2430656974948</v>
      </c>
      <c r="M75" s="336">
        <v>2141.0951206827503</v>
      </c>
      <c r="N75" s="336">
        <v>2531.9683807669335</v>
      </c>
      <c r="O75" s="336">
        <v>2501.1882862790817</v>
      </c>
      <c r="P75" s="336">
        <v>2473.3297387058124</v>
      </c>
      <c r="Q75" s="336">
        <v>2442.5951304655046</v>
      </c>
      <c r="R75" s="336">
        <v>2409.3736975852603</v>
      </c>
      <c r="S75" s="336">
        <v>2479.6877016822341</v>
      </c>
      <c r="T75" s="336">
        <v>2502.6175240703765</v>
      </c>
      <c r="U75" s="336">
        <v>2478.3365872529412</v>
      </c>
      <c r="V75" s="336">
        <v>2576.1921274428569</v>
      </c>
      <c r="W75" s="336">
        <v>2559.1241363564986</v>
      </c>
      <c r="X75" s="336">
        <f t="shared" si="1"/>
        <v>2418.7256998623134</v>
      </c>
    </row>
    <row r="76" spans="1:24">
      <c r="A76" s="435" t="s">
        <v>1804</v>
      </c>
      <c r="B76" s="336">
        <v>407.93295598541954</v>
      </c>
      <c r="C76" s="336">
        <v>410.4423661189868</v>
      </c>
      <c r="D76" s="336">
        <v>409.92047559011462</v>
      </c>
      <c r="E76" s="336">
        <v>407.4712533883104</v>
      </c>
      <c r="F76" s="336">
        <v>407.43814015145654</v>
      </c>
      <c r="G76" s="336">
        <v>407.67001492882861</v>
      </c>
      <c r="H76" s="336">
        <v>407.5808618989563</v>
      </c>
      <c r="I76" s="336">
        <v>409.06489251409789</v>
      </c>
      <c r="J76" s="336">
        <v>409.18612266088292</v>
      </c>
      <c r="K76" s="336">
        <v>410.50032995252411</v>
      </c>
      <c r="L76" s="336">
        <v>412.45175956805423</v>
      </c>
      <c r="M76" s="336">
        <v>413.16055716161213</v>
      </c>
      <c r="N76" s="336">
        <v>414.23461012760748</v>
      </c>
      <c r="O76" s="336">
        <v>414.34020191980221</v>
      </c>
      <c r="P76" s="336">
        <v>414.78803454900736</v>
      </c>
      <c r="Q76" s="336">
        <v>414.91303600128117</v>
      </c>
      <c r="R76" s="336">
        <v>414.61432283745592</v>
      </c>
      <c r="S76" s="336">
        <v>415.18643561063016</v>
      </c>
      <c r="T76" s="336">
        <v>415.07283910914282</v>
      </c>
      <c r="U76" s="336">
        <v>416.53419926019484</v>
      </c>
      <c r="V76" s="336">
        <v>418.08926496236563</v>
      </c>
      <c r="W76" s="336">
        <v>421.01825948538692</v>
      </c>
      <c r="X76" s="336">
        <f t="shared" si="1"/>
        <v>414.99260388808193</v>
      </c>
    </row>
    <row r="77" spans="1:24">
      <c r="A77" s="334" t="s">
        <v>1171</v>
      </c>
      <c r="B77" s="336">
        <v>2932.9312409293475</v>
      </c>
      <c r="C77" s="336">
        <v>2933.5487098673011</v>
      </c>
      <c r="D77" s="336">
        <v>2912.9775987286498</v>
      </c>
      <c r="E77" s="336">
        <v>2878.2745309889515</v>
      </c>
      <c r="F77" s="336">
        <v>2860.7436325071044</v>
      </c>
      <c r="G77" s="336">
        <v>2846.7397105333748</v>
      </c>
      <c r="H77" s="336">
        <v>2828.8141054272737</v>
      </c>
      <c r="I77" s="336">
        <v>2822.3081565848952</v>
      </c>
      <c r="J77" s="336">
        <v>2805.7733714885749</v>
      </c>
      <c r="K77" s="336">
        <v>2797.9200067964484</v>
      </c>
      <c r="L77" s="336">
        <v>2793.7108738423603</v>
      </c>
      <c r="M77" s="336">
        <v>2780.9719318649813</v>
      </c>
      <c r="N77" s="336">
        <v>2771.1831009557845</v>
      </c>
      <c r="O77" s="336">
        <v>2754.2994896819878</v>
      </c>
      <c r="P77" s="336">
        <v>2740.2354404252274</v>
      </c>
      <c r="Q77" s="336">
        <v>2723.4469168388741</v>
      </c>
      <c r="R77" s="336">
        <v>2703.884548253528</v>
      </c>
      <c r="S77" s="336">
        <v>2691.6953520899506</v>
      </c>
      <c r="T77" s="336">
        <v>2673.3377833499089</v>
      </c>
      <c r="U77" s="336">
        <v>2665.6371625274037</v>
      </c>
      <c r="V77" s="336">
        <v>2657.8397369096865</v>
      </c>
      <c r="W77" s="336">
        <v>2659.1627317416269</v>
      </c>
      <c r="X77" s="336">
        <f t="shared" si="1"/>
        <v>2724.1019288675211</v>
      </c>
    </row>
    <row r="78" spans="1:24">
      <c r="A78" s="334" t="s">
        <v>1169</v>
      </c>
      <c r="B78" s="336">
        <v>5503.7085827051615</v>
      </c>
      <c r="C78" s="336">
        <v>5494.2640524369463</v>
      </c>
      <c r="D78" s="336">
        <v>5445.4155334020234</v>
      </c>
      <c r="E78" s="336">
        <v>5370.6581774009683</v>
      </c>
      <c r="F78" s="336">
        <v>5327.9917316874416</v>
      </c>
      <c r="G78" s="336">
        <v>5292.8488934883726</v>
      </c>
      <c r="H78" s="336">
        <v>5249.4242777900008</v>
      </c>
      <c r="I78" s="336">
        <v>5339.390165593516</v>
      </c>
      <c r="J78" s="336">
        <v>5297.6112930676818</v>
      </c>
      <c r="K78" s="336">
        <v>5391.1029379713036</v>
      </c>
      <c r="L78" s="336">
        <v>5371.4056991079087</v>
      </c>
      <c r="M78" s="336">
        <v>5335.2276097093436</v>
      </c>
      <c r="N78" s="336">
        <v>5717.3860918503251</v>
      </c>
      <c r="O78" s="336">
        <v>5669.8279778808719</v>
      </c>
      <c r="P78" s="336">
        <v>5628.3532136800477</v>
      </c>
      <c r="Q78" s="336">
        <v>5580.9550833056601</v>
      </c>
      <c r="R78" s="336">
        <v>5527.8725686762446</v>
      </c>
      <c r="S78" s="336">
        <v>5586.5694893828149</v>
      </c>
      <c r="T78" s="336">
        <v>5591.0281465294283</v>
      </c>
      <c r="U78" s="336">
        <v>5560.5079490405396</v>
      </c>
      <c r="V78" s="336">
        <v>5652.121129314909</v>
      </c>
      <c r="W78" s="336">
        <v>5639.3051275835123</v>
      </c>
      <c r="X78" s="336">
        <f t="shared" si="1"/>
        <v>5557.8202326179162</v>
      </c>
    </row>
    <row r="79" spans="1:24"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  <c r="P79" s="358"/>
      <c r="Q79" s="358"/>
      <c r="R79" s="358"/>
      <c r="S79" s="358"/>
      <c r="T79" s="358"/>
      <c r="U79" s="358"/>
      <c r="V79" s="358"/>
      <c r="W79" s="358"/>
      <c r="X79" s="336">
        <f t="shared" si="1"/>
        <v>0</v>
      </c>
    </row>
    <row r="80" spans="1:24">
      <c r="A80" s="334" t="s">
        <v>1172</v>
      </c>
      <c r="B80" s="358"/>
      <c r="C80" s="358"/>
      <c r="D80" s="358"/>
      <c r="E80" s="358"/>
      <c r="F80" s="358"/>
      <c r="G80" s="358"/>
      <c r="H80" s="358"/>
      <c r="I80" s="358"/>
      <c r="J80" s="358"/>
      <c r="K80" s="358"/>
      <c r="L80" s="358"/>
      <c r="M80" s="358"/>
      <c r="N80" s="358"/>
      <c r="O80" s="358"/>
      <c r="P80" s="358"/>
      <c r="Q80" s="358"/>
      <c r="R80" s="358"/>
      <c r="S80" s="358"/>
      <c r="T80" s="358"/>
      <c r="U80" s="358"/>
      <c r="V80" s="358"/>
      <c r="W80" s="358"/>
      <c r="X80" s="336">
        <f t="shared" si="1"/>
        <v>0</v>
      </c>
    </row>
    <row r="81" spans="1:24">
      <c r="A81" s="334" t="s">
        <v>1173</v>
      </c>
      <c r="B81" s="336">
        <v>27384.07157</v>
      </c>
      <c r="C81" s="336">
        <v>27384.07157</v>
      </c>
      <c r="D81" s="336">
        <v>27384.07157</v>
      </c>
      <c r="E81" s="336">
        <v>27384.07157</v>
      </c>
      <c r="F81" s="336">
        <v>27384.07157</v>
      </c>
      <c r="G81" s="336">
        <v>27384.07157</v>
      </c>
      <c r="H81" s="336">
        <v>27384.07157</v>
      </c>
      <c r="I81" s="336">
        <v>27384.07157</v>
      </c>
      <c r="J81" s="336">
        <v>27384.07157</v>
      </c>
      <c r="K81" s="336">
        <v>27384.07157</v>
      </c>
      <c r="L81" s="336">
        <v>27384.07157</v>
      </c>
      <c r="M81" s="336">
        <v>27384.07157</v>
      </c>
      <c r="N81" s="336">
        <v>27384.07157</v>
      </c>
      <c r="O81" s="336">
        <v>27384.07157</v>
      </c>
      <c r="P81" s="336">
        <v>27384.07157</v>
      </c>
      <c r="Q81" s="336">
        <v>27384.07157</v>
      </c>
      <c r="R81" s="336">
        <v>27384.07157</v>
      </c>
      <c r="S81" s="336">
        <v>27384.07157</v>
      </c>
      <c r="T81" s="336">
        <v>27384.07157</v>
      </c>
      <c r="U81" s="336">
        <v>27384.07157</v>
      </c>
      <c r="V81" s="336">
        <v>27384.07157</v>
      </c>
      <c r="W81" s="336">
        <v>27384.07157</v>
      </c>
      <c r="X81" s="336">
        <f t="shared" si="1"/>
        <v>27384.071570000004</v>
      </c>
    </row>
    <row r="82" spans="1:24">
      <c r="A82" s="334" t="s">
        <v>1174</v>
      </c>
      <c r="B82" s="336">
        <v>0</v>
      </c>
      <c r="C82" s="336">
        <v>0</v>
      </c>
      <c r="D82" s="336">
        <v>0</v>
      </c>
      <c r="E82" s="336">
        <v>0</v>
      </c>
      <c r="F82" s="336">
        <v>0</v>
      </c>
      <c r="G82" s="336">
        <v>0</v>
      </c>
      <c r="H82" s="336">
        <v>0</v>
      </c>
      <c r="I82" s="336">
        <v>0</v>
      </c>
      <c r="J82" s="336">
        <v>0</v>
      </c>
      <c r="K82" s="336">
        <v>0</v>
      </c>
      <c r="L82" s="336">
        <v>0</v>
      </c>
      <c r="M82" s="336">
        <v>0</v>
      </c>
      <c r="N82" s="336">
        <v>0</v>
      </c>
      <c r="O82" s="336">
        <v>0</v>
      </c>
      <c r="P82" s="336">
        <v>0</v>
      </c>
      <c r="Q82" s="336">
        <v>0</v>
      </c>
      <c r="R82" s="336">
        <v>0</v>
      </c>
      <c r="S82" s="336">
        <v>0</v>
      </c>
      <c r="T82" s="336">
        <v>0</v>
      </c>
      <c r="U82" s="336">
        <v>0</v>
      </c>
      <c r="V82" s="336">
        <v>0</v>
      </c>
      <c r="W82" s="336">
        <v>0</v>
      </c>
      <c r="X82" s="336">
        <f t="shared" si="1"/>
        <v>0</v>
      </c>
    </row>
    <row r="83" spans="1:24">
      <c r="A83" s="334" t="s">
        <v>1175</v>
      </c>
      <c r="B83" s="336">
        <v>1075.2112299999999</v>
      </c>
      <c r="C83" s="336">
        <v>1075.2112299999999</v>
      </c>
      <c r="D83" s="336">
        <v>1075.2112299999999</v>
      </c>
      <c r="E83" s="336">
        <v>1075.2112299999999</v>
      </c>
      <c r="F83" s="336">
        <v>1075.2112299999999</v>
      </c>
      <c r="G83" s="336">
        <v>1075.2112299999999</v>
      </c>
      <c r="H83" s="336">
        <v>1075.2112299999999</v>
      </c>
      <c r="I83" s="336">
        <v>1075.2112299999999</v>
      </c>
      <c r="J83" s="336">
        <v>1075.2112299999999</v>
      </c>
      <c r="K83" s="336">
        <v>1075.2112299999999</v>
      </c>
      <c r="L83" s="336">
        <v>1075.2112299999999</v>
      </c>
      <c r="M83" s="336">
        <v>1075.2112299999999</v>
      </c>
      <c r="N83" s="336">
        <v>1075.2112299999999</v>
      </c>
      <c r="O83" s="336">
        <v>1075.2112299999999</v>
      </c>
      <c r="P83" s="336">
        <v>1075.2112299999999</v>
      </c>
      <c r="Q83" s="336">
        <v>1075.2112299999999</v>
      </c>
      <c r="R83" s="336">
        <v>1075.2112299999999</v>
      </c>
      <c r="S83" s="336">
        <v>1075.2112299999999</v>
      </c>
      <c r="T83" s="336">
        <v>1075.2112299999999</v>
      </c>
      <c r="U83" s="336">
        <v>1075.2112299999999</v>
      </c>
      <c r="V83" s="336">
        <v>1075.2112299999999</v>
      </c>
      <c r="W83" s="336">
        <v>1075.2112299999999</v>
      </c>
      <c r="X83" s="336">
        <f t="shared" si="1"/>
        <v>1075.2112300000003</v>
      </c>
    </row>
    <row r="84" spans="1:24">
      <c r="A84" s="334" t="s">
        <v>1172</v>
      </c>
      <c r="B84" s="336">
        <v>28459.282800000001</v>
      </c>
      <c r="C84" s="336">
        <v>28459.282800000001</v>
      </c>
      <c r="D84" s="336">
        <v>28459.282800000001</v>
      </c>
      <c r="E84" s="336">
        <v>28459.282800000001</v>
      </c>
      <c r="F84" s="336">
        <v>28459.282800000001</v>
      </c>
      <c r="G84" s="336">
        <v>28459.282800000001</v>
      </c>
      <c r="H84" s="336">
        <v>28459.282800000001</v>
      </c>
      <c r="I84" s="336">
        <v>28459.282800000001</v>
      </c>
      <c r="J84" s="336">
        <v>28459.282800000001</v>
      </c>
      <c r="K84" s="336">
        <v>28459.282800000001</v>
      </c>
      <c r="L84" s="336">
        <v>28459.282800000001</v>
      </c>
      <c r="M84" s="336">
        <v>28459.282800000001</v>
      </c>
      <c r="N84" s="336">
        <v>28459.282800000001</v>
      </c>
      <c r="O84" s="336">
        <v>28459.282800000001</v>
      </c>
      <c r="P84" s="336">
        <v>28459.282800000001</v>
      </c>
      <c r="Q84" s="336">
        <v>28459.282800000001</v>
      </c>
      <c r="R84" s="336">
        <v>28459.282800000001</v>
      </c>
      <c r="S84" s="336">
        <v>28459.282800000001</v>
      </c>
      <c r="T84" s="336">
        <v>28459.282800000001</v>
      </c>
      <c r="U84" s="336">
        <v>28459.282800000001</v>
      </c>
      <c r="V84" s="336">
        <v>28459.282800000001</v>
      </c>
      <c r="W84" s="336">
        <v>28459.282800000001</v>
      </c>
      <c r="X84" s="336">
        <f t="shared" si="1"/>
        <v>28459.28279999999</v>
      </c>
    </row>
    <row r="85" spans="1:24">
      <c r="B85" s="358"/>
      <c r="C85" s="358"/>
      <c r="D85" s="358"/>
      <c r="E85" s="358"/>
      <c r="F85" s="358"/>
      <c r="G85" s="358"/>
      <c r="H85" s="358"/>
      <c r="I85" s="358"/>
      <c r="J85" s="358"/>
      <c r="K85" s="358"/>
      <c r="L85" s="358"/>
      <c r="M85" s="358"/>
      <c r="N85" s="358"/>
      <c r="O85" s="358"/>
      <c r="P85" s="358"/>
      <c r="Q85" s="358"/>
      <c r="R85" s="358"/>
      <c r="S85" s="358"/>
      <c r="T85" s="358"/>
      <c r="U85" s="358"/>
      <c r="V85" s="358"/>
      <c r="W85" s="358"/>
      <c r="X85" s="336">
        <f t="shared" si="1"/>
        <v>0</v>
      </c>
    </row>
    <row r="86" spans="1:24">
      <c r="A86" s="334" t="s">
        <v>1176</v>
      </c>
      <c r="B86" s="358"/>
      <c r="C86" s="358"/>
      <c r="D86" s="358"/>
      <c r="E86" s="358"/>
      <c r="F86" s="358"/>
      <c r="G86" s="358"/>
      <c r="H86" s="358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36">
        <f t="shared" si="1"/>
        <v>0</v>
      </c>
    </row>
    <row r="87" spans="1:24">
      <c r="A87" s="334" t="s">
        <v>1805</v>
      </c>
      <c r="B87" s="336">
        <v>0</v>
      </c>
      <c r="C87" s="336">
        <v>0</v>
      </c>
      <c r="D87" s="336">
        <v>0</v>
      </c>
      <c r="E87" s="336">
        <v>0</v>
      </c>
      <c r="F87" s="336">
        <v>0</v>
      </c>
      <c r="G87" s="336">
        <v>0</v>
      </c>
      <c r="H87" s="336">
        <v>0</v>
      </c>
      <c r="I87" s="336">
        <v>0</v>
      </c>
      <c r="J87" s="336">
        <v>0</v>
      </c>
      <c r="K87" s="336">
        <v>0</v>
      </c>
      <c r="L87" s="336">
        <v>0</v>
      </c>
      <c r="M87" s="336">
        <v>0</v>
      </c>
      <c r="N87" s="336">
        <v>0</v>
      </c>
      <c r="O87" s="336">
        <v>0</v>
      </c>
      <c r="P87" s="336">
        <v>0</v>
      </c>
      <c r="Q87" s="336">
        <v>0</v>
      </c>
      <c r="R87" s="336">
        <v>0</v>
      </c>
      <c r="S87" s="336">
        <v>0</v>
      </c>
      <c r="T87" s="336">
        <v>0</v>
      </c>
      <c r="U87" s="336">
        <v>0</v>
      </c>
      <c r="V87" s="336">
        <v>0</v>
      </c>
      <c r="W87" s="336">
        <v>0</v>
      </c>
      <c r="X87" s="336">
        <f t="shared" si="1"/>
        <v>0</v>
      </c>
    </row>
    <row r="88" spans="1:24">
      <c r="A88" s="334" t="s">
        <v>1177</v>
      </c>
      <c r="B88" s="336">
        <v>0</v>
      </c>
      <c r="C88" s="336">
        <v>0</v>
      </c>
      <c r="D88" s="336">
        <v>0</v>
      </c>
      <c r="E88" s="336">
        <v>0</v>
      </c>
      <c r="F88" s="336">
        <v>0</v>
      </c>
      <c r="G88" s="336">
        <v>0</v>
      </c>
      <c r="H88" s="336">
        <v>0</v>
      </c>
      <c r="I88" s="336">
        <v>0</v>
      </c>
      <c r="J88" s="336">
        <v>0</v>
      </c>
      <c r="K88" s="336">
        <v>0</v>
      </c>
      <c r="L88" s="336">
        <v>0</v>
      </c>
      <c r="M88" s="336">
        <v>0</v>
      </c>
      <c r="N88" s="336">
        <v>0</v>
      </c>
      <c r="O88" s="336">
        <v>0</v>
      </c>
      <c r="P88" s="336">
        <v>0</v>
      </c>
      <c r="Q88" s="336">
        <v>0</v>
      </c>
      <c r="R88" s="336">
        <v>0</v>
      </c>
      <c r="S88" s="336">
        <v>0</v>
      </c>
      <c r="T88" s="336">
        <v>0</v>
      </c>
      <c r="U88" s="336">
        <v>0</v>
      </c>
      <c r="V88" s="336">
        <v>0</v>
      </c>
      <c r="W88" s="336">
        <v>0</v>
      </c>
      <c r="X88" s="336">
        <f t="shared" si="1"/>
        <v>0</v>
      </c>
    </row>
    <row r="89" spans="1:24">
      <c r="A89" s="334" t="s">
        <v>1178</v>
      </c>
      <c r="B89" s="336">
        <v>36538.366717284553</v>
      </c>
      <c r="C89" s="336">
        <v>36553.830335611296</v>
      </c>
      <c r="D89" s="336">
        <v>36298.314022803585</v>
      </c>
      <c r="E89" s="336">
        <v>47717.130703720606</v>
      </c>
      <c r="F89" s="336">
        <v>47453.207247476064</v>
      </c>
      <c r="G89" s="336">
        <v>47220.019362687512</v>
      </c>
      <c r="H89" s="336">
        <v>47050.07702971308</v>
      </c>
      <c r="I89" s="336">
        <v>46960.305691279711</v>
      </c>
      <c r="J89" s="336">
        <v>46713.061453948452</v>
      </c>
      <c r="K89" s="336">
        <v>46702.333418933042</v>
      </c>
      <c r="L89" s="336">
        <v>46661.100556339479</v>
      </c>
      <c r="M89" s="336">
        <v>46477.589549520038</v>
      </c>
      <c r="N89" s="336">
        <v>46436.191229893273</v>
      </c>
      <c r="O89" s="336">
        <v>46183.577268982051</v>
      </c>
      <c r="P89" s="336">
        <v>45968.7572572637</v>
      </c>
      <c r="Q89" s="336">
        <v>45820.123272205376</v>
      </c>
      <c r="R89" s="336">
        <v>45500.039602438941</v>
      </c>
      <c r="S89" s="336">
        <v>45275.331612062517</v>
      </c>
      <c r="T89" s="336">
        <v>45062.962474207008</v>
      </c>
      <c r="U89" s="336">
        <v>44933.191823345071</v>
      </c>
      <c r="V89" s="336">
        <v>44811.440864764067</v>
      </c>
      <c r="W89" s="336">
        <v>44922.528794006626</v>
      </c>
      <c r="X89" s="336">
        <f t="shared" si="1"/>
        <v>45750.397517227786</v>
      </c>
    </row>
    <row r="90" spans="1:24">
      <c r="A90" s="334" t="s">
        <v>1179</v>
      </c>
      <c r="B90" s="362">
        <v>64.281120000000001</v>
      </c>
      <c r="C90" s="362">
        <v>62.883709999999994</v>
      </c>
      <c r="D90" s="362">
        <v>61.486299999999986</v>
      </c>
      <c r="E90" s="362">
        <v>60.088889999999985</v>
      </c>
      <c r="F90" s="362">
        <v>58.691479999999984</v>
      </c>
      <c r="G90" s="362">
        <v>57.294069999999977</v>
      </c>
      <c r="H90" s="362">
        <v>55.896659999999976</v>
      </c>
      <c r="I90" s="362">
        <v>54.499249999999968</v>
      </c>
      <c r="J90" s="362">
        <v>53.101839999999967</v>
      </c>
      <c r="K90" s="362">
        <v>51.704429999999967</v>
      </c>
      <c r="L90" s="362">
        <v>50.307019999999959</v>
      </c>
      <c r="M90" s="362">
        <v>48.909609999999958</v>
      </c>
      <c r="N90" s="362">
        <v>47.512199999999957</v>
      </c>
      <c r="O90" s="362">
        <v>46.114789999999964</v>
      </c>
      <c r="P90" s="362">
        <v>44.717379999999963</v>
      </c>
      <c r="Q90" s="362">
        <v>43.319969999999955</v>
      </c>
      <c r="R90" s="362">
        <v>41.922559999999962</v>
      </c>
      <c r="S90" s="362">
        <v>40.525149999999968</v>
      </c>
      <c r="T90" s="362">
        <v>39.12773999999996</v>
      </c>
      <c r="U90" s="362">
        <v>37.73032999999996</v>
      </c>
      <c r="V90" s="362">
        <v>36.332919999999959</v>
      </c>
      <c r="W90" s="362">
        <v>34.935509999999965</v>
      </c>
      <c r="X90" s="336">
        <f t="shared" si="1"/>
        <v>43.319969999999977</v>
      </c>
    </row>
    <row r="91" spans="1:24">
      <c r="A91" s="334" t="s">
        <v>1180</v>
      </c>
      <c r="B91" s="362">
        <v>1527.8386</v>
      </c>
      <c r="C91" s="362">
        <v>1437.9657400000001</v>
      </c>
      <c r="D91" s="362">
        <v>1348.0928799999999</v>
      </c>
      <c r="E91" s="362">
        <v>1258.22002</v>
      </c>
      <c r="F91" s="362">
        <v>1168.3471599999998</v>
      </c>
      <c r="G91" s="362">
        <v>1078.4743000000001</v>
      </c>
      <c r="H91" s="362">
        <v>988.60144000000003</v>
      </c>
      <c r="I91" s="362">
        <v>898.72857999999997</v>
      </c>
      <c r="J91" s="362">
        <v>808.85572000000002</v>
      </c>
      <c r="K91" s="362">
        <v>718.98285999999996</v>
      </c>
      <c r="L91" s="362">
        <v>629.11</v>
      </c>
      <c r="M91" s="362">
        <v>539.23713999999995</v>
      </c>
      <c r="N91" s="362">
        <v>449.36428000000001</v>
      </c>
      <c r="O91" s="362">
        <v>359.49142000000001</v>
      </c>
      <c r="P91" s="362">
        <v>269.61856</v>
      </c>
      <c r="Q91" s="362">
        <v>179.7457</v>
      </c>
      <c r="R91" s="362">
        <v>89.872840000000593</v>
      </c>
      <c r="S91" s="362">
        <v>-1.9999999381070601E-5</v>
      </c>
      <c r="T91" s="362">
        <v>-1.9999999381070601E-5</v>
      </c>
      <c r="U91" s="362">
        <v>-1.9999999381070601E-5</v>
      </c>
      <c r="V91" s="362">
        <v>-1.9999999381070601E-5</v>
      </c>
      <c r="W91" s="362">
        <v>-1.9999999381070601E-5</v>
      </c>
      <c r="X91" s="336">
        <f t="shared" si="1"/>
        <v>248.87866923076942</v>
      </c>
    </row>
    <row r="92" spans="1:24">
      <c r="A92" s="334" t="s">
        <v>1181</v>
      </c>
      <c r="B92" s="336">
        <v>10573.311830698794</v>
      </c>
      <c r="C92" s="336">
        <v>10529.722726267661</v>
      </c>
      <c r="D92" s="336">
        <v>10407.840870940432</v>
      </c>
      <c r="E92" s="336">
        <v>10241.091767748234</v>
      </c>
      <c r="F92" s="336">
        <v>10132.927688149119</v>
      </c>
      <c r="G92" s="336">
        <v>10032.392046039249</v>
      </c>
      <c r="H92" s="336">
        <v>9922.8286377765271</v>
      </c>
      <c r="I92" s="336">
        <v>9851.5627551459947</v>
      </c>
      <c r="J92" s="336">
        <v>9746.6900485601163</v>
      </c>
      <c r="K92" s="336">
        <v>9670.2216108856228</v>
      </c>
      <c r="L92" s="336">
        <v>9607.5391710560198</v>
      </c>
      <c r="M92" s="336">
        <v>9515.2104123862628</v>
      </c>
      <c r="N92" s="336">
        <v>9431.1933171124983</v>
      </c>
      <c r="O92" s="336">
        <v>9324.4473533372438</v>
      </c>
      <c r="P92" s="336">
        <v>9225.6273753143578</v>
      </c>
      <c r="Q92" s="336">
        <v>9119.1066766802305</v>
      </c>
      <c r="R92" s="336">
        <v>9005.749480222381</v>
      </c>
      <c r="S92" s="336">
        <v>8912.3475807158175</v>
      </c>
      <c r="T92" s="336">
        <v>8802.9990585913674</v>
      </c>
      <c r="U92" s="336">
        <v>8727.0770163020716</v>
      </c>
      <c r="V92" s="336">
        <v>8651.9711912748244</v>
      </c>
      <c r="W92" s="336">
        <v>8604.5180282745823</v>
      </c>
      <c r="X92" s="336">
        <f t="shared" si="1"/>
        <v>9122.9237132425587</v>
      </c>
    </row>
    <row r="93" spans="1:24">
      <c r="A93" s="334" t="s">
        <v>1182</v>
      </c>
      <c r="B93" s="362">
        <v>4697.9041100000004</v>
      </c>
      <c r="C93" s="362">
        <v>4802.6087200000002</v>
      </c>
      <c r="D93" s="362">
        <v>4934.0084800000004</v>
      </c>
      <c r="E93" s="362">
        <v>5198.583482</v>
      </c>
      <c r="F93" s="362">
        <v>5308.8182817289999</v>
      </c>
      <c r="G93" s="362">
        <v>5419.3916514579996</v>
      </c>
      <c r="H93" s="362">
        <v>5530.3050111869989</v>
      </c>
      <c r="I93" s="362">
        <v>5641.5597709160002</v>
      </c>
      <c r="J93" s="362">
        <v>5753.1573806449996</v>
      </c>
      <c r="K93" s="362">
        <v>5865.0992803739991</v>
      </c>
      <c r="L93" s="362">
        <v>5969.2645901029982</v>
      </c>
      <c r="M93" s="362">
        <v>6059.7037798319989</v>
      </c>
      <c r="N93" s="362">
        <v>6150.491599560999</v>
      </c>
      <c r="O93" s="362">
        <v>6241.6294992899984</v>
      </c>
      <c r="P93" s="362">
        <v>6333.118949018999</v>
      </c>
      <c r="Q93" s="362">
        <v>6424.9614387479987</v>
      </c>
      <c r="R93" s="362">
        <v>6517.1584384769985</v>
      </c>
      <c r="S93" s="362">
        <v>6609.7114382059972</v>
      </c>
      <c r="T93" s="362">
        <v>6702.6219179349982</v>
      </c>
      <c r="U93" s="362">
        <v>6795.8913976639988</v>
      </c>
      <c r="V93" s="362">
        <v>6889.5213673929984</v>
      </c>
      <c r="W93" s="362">
        <v>6983.5133271219984</v>
      </c>
      <c r="X93" s="336">
        <f t="shared" si="1"/>
        <v>6426.3605402864596</v>
      </c>
    </row>
    <row r="94" spans="1:24" ht="15.75" thickBot="1">
      <c r="A94" s="334" t="s">
        <v>1183</v>
      </c>
      <c r="B94" s="363">
        <v>0</v>
      </c>
      <c r="C94" s="363">
        <v>0</v>
      </c>
      <c r="D94" s="363">
        <v>0</v>
      </c>
      <c r="E94" s="363">
        <v>0</v>
      </c>
      <c r="F94" s="363">
        <v>0</v>
      </c>
      <c r="G94" s="363">
        <v>0</v>
      </c>
      <c r="H94" s="363">
        <v>0</v>
      </c>
      <c r="I94" s="363">
        <v>0</v>
      </c>
      <c r="J94" s="363">
        <v>0</v>
      </c>
      <c r="K94" s="363">
        <v>0</v>
      </c>
      <c r="L94" s="363">
        <v>0</v>
      </c>
      <c r="M94" s="363">
        <v>0</v>
      </c>
      <c r="N94" s="363">
        <v>0</v>
      </c>
      <c r="O94" s="363">
        <v>0</v>
      </c>
      <c r="P94" s="363">
        <v>0</v>
      </c>
      <c r="Q94" s="363">
        <v>0</v>
      </c>
      <c r="R94" s="363">
        <v>0</v>
      </c>
      <c r="S94" s="363">
        <v>0</v>
      </c>
      <c r="T94" s="363">
        <v>0</v>
      </c>
      <c r="U94" s="363">
        <v>0</v>
      </c>
      <c r="V94" s="363">
        <v>0</v>
      </c>
      <c r="W94" s="363">
        <v>0</v>
      </c>
      <c r="X94" s="336">
        <f t="shared" si="1"/>
        <v>0</v>
      </c>
    </row>
    <row r="95" spans="1:24">
      <c r="A95" s="334" t="s">
        <v>1176</v>
      </c>
      <c r="B95" s="336">
        <v>53401.702377983354</v>
      </c>
      <c r="C95" s="336">
        <v>53387.011231878962</v>
      </c>
      <c r="D95" s="336">
        <v>53049.742553744014</v>
      </c>
      <c r="E95" s="336">
        <v>64475.114863468843</v>
      </c>
      <c r="F95" s="336">
        <v>64121.99185735418</v>
      </c>
      <c r="G95" s="336">
        <v>63807.571430184762</v>
      </c>
      <c r="H95" s="336">
        <v>63547.708778676599</v>
      </c>
      <c r="I95" s="336">
        <v>63406.656047341712</v>
      </c>
      <c r="J95" s="336">
        <v>63074.866443153573</v>
      </c>
      <c r="K95" s="336">
        <v>63008.34160019266</v>
      </c>
      <c r="L95" s="336">
        <v>62917.321337498499</v>
      </c>
      <c r="M95" s="336">
        <v>62640.650491738306</v>
      </c>
      <c r="N95" s="336">
        <v>62514.752626566769</v>
      </c>
      <c r="O95" s="336">
        <v>62155.260331609294</v>
      </c>
      <c r="P95" s="336">
        <v>61841.839521597067</v>
      </c>
      <c r="Q95" s="336">
        <v>61587.2570576336</v>
      </c>
      <c r="R95" s="336">
        <v>61154.742921138321</v>
      </c>
      <c r="S95" s="336">
        <v>60837.915760984331</v>
      </c>
      <c r="T95" s="336">
        <v>60607.711170733382</v>
      </c>
      <c r="U95" s="336">
        <v>60493.890547311137</v>
      </c>
      <c r="V95" s="336">
        <v>60389.26632343189</v>
      </c>
      <c r="W95" s="336">
        <v>60545.495639403205</v>
      </c>
      <c r="X95" s="336">
        <f t="shared" si="1"/>
        <v>61591.880409987578</v>
      </c>
    </row>
    <row r="96" spans="1:24">
      <c r="B96" s="358"/>
      <c r="C96" s="358"/>
      <c r="D96" s="358"/>
      <c r="E96" s="358"/>
      <c r="F96" s="358"/>
      <c r="G96" s="358"/>
      <c r="H96" s="358"/>
      <c r="I96" s="358"/>
      <c r="J96" s="358"/>
      <c r="K96" s="358"/>
      <c r="L96" s="358"/>
      <c r="M96" s="358"/>
      <c r="N96" s="358"/>
      <c r="O96" s="358"/>
      <c r="P96" s="358"/>
      <c r="Q96" s="358"/>
      <c r="R96" s="358"/>
      <c r="S96" s="358"/>
      <c r="T96" s="358"/>
      <c r="U96" s="358"/>
      <c r="V96" s="358"/>
      <c r="W96" s="358"/>
      <c r="X96" s="336">
        <f t="shared" si="1"/>
        <v>0</v>
      </c>
    </row>
    <row r="97" spans="1:24">
      <c r="A97" s="334" t="s">
        <v>1184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58"/>
      <c r="N97" s="358"/>
      <c r="O97" s="358"/>
      <c r="P97" s="358"/>
      <c r="Q97" s="358"/>
      <c r="R97" s="358"/>
      <c r="S97" s="358"/>
      <c r="T97" s="358"/>
      <c r="U97" s="358"/>
      <c r="V97" s="358"/>
      <c r="W97" s="358"/>
      <c r="X97" s="336">
        <f t="shared" si="1"/>
        <v>0</v>
      </c>
    </row>
    <row r="98" spans="1:24">
      <c r="A98" s="334" t="s">
        <v>1185</v>
      </c>
      <c r="B98" s="336">
        <v>0</v>
      </c>
      <c r="C98" s="336">
        <v>0</v>
      </c>
      <c r="D98" s="336">
        <v>0</v>
      </c>
      <c r="E98" s="336">
        <v>0</v>
      </c>
      <c r="F98" s="336">
        <v>0</v>
      </c>
      <c r="G98" s="336">
        <v>0</v>
      </c>
      <c r="H98" s="336">
        <v>0</v>
      </c>
      <c r="I98" s="336">
        <v>0</v>
      </c>
      <c r="J98" s="336">
        <v>0</v>
      </c>
      <c r="K98" s="336">
        <v>0</v>
      </c>
      <c r="L98" s="336">
        <v>0</v>
      </c>
      <c r="M98" s="336">
        <v>0</v>
      </c>
      <c r="N98" s="336">
        <v>0</v>
      </c>
      <c r="O98" s="336">
        <v>0</v>
      </c>
      <c r="P98" s="336">
        <v>0</v>
      </c>
      <c r="Q98" s="336">
        <v>0</v>
      </c>
      <c r="R98" s="336">
        <v>0</v>
      </c>
      <c r="S98" s="336">
        <v>0</v>
      </c>
      <c r="T98" s="336">
        <v>0</v>
      </c>
      <c r="U98" s="336">
        <v>0</v>
      </c>
      <c r="V98" s="336">
        <v>0</v>
      </c>
      <c r="W98" s="336">
        <v>0</v>
      </c>
      <c r="X98" s="336">
        <f t="shared" si="1"/>
        <v>0</v>
      </c>
    </row>
    <row r="99" spans="1:24">
      <c r="A99" s="334" t="s">
        <v>1186</v>
      </c>
      <c r="B99" s="336">
        <v>0</v>
      </c>
      <c r="C99" s="336">
        <v>0</v>
      </c>
      <c r="D99" s="336">
        <v>0</v>
      </c>
      <c r="E99" s="336">
        <v>0</v>
      </c>
      <c r="F99" s="336">
        <v>0</v>
      </c>
      <c r="G99" s="336">
        <v>0</v>
      </c>
      <c r="H99" s="336">
        <v>0</v>
      </c>
      <c r="I99" s="336">
        <v>0</v>
      </c>
      <c r="J99" s="336">
        <v>0</v>
      </c>
      <c r="K99" s="336">
        <v>0</v>
      </c>
      <c r="L99" s="336">
        <v>0</v>
      </c>
      <c r="M99" s="336">
        <v>0</v>
      </c>
      <c r="N99" s="336">
        <v>0</v>
      </c>
      <c r="O99" s="336">
        <v>0</v>
      </c>
      <c r="P99" s="336">
        <v>0</v>
      </c>
      <c r="Q99" s="336">
        <v>0</v>
      </c>
      <c r="R99" s="336">
        <v>0</v>
      </c>
      <c r="S99" s="336">
        <v>0</v>
      </c>
      <c r="T99" s="336">
        <v>0</v>
      </c>
      <c r="U99" s="336">
        <v>0</v>
      </c>
      <c r="V99" s="336">
        <v>0</v>
      </c>
      <c r="W99" s="336">
        <v>0</v>
      </c>
      <c r="X99" s="336">
        <f t="shared" si="1"/>
        <v>0</v>
      </c>
    </row>
    <row r="100" spans="1:24">
      <c r="A100" s="334" t="s">
        <v>1187</v>
      </c>
      <c r="B100" s="336">
        <v>-616.76082650600006</v>
      </c>
      <c r="C100" s="336">
        <v>-616.76082650600006</v>
      </c>
      <c r="D100" s="336">
        <v>-616.76082650600006</v>
      </c>
      <c r="E100" s="336">
        <v>-616.76082650600006</v>
      </c>
      <c r="F100" s="336">
        <v>-616.76082650600006</v>
      </c>
      <c r="G100" s="336">
        <v>-616.76082650600006</v>
      </c>
      <c r="H100" s="336">
        <v>-616.76082650600006</v>
      </c>
      <c r="I100" s="336">
        <v>-616.76082650600006</v>
      </c>
      <c r="J100" s="336">
        <v>-616.76082650600006</v>
      </c>
      <c r="K100" s="336">
        <v>-616.76082650600006</v>
      </c>
      <c r="L100" s="336">
        <v>-616.76082650600006</v>
      </c>
      <c r="M100" s="336">
        <v>-616.76082650600006</v>
      </c>
      <c r="N100" s="336">
        <v>-616.76082650600006</v>
      </c>
      <c r="O100" s="336">
        <v>-616.76082650600006</v>
      </c>
      <c r="P100" s="336">
        <v>-616.76082650600006</v>
      </c>
      <c r="Q100" s="336">
        <v>-616.76082650600006</v>
      </c>
      <c r="R100" s="336">
        <v>-616.76082650600006</v>
      </c>
      <c r="S100" s="336">
        <v>-616.76082650600006</v>
      </c>
      <c r="T100" s="336">
        <v>-616.76082650600006</v>
      </c>
      <c r="U100" s="336">
        <v>-616.76082650600006</v>
      </c>
      <c r="V100" s="336">
        <v>-616.76082650600006</v>
      </c>
      <c r="W100" s="336">
        <v>-616.76082650600006</v>
      </c>
      <c r="X100" s="336">
        <f t="shared" si="1"/>
        <v>-616.76082650599994</v>
      </c>
    </row>
    <row r="101" spans="1:24">
      <c r="A101" s="334" t="s">
        <v>1188</v>
      </c>
      <c r="B101" s="336">
        <v>731.9465834509972</v>
      </c>
      <c r="C101" s="336">
        <v>731.9465834509972</v>
      </c>
      <c r="D101" s="336">
        <v>731.9465834509972</v>
      </c>
      <c r="E101" s="336">
        <v>731.9465834509972</v>
      </c>
      <c r="F101" s="336">
        <v>731.9465834509972</v>
      </c>
      <c r="G101" s="336">
        <v>731.9465834509972</v>
      </c>
      <c r="H101" s="336">
        <v>731.9465834509972</v>
      </c>
      <c r="I101" s="336">
        <v>731.9465834509972</v>
      </c>
      <c r="J101" s="336">
        <v>731.9465834509972</v>
      </c>
      <c r="K101" s="336">
        <v>731.9465834509972</v>
      </c>
      <c r="L101" s="336">
        <v>731.9465834509972</v>
      </c>
      <c r="M101" s="336">
        <v>731.9465834509972</v>
      </c>
      <c r="N101" s="336">
        <v>731.9465834509972</v>
      </c>
      <c r="O101" s="336">
        <v>731.9465834509972</v>
      </c>
      <c r="P101" s="336">
        <v>731.9465834509972</v>
      </c>
      <c r="Q101" s="336">
        <v>731.9465834509972</v>
      </c>
      <c r="R101" s="336">
        <v>731.9465834509972</v>
      </c>
      <c r="S101" s="336">
        <v>731.9465834509972</v>
      </c>
      <c r="T101" s="336">
        <v>731.9465834509972</v>
      </c>
      <c r="U101" s="336">
        <v>731.9465834509972</v>
      </c>
      <c r="V101" s="336">
        <v>731.9465834509972</v>
      </c>
      <c r="W101" s="336">
        <v>731.9465834509972</v>
      </c>
      <c r="X101" s="336">
        <f t="shared" si="1"/>
        <v>731.94658345099731</v>
      </c>
    </row>
    <row r="102" spans="1:24">
      <c r="A102" s="334" t="s">
        <v>1189</v>
      </c>
      <c r="B102" s="336">
        <v>-173.57607810766334</v>
      </c>
      <c r="C102" s="336">
        <v>-174.64383584323545</v>
      </c>
      <c r="D102" s="336">
        <v>-174.42177064876168</v>
      </c>
      <c r="E102" s="336">
        <v>-173.37962296746821</v>
      </c>
      <c r="F102" s="336">
        <v>-173.36553323604983</v>
      </c>
      <c r="G102" s="336">
        <v>-173.46419629790299</v>
      </c>
      <c r="H102" s="336">
        <v>-173.42626155139723</v>
      </c>
      <c r="I102" s="336">
        <v>-174.05771878030811</v>
      </c>
      <c r="J102" s="336">
        <v>-174.1093023876598</v>
      </c>
      <c r="K102" s="336">
        <v>-174.66849954041868</v>
      </c>
      <c r="L102" s="336">
        <v>-175.49883573757305</v>
      </c>
      <c r="M102" s="336">
        <v>-175.8004301654239</v>
      </c>
      <c r="N102" s="336">
        <v>-176.25744129625303</v>
      </c>
      <c r="O102" s="336">
        <v>-176.30237076052063</v>
      </c>
      <c r="P102" s="336">
        <v>-176.49292420879084</v>
      </c>
      <c r="Q102" s="336">
        <v>-176.54611251222428</v>
      </c>
      <c r="R102" s="336">
        <v>-176.41900961775312</v>
      </c>
      <c r="S102" s="336">
        <v>-176.66244445170273</v>
      </c>
      <c r="T102" s="336">
        <v>-176.61410897175287</v>
      </c>
      <c r="U102" s="336">
        <v>-177.23591988455271</v>
      </c>
      <c r="V102" s="336">
        <v>-177.89760264840419</v>
      </c>
      <c r="W102" s="336">
        <v>-179.14389416431456</v>
      </c>
      <c r="X102" s="336">
        <f t="shared" si="1"/>
        <v>-176.57996876612955</v>
      </c>
    </row>
    <row r="103" spans="1:24">
      <c r="A103" s="334" t="s">
        <v>1190</v>
      </c>
      <c r="B103" s="336">
        <v>547.35581516319962</v>
      </c>
      <c r="C103" s="336">
        <v>550.7228886224143</v>
      </c>
      <c r="D103" s="336">
        <v>550.02262694542685</v>
      </c>
      <c r="E103" s="336">
        <v>546.7363123804613</v>
      </c>
      <c r="F103" s="336">
        <v>546.69188173938437</v>
      </c>
      <c r="G103" s="336">
        <v>547.00300641299089</v>
      </c>
      <c r="H103" s="336">
        <v>546.88338276252557</v>
      </c>
      <c r="I103" s="336">
        <v>548.8746236641482</v>
      </c>
      <c r="J103" s="336">
        <v>549.03728771186059</v>
      </c>
      <c r="K103" s="336">
        <v>550.80066326868962</v>
      </c>
      <c r="L103" s="336">
        <v>553.41905026652819</v>
      </c>
      <c r="M103" s="336">
        <v>554.37009989101966</v>
      </c>
      <c r="N103" s="336">
        <v>555.81124145142803</v>
      </c>
      <c r="O103" s="336">
        <v>555.95292228560254</v>
      </c>
      <c r="P103" s="336">
        <v>556.55381463866865</v>
      </c>
      <c r="Q103" s="336">
        <v>556.72153894434678</v>
      </c>
      <c r="R103" s="336">
        <v>556.32073193700262</v>
      </c>
      <c r="S103" s="336">
        <v>557.08838075951473</v>
      </c>
      <c r="T103" s="336">
        <v>556.93595937565988</v>
      </c>
      <c r="U103" s="336">
        <v>558.8967815279027</v>
      </c>
      <c r="V103" s="336">
        <v>560.98333580736244</v>
      </c>
      <c r="W103" s="336">
        <v>564.91339872881508</v>
      </c>
      <c r="X103" s="336">
        <f t="shared" si="1"/>
        <v>556.82830145250307</v>
      </c>
    </row>
    <row r="104" spans="1:24">
      <c r="A104" s="334" t="s">
        <v>1191</v>
      </c>
      <c r="B104" s="336">
        <v>-741.55089594600008</v>
      </c>
      <c r="C104" s="336">
        <v>-741.55089594600008</v>
      </c>
      <c r="D104" s="336">
        <v>-741.55089594600008</v>
      </c>
      <c r="E104" s="336">
        <v>-741.55089594600008</v>
      </c>
      <c r="F104" s="336">
        <v>-741.55089594600008</v>
      </c>
      <c r="G104" s="336">
        <v>-741.55089594600008</v>
      </c>
      <c r="H104" s="336">
        <v>-741.55089594600008</v>
      </c>
      <c r="I104" s="336">
        <v>-741.55089594600008</v>
      </c>
      <c r="J104" s="336">
        <v>-741.55089594600008</v>
      </c>
      <c r="K104" s="336">
        <v>-741.55089594600008</v>
      </c>
      <c r="L104" s="336">
        <v>-741.55089594600008</v>
      </c>
      <c r="M104" s="336">
        <v>-741.55089594600008</v>
      </c>
      <c r="N104" s="336">
        <v>-741.55089594600008</v>
      </c>
      <c r="O104" s="336">
        <v>-741.55089594600008</v>
      </c>
      <c r="P104" s="336">
        <v>-741.55089594600008</v>
      </c>
      <c r="Q104" s="336">
        <v>-741.55089594600008</v>
      </c>
      <c r="R104" s="336">
        <v>-741.55089594600008</v>
      </c>
      <c r="S104" s="336">
        <v>-741.55089594600008</v>
      </c>
      <c r="T104" s="336">
        <v>-741.55089594600008</v>
      </c>
      <c r="U104" s="336">
        <v>-741.55089594600008</v>
      </c>
      <c r="V104" s="336">
        <v>-741.55089594600008</v>
      </c>
      <c r="W104" s="336">
        <v>-741.55089594600008</v>
      </c>
      <c r="X104" s="336">
        <f t="shared" si="1"/>
        <v>-741.5508959460002</v>
      </c>
    </row>
    <row r="105" spans="1:24">
      <c r="A105" s="435" t="s">
        <v>1806</v>
      </c>
      <c r="X105" s="336">
        <f t="shared" si="1"/>
        <v>0</v>
      </c>
    </row>
    <row r="106" spans="1:24">
      <c r="A106" s="334" t="s">
        <v>1192</v>
      </c>
      <c r="B106" s="336">
        <v>96.044306191133558</v>
      </c>
      <c r="C106" s="336">
        <v>96.63512522571061</v>
      </c>
      <c r="D106" s="336">
        <v>96.512250589038587</v>
      </c>
      <c r="E106" s="336">
        <v>95.935602285368276</v>
      </c>
      <c r="F106" s="336">
        <v>95.927806058530734</v>
      </c>
      <c r="G106" s="336">
        <v>95.982398980698861</v>
      </c>
      <c r="H106" s="336">
        <v>95.961408666547257</v>
      </c>
      <c r="I106" s="336">
        <v>96.310810911956366</v>
      </c>
      <c r="J106" s="336">
        <v>96.339353507416163</v>
      </c>
      <c r="K106" s="336">
        <v>96.648772311817737</v>
      </c>
      <c r="L106" s="336">
        <v>97.108219632154174</v>
      </c>
      <c r="M106" s="336">
        <v>97.275099929772608</v>
      </c>
      <c r="N106" s="336">
        <v>97.527976463570567</v>
      </c>
      <c r="O106" s="336">
        <v>97.55283714293472</v>
      </c>
      <c r="P106" s="336">
        <v>97.658275484041198</v>
      </c>
      <c r="Q106" s="336">
        <v>97.687706000944445</v>
      </c>
      <c r="R106" s="336">
        <v>97.61737655550786</v>
      </c>
      <c r="S106" s="336">
        <v>97.752075587680608</v>
      </c>
      <c r="T106" s="336">
        <v>97.725330268355449</v>
      </c>
      <c r="U106" s="336">
        <v>98.069394947964668</v>
      </c>
      <c r="V106" s="336">
        <v>98.435521793700445</v>
      </c>
      <c r="W106" s="336">
        <v>99.125128364274431</v>
      </c>
      <c r="X106" s="336">
        <f t="shared" si="1"/>
        <v>97.706439575593762</v>
      </c>
    </row>
    <row r="107" spans="1:24">
      <c r="A107" s="334" t="s">
        <v>1193</v>
      </c>
      <c r="B107" s="336">
        <v>0</v>
      </c>
      <c r="C107" s="336">
        <v>0</v>
      </c>
      <c r="D107" s="336">
        <v>0</v>
      </c>
      <c r="E107" s="336">
        <v>0</v>
      </c>
      <c r="F107" s="336">
        <v>0</v>
      </c>
      <c r="G107" s="336">
        <v>0</v>
      </c>
      <c r="H107" s="336">
        <v>0</v>
      </c>
      <c r="I107" s="336">
        <v>0</v>
      </c>
      <c r="J107" s="336">
        <v>0</v>
      </c>
      <c r="K107" s="336">
        <v>0</v>
      </c>
      <c r="L107" s="336">
        <v>0</v>
      </c>
      <c r="M107" s="336">
        <v>0</v>
      </c>
      <c r="N107" s="336">
        <v>0</v>
      </c>
      <c r="O107" s="336">
        <v>0</v>
      </c>
      <c r="P107" s="336">
        <v>0</v>
      </c>
      <c r="Q107" s="336">
        <v>0</v>
      </c>
      <c r="R107" s="336">
        <v>0</v>
      </c>
      <c r="S107" s="336">
        <v>0</v>
      </c>
      <c r="T107" s="336">
        <v>0</v>
      </c>
      <c r="U107" s="336">
        <v>0</v>
      </c>
      <c r="V107" s="336">
        <v>0</v>
      </c>
      <c r="W107" s="336">
        <v>0</v>
      </c>
      <c r="X107" s="336">
        <f t="shared" si="1"/>
        <v>0</v>
      </c>
    </row>
    <row r="108" spans="1:24">
      <c r="A108" s="435" t="s">
        <v>1807</v>
      </c>
      <c r="B108" s="336">
        <v>0</v>
      </c>
      <c r="C108" s="336">
        <v>0</v>
      </c>
      <c r="D108" s="336">
        <v>0</v>
      </c>
      <c r="E108" s="336">
        <v>0</v>
      </c>
      <c r="F108" s="336">
        <v>0</v>
      </c>
      <c r="G108" s="336">
        <v>0</v>
      </c>
      <c r="H108" s="336">
        <v>0</v>
      </c>
      <c r="I108" s="336">
        <v>0</v>
      </c>
      <c r="J108" s="336">
        <v>0</v>
      </c>
      <c r="K108" s="336">
        <v>0</v>
      </c>
      <c r="L108" s="336">
        <v>0</v>
      </c>
      <c r="M108" s="336">
        <v>0</v>
      </c>
      <c r="N108" s="336">
        <v>0</v>
      </c>
      <c r="O108" s="336">
        <v>0</v>
      </c>
      <c r="P108" s="336">
        <v>0</v>
      </c>
      <c r="Q108" s="336">
        <v>0</v>
      </c>
      <c r="R108" s="336">
        <v>0</v>
      </c>
      <c r="S108" s="336">
        <v>0</v>
      </c>
      <c r="T108" s="336">
        <v>0</v>
      </c>
      <c r="U108" s="336">
        <v>0</v>
      </c>
      <c r="V108" s="336">
        <v>0</v>
      </c>
      <c r="W108" s="336">
        <v>0</v>
      </c>
      <c r="X108" s="336">
        <f t="shared" si="1"/>
        <v>0</v>
      </c>
    </row>
    <row r="109" spans="1:24">
      <c r="A109" s="334" t="s">
        <v>1184</v>
      </c>
      <c r="B109" s="336">
        <v>-156.54109575433307</v>
      </c>
      <c r="C109" s="336">
        <v>-153.6509609961135</v>
      </c>
      <c r="D109" s="336">
        <v>-154.25203211529922</v>
      </c>
      <c r="E109" s="336">
        <v>-157.07284730264158</v>
      </c>
      <c r="F109" s="336">
        <v>-157.11098443913767</v>
      </c>
      <c r="G109" s="336">
        <v>-156.84392990521616</v>
      </c>
      <c r="H109" s="336">
        <v>-156.94660912332739</v>
      </c>
      <c r="I109" s="336">
        <v>-155.23742320520648</v>
      </c>
      <c r="J109" s="336">
        <v>-155.09780016938601</v>
      </c>
      <c r="K109" s="336">
        <v>-153.58420296091427</v>
      </c>
      <c r="L109" s="336">
        <v>-151.3367048398936</v>
      </c>
      <c r="M109" s="336">
        <v>-150.52036934563458</v>
      </c>
      <c r="N109" s="336">
        <v>-149.28336238225739</v>
      </c>
      <c r="O109" s="336">
        <v>-149.16175033298629</v>
      </c>
      <c r="P109" s="336">
        <v>-148.64597308708392</v>
      </c>
      <c r="Q109" s="336">
        <v>-148.50200656793601</v>
      </c>
      <c r="R109" s="336">
        <v>-148.84604012624555</v>
      </c>
      <c r="S109" s="336">
        <v>-148.18712710551034</v>
      </c>
      <c r="T109" s="336">
        <v>-148.31795832874053</v>
      </c>
      <c r="U109" s="336">
        <v>-146.63488240968826</v>
      </c>
      <c r="V109" s="336">
        <v>-144.84388404834425</v>
      </c>
      <c r="W109" s="336">
        <v>-141.47050607222803</v>
      </c>
      <c r="X109" s="336">
        <f t="shared" si="1"/>
        <v>-148.41036673903562</v>
      </c>
    </row>
    <row r="110" spans="1:24">
      <c r="B110" s="358"/>
      <c r="C110" s="358"/>
      <c r="D110" s="358"/>
      <c r="E110" s="358"/>
      <c r="F110" s="358"/>
      <c r="G110" s="358"/>
      <c r="H110" s="358"/>
      <c r="I110" s="358"/>
      <c r="J110" s="358"/>
      <c r="K110" s="358"/>
      <c r="L110" s="358"/>
      <c r="M110" s="358"/>
      <c r="N110" s="358"/>
      <c r="O110" s="358"/>
      <c r="P110" s="358"/>
      <c r="Q110" s="358"/>
      <c r="R110" s="358"/>
      <c r="S110" s="358"/>
      <c r="T110" s="358"/>
      <c r="U110" s="358"/>
      <c r="V110" s="358"/>
      <c r="W110" s="358"/>
      <c r="X110" s="336">
        <f t="shared" si="1"/>
        <v>0</v>
      </c>
    </row>
    <row r="111" spans="1:24">
      <c r="B111" s="358"/>
      <c r="C111" s="358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8"/>
      <c r="V111" s="358"/>
      <c r="W111" s="358"/>
      <c r="X111" s="336">
        <f t="shared" si="1"/>
        <v>0</v>
      </c>
    </row>
    <row r="112" spans="1:24" ht="15.75" thickBot="1">
      <c r="A112" s="356" t="s">
        <v>1194</v>
      </c>
      <c r="B112" s="359">
        <v>87208.152664934183</v>
      </c>
      <c r="C112" s="359">
        <v>87186.907123319805</v>
      </c>
      <c r="D112" s="359">
        <v>86800.188855030749</v>
      </c>
      <c r="E112" s="359">
        <v>98147.982993567173</v>
      </c>
      <c r="F112" s="359">
        <v>97752.155404602483</v>
      </c>
      <c r="G112" s="359">
        <v>97402.859193767916</v>
      </c>
      <c r="H112" s="359">
        <v>97099.469247343266</v>
      </c>
      <c r="I112" s="359">
        <v>97050.091589730015</v>
      </c>
      <c r="J112" s="359">
        <v>96676.662736051876</v>
      </c>
      <c r="K112" s="359">
        <v>96705.143135203049</v>
      </c>
      <c r="L112" s="359">
        <v>96596.673131766525</v>
      </c>
      <c r="M112" s="359">
        <v>96284.640532102014</v>
      </c>
      <c r="N112" s="359">
        <v>96542.138156034853</v>
      </c>
      <c r="O112" s="359">
        <v>96135.209359157176</v>
      </c>
      <c r="P112" s="359">
        <v>95780.829562190032</v>
      </c>
      <c r="Q112" s="359">
        <v>95478.992934371316</v>
      </c>
      <c r="R112" s="359">
        <v>94993.05224968832</v>
      </c>
      <c r="S112" s="359">
        <v>94735.580923261645</v>
      </c>
      <c r="T112" s="359">
        <v>94509.704158934066</v>
      </c>
      <c r="U112" s="359">
        <v>94367.046413941993</v>
      </c>
      <c r="V112" s="359">
        <v>94355.826368698457</v>
      </c>
      <c r="W112" s="359">
        <v>94502.613060914489</v>
      </c>
      <c r="X112" s="336">
        <f t="shared" si="1"/>
        <v>95460.573075866458</v>
      </c>
    </row>
    <row r="113" spans="1:24">
      <c r="X113" s="336">
        <f t="shared" si="1"/>
        <v>0</v>
      </c>
    </row>
    <row r="114" spans="1:24" ht="15.75" thickBot="1">
      <c r="A114" s="356" t="s">
        <v>1195</v>
      </c>
      <c r="B114" s="359">
        <v>1021126.6200061983</v>
      </c>
      <c r="C114" s="359">
        <v>1036580.2443312212</v>
      </c>
      <c r="D114" s="359">
        <v>1044363.4334583707</v>
      </c>
      <c r="E114" s="359">
        <v>1054598.3378668095</v>
      </c>
      <c r="F114" s="359">
        <v>1044577.936492255</v>
      </c>
      <c r="G114" s="359">
        <v>1031497.6759602295</v>
      </c>
      <c r="H114" s="359">
        <v>1025716.0209254518</v>
      </c>
      <c r="I114" s="359">
        <v>1025225.7788376793</v>
      </c>
      <c r="J114" s="359">
        <v>1031789.5392432634</v>
      </c>
      <c r="K114" s="359">
        <v>1047037.7218553787</v>
      </c>
      <c r="L114" s="359">
        <v>1065469.309537437</v>
      </c>
      <c r="M114" s="359">
        <v>1084877.9607113991</v>
      </c>
      <c r="N114" s="359">
        <v>1100056.2634209609</v>
      </c>
      <c r="O114" s="359">
        <v>1114273.0657492098</v>
      </c>
      <c r="P114" s="359">
        <v>1122603.5100009548</v>
      </c>
      <c r="Q114" s="359">
        <v>1123544.3960508325</v>
      </c>
      <c r="R114" s="359">
        <v>1115351.8085458002</v>
      </c>
      <c r="S114" s="359">
        <v>1105924.3851550631</v>
      </c>
      <c r="T114" s="359">
        <v>1103169.3898092886</v>
      </c>
      <c r="U114" s="359">
        <v>1105218.4901934979</v>
      </c>
      <c r="V114" s="359">
        <v>1115226.0432227631</v>
      </c>
      <c r="W114" s="359">
        <v>1134410.3550567839</v>
      </c>
      <c r="X114" s="336">
        <f t="shared" si="1"/>
        <v>1102858.6691776437</v>
      </c>
    </row>
    <row r="115" spans="1:24">
      <c r="X115" s="336">
        <f t="shared" si="1"/>
        <v>0</v>
      </c>
    </row>
    <row r="116" spans="1:24">
      <c r="A116" s="356" t="s">
        <v>1196</v>
      </c>
      <c r="X116" s="336">
        <f t="shared" si="1"/>
        <v>0</v>
      </c>
    </row>
    <row r="117" spans="1:24">
      <c r="X117" s="336">
        <f t="shared" si="1"/>
        <v>0</v>
      </c>
    </row>
    <row r="118" spans="1:24">
      <c r="A118" s="356" t="s">
        <v>287</v>
      </c>
      <c r="B118" s="358"/>
      <c r="C118" s="358"/>
      <c r="D118" s="358"/>
      <c r="E118" s="358"/>
      <c r="F118" s="358"/>
      <c r="G118" s="358"/>
      <c r="H118" s="358"/>
      <c r="I118" s="358"/>
      <c r="J118" s="358"/>
      <c r="K118" s="358"/>
      <c r="L118" s="358"/>
      <c r="M118" s="358"/>
      <c r="N118" s="358"/>
      <c r="O118" s="358"/>
      <c r="P118" s="358"/>
      <c r="Q118" s="358"/>
      <c r="R118" s="358"/>
      <c r="S118" s="358"/>
      <c r="T118" s="358"/>
      <c r="U118" s="358"/>
      <c r="V118" s="358"/>
      <c r="W118" s="358"/>
      <c r="X118" s="336">
        <f t="shared" si="1"/>
        <v>0</v>
      </c>
    </row>
    <row r="119" spans="1:24">
      <c r="A119" s="334" t="s">
        <v>1197</v>
      </c>
      <c r="B119" s="358"/>
      <c r="C119" s="358"/>
      <c r="D119" s="358"/>
      <c r="E119" s="358"/>
      <c r="F119" s="358"/>
      <c r="G119" s="358"/>
      <c r="H119" s="358"/>
      <c r="I119" s="358"/>
      <c r="J119" s="358"/>
      <c r="K119" s="358"/>
      <c r="L119" s="358"/>
      <c r="M119" s="358"/>
      <c r="N119" s="358"/>
      <c r="O119" s="358"/>
      <c r="P119" s="358"/>
      <c r="Q119" s="358"/>
      <c r="R119" s="358"/>
      <c r="S119" s="358"/>
      <c r="T119" s="358"/>
      <c r="U119" s="358"/>
      <c r="V119" s="358"/>
      <c r="W119" s="358"/>
      <c r="X119" s="336">
        <f t="shared" si="1"/>
        <v>0</v>
      </c>
    </row>
    <row r="120" spans="1:24">
      <c r="A120" s="334" t="s">
        <v>1198</v>
      </c>
      <c r="B120" s="336">
        <v>72772.615692996857</v>
      </c>
      <c r="C120" s="336">
        <v>73220.278321344857</v>
      </c>
      <c r="D120" s="336">
        <v>73127.176407576495</v>
      </c>
      <c r="E120" s="336">
        <v>72690.250919151309</v>
      </c>
      <c r="F120" s="336">
        <v>72684.343730667126</v>
      </c>
      <c r="G120" s="336">
        <v>72725.708699628362</v>
      </c>
      <c r="H120" s="336">
        <v>72709.804372494269</v>
      </c>
      <c r="I120" s="336">
        <v>72974.545889568966</v>
      </c>
      <c r="J120" s="336">
        <v>72996.172568053618</v>
      </c>
      <c r="K120" s="336">
        <v>73230.618696448684</v>
      </c>
      <c r="L120" s="336">
        <v>73578.74118907706</v>
      </c>
      <c r="M120" s="336">
        <v>73705.186121077</v>
      </c>
      <c r="N120" s="336">
        <v>73896.790262349416</v>
      </c>
      <c r="O120" s="336">
        <v>73915.62715895455</v>
      </c>
      <c r="P120" s="336">
        <v>73995.51761973188</v>
      </c>
      <c r="Q120" s="336">
        <v>74017.817074860257</v>
      </c>
      <c r="R120" s="336">
        <v>73964.528567632442</v>
      </c>
      <c r="S120" s="336">
        <v>74066.589806775737</v>
      </c>
      <c r="T120" s="336">
        <v>74046.32492151577</v>
      </c>
      <c r="U120" s="336">
        <v>74307.022173603866</v>
      </c>
      <c r="V120" s="336">
        <v>74584.435893336471</v>
      </c>
      <c r="W120" s="336">
        <v>75106.949678171106</v>
      </c>
      <c r="X120" s="336">
        <f t="shared" si="1"/>
        <v>74032.011474118015</v>
      </c>
    </row>
    <row r="121" spans="1:24">
      <c r="A121" s="334" t="s">
        <v>1199</v>
      </c>
      <c r="B121" s="336">
        <v>72772.615692996857</v>
      </c>
      <c r="C121" s="336">
        <v>73220.278321344857</v>
      </c>
      <c r="D121" s="336">
        <v>73127.176407576495</v>
      </c>
      <c r="E121" s="336">
        <v>72690.250919151309</v>
      </c>
      <c r="F121" s="336">
        <v>72684.343730667126</v>
      </c>
      <c r="G121" s="336">
        <v>72725.708699628362</v>
      </c>
      <c r="H121" s="336">
        <v>72709.804372494269</v>
      </c>
      <c r="I121" s="336">
        <v>72974.545889568966</v>
      </c>
      <c r="J121" s="336">
        <v>72996.172568053618</v>
      </c>
      <c r="K121" s="336">
        <v>73230.618696448684</v>
      </c>
      <c r="L121" s="336">
        <v>73578.74118907706</v>
      </c>
      <c r="M121" s="336">
        <v>73705.186121077</v>
      </c>
      <c r="N121" s="336">
        <v>73896.790262349416</v>
      </c>
      <c r="O121" s="336">
        <v>73915.62715895455</v>
      </c>
      <c r="P121" s="336">
        <v>73995.51761973188</v>
      </c>
      <c r="Q121" s="336">
        <v>74017.817074860257</v>
      </c>
      <c r="R121" s="336">
        <v>73964.528567632442</v>
      </c>
      <c r="S121" s="336">
        <v>74066.589806775737</v>
      </c>
      <c r="T121" s="336">
        <v>74046.32492151577</v>
      </c>
      <c r="U121" s="336">
        <v>74307.022173603866</v>
      </c>
      <c r="V121" s="336">
        <v>74584.435893336471</v>
      </c>
      <c r="W121" s="336">
        <v>75106.949678171106</v>
      </c>
      <c r="X121" s="336">
        <f t="shared" si="1"/>
        <v>74032.011474118015</v>
      </c>
    </row>
    <row r="122" spans="1:24">
      <c r="B122" s="358"/>
      <c r="C122" s="358"/>
      <c r="D122" s="358"/>
      <c r="E122" s="358"/>
      <c r="F122" s="358"/>
      <c r="G122" s="358"/>
      <c r="H122" s="358"/>
      <c r="I122" s="358"/>
      <c r="J122" s="358"/>
      <c r="K122" s="358"/>
      <c r="L122" s="358"/>
      <c r="M122" s="358"/>
      <c r="N122" s="358"/>
      <c r="O122" s="358"/>
      <c r="P122" s="358"/>
      <c r="Q122" s="358"/>
      <c r="R122" s="358"/>
      <c r="S122" s="358"/>
      <c r="T122" s="358"/>
      <c r="U122" s="358"/>
      <c r="V122" s="358"/>
      <c r="W122" s="358"/>
      <c r="X122" s="336">
        <f t="shared" si="1"/>
        <v>0</v>
      </c>
    </row>
    <row r="123" spans="1:24">
      <c r="A123" s="334" t="s">
        <v>1200</v>
      </c>
      <c r="B123" s="358"/>
      <c r="C123" s="358"/>
      <c r="D123" s="358"/>
      <c r="E123" s="358"/>
      <c r="F123" s="358"/>
      <c r="G123" s="358"/>
      <c r="H123" s="358"/>
      <c r="I123" s="358"/>
      <c r="J123" s="358"/>
      <c r="K123" s="358"/>
      <c r="L123" s="358"/>
      <c r="M123" s="358"/>
      <c r="N123" s="358"/>
      <c r="O123" s="358"/>
      <c r="P123" s="358"/>
      <c r="Q123" s="358"/>
      <c r="R123" s="358"/>
      <c r="S123" s="358"/>
      <c r="T123" s="358"/>
      <c r="U123" s="358"/>
      <c r="V123" s="358"/>
      <c r="W123" s="358"/>
      <c r="X123" s="336">
        <f t="shared" si="1"/>
        <v>0</v>
      </c>
    </row>
    <row r="124" spans="1:24">
      <c r="A124" s="334" t="s">
        <v>1201</v>
      </c>
      <c r="B124" s="336">
        <v>-143.07157627687047</v>
      </c>
      <c r="C124" s="336">
        <v>-143.95168478015955</v>
      </c>
      <c r="D124" s="336">
        <v>-143.76864563239241</v>
      </c>
      <c r="E124" s="336">
        <v>-142.9096464367575</v>
      </c>
      <c r="F124" s="336">
        <v>-142.89803285437148</v>
      </c>
      <c r="G124" s="336">
        <v>-142.97935673225564</v>
      </c>
      <c r="H124" s="336">
        <v>-142.94808869095976</v>
      </c>
      <c r="I124" s="336">
        <v>-143.46857274657756</v>
      </c>
      <c r="J124" s="336">
        <v>-143.51109097889568</v>
      </c>
      <c r="K124" s="336">
        <v>-143.97201404483297</v>
      </c>
      <c r="L124" s="336">
        <v>-144.65642580169342</v>
      </c>
      <c r="M124" s="336">
        <v>-144.90501760454646</v>
      </c>
      <c r="N124" s="336">
        <v>-145.28171296243585</v>
      </c>
      <c r="O124" s="336">
        <v>-145.31874646004749</v>
      </c>
      <c r="P124" s="336">
        <v>-145.47581177979797</v>
      </c>
      <c r="Q124" s="336">
        <v>-145.51965269667241</v>
      </c>
      <c r="R124" s="336">
        <v>-145.41488704198318</v>
      </c>
      <c r="S124" s="336">
        <v>-145.61554029900782</v>
      </c>
      <c r="T124" s="336">
        <v>-145.57569936365593</v>
      </c>
      <c r="U124" s="336">
        <v>-146.08823236019737</v>
      </c>
      <c r="V124" s="336">
        <v>-146.63363007312847</v>
      </c>
      <c r="W124" s="336">
        <v>-147.66089658142684</v>
      </c>
      <c r="X124" s="336">
        <f t="shared" si="1"/>
        <v>-145.54755900534047</v>
      </c>
    </row>
    <row r="125" spans="1:24">
      <c r="A125" s="334" t="s">
        <v>1202</v>
      </c>
      <c r="B125" s="336">
        <v>-143.07157627687047</v>
      </c>
      <c r="C125" s="336">
        <v>-143.95168478015955</v>
      </c>
      <c r="D125" s="336">
        <v>-143.76864563239241</v>
      </c>
      <c r="E125" s="336">
        <v>-142.9096464367575</v>
      </c>
      <c r="F125" s="336">
        <v>-142.89803285437148</v>
      </c>
      <c r="G125" s="336">
        <v>-142.97935673225564</v>
      </c>
      <c r="H125" s="336">
        <v>-142.94808869095976</v>
      </c>
      <c r="I125" s="336">
        <v>-143.46857274657756</v>
      </c>
      <c r="J125" s="336">
        <v>-143.51109097889568</v>
      </c>
      <c r="K125" s="336">
        <v>-143.97201404483297</v>
      </c>
      <c r="L125" s="336">
        <v>-144.65642580169342</v>
      </c>
      <c r="M125" s="336">
        <v>-144.90501760454646</v>
      </c>
      <c r="N125" s="336">
        <v>-145.28171296243585</v>
      </c>
      <c r="O125" s="336">
        <v>-145.31874646004749</v>
      </c>
      <c r="P125" s="336">
        <v>-145.47581177979797</v>
      </c>
      <c r="Q125" s="336">
        <v>-145.51965269667241</v>
      </c>
      <c r="R125" s="336">
        <v>-145.41488704198318</v>
      </c>
      <c r="S125" s="336">
        <v>-145.61554029900782</v>
      </c>
      <c r="T125" s="336">
        <v>-145.57569936365593</v>
      </c>
      <c r="U125" s="336">
        <v>-146.08823236019737</v>
      </c>
      <c r="V125" s="336">
        <v>-146.63363007312847</v>
      </c>
      <c r="W125" s="336">
        <v>-147.66089658142684</v>
      </c>
      <c r="X125" s="336">
        <f t="shared" si="1"/>
        <v>-145.54755900534047</v>
      </c>
    </row>
    <row r="126" spans="1:24">
      <c r="B126" s="358"/>
      <c r="C126" s="358"/>
      <c r="D126" s="358"/>
      <c r="E126" s="358"/>
      <c r="F126" s="358"/>
      <c r="G126" s="358"/>
      <c r="H126" s="358"/>
      <c r="I126" s="358"/>
      <c r="J126" s="358"/>
      <c r="K126" s="358"/>
      <c r="L126" s="358"/>
      <c r="M126" s="358"/>
      <c r="N126" s="358"/>
      <c r="O126" s="358"/>
      <c r="P126" s="358"/>
      <c r="Q126" s="358"/>
      <c r="R126" s="358"/>
      <c r="S126" s="358"/>
      <c r="T126" s="358"/>
      <c r="U126" s="358"/>
      <c r="V126" s="358"/>
      <c r="W126" s="358"/>
      <c r="X126" s="336">
        <f t="shared" si="1"/>
        <v>0</v>
      </c>
    </row>
    <row r="127" spans="1:24">
      <c r="A127" s="334" t="s">
        <v>1203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358"/>
      <c r="L127" s="358"/>
      <c r="M127" s="358"/>
      <c r="N127" s="358"/>
      <c r="O127" s="358"/>
      <c r="P127" s="358"/>
      <c r="Q127" s="358"/>
      <c r="R127" s="358"/>
      <c r="S127" s="358"/>
      <c r="T127" s="358"/>
      <c r="U127" s="358"/>
      <c r="V127" s="358"/>
      <c r="W127" s="358"/>
      <c r="X127" s="336">
        <f t="shared" si="1"/>
        <v>0</v>
      </c>
    </row>
    <row r="128" spans="1:24">
      <c r="A128" s="334" t="s">
        <v>1204</v>
      </c>
      <c r="B128" s="336">
        <v>79432.676083339145</v>
      </c>
      <c r="C128" s="336">
        <v>79921.308245500186</v>
      </c>
      <c r="D128" s="336">
        <v>79819.685758955238</v>
      </c>
      <c r="E128" s="336">
        <v>94199.15027002705</v>
      </c>
      <c r="F128" s="336">
        <v>94191.495156326666</v>
      </c>
      <c r="G128" s="336">
        <v>94245.099936580184</v>
      </c>
      <c r="H128" s="336">
        <v>83823.148715037722</v>
      </c>
      <c r="I128" s="336">
        <v>84128.35470133234</v>
      </c>
      <c r="J128" s="336">
        <v>84153.286913741336</v>
      </c>
      <c r="K128" s="336">
        <v>90262.600081706551</v>
      </c>
      <c r="L128" s="336">
        <v>90691.688923107882</v>
      </c>
      <c r="M128" s="336">
        <v>90847.542424452433</v>
      </c>
      <c r="N128" s="336">
        <v>92269.134530733354</v>
      </c>
      <c r="O128" s="336">
        <v>92292.654688250739</v>
      </c>
      <c r="P128" s="336">
        <v>92392.407649739544</v>
      </c>
      <c r="Q128" s="336">
        <v>105324.13154474647</v>
      </c>
      <c r="R128" s="336">
        <v>105248.30431872318</v>
      </c>
      <c r="S128" s="336">
        <v>105393.5330190816</v>
      </c>
      <c r="T128" s="336">
        <v>101667.0861474058</v>
      </c>
      <c r="U128" s="336">
        <v>102025.0286923535</v>
      </c>
      <c r="V128" s="336">
        <v>102405.92328195565</v>
      </c>
      <c r="W128" s="336">
        <v>112426.16160339877</v>
      </c>
      <c r="X128" s="336">
        <f t="shared" si="1"/>
        <v>98711.245915819658</v>
      </c>
    </row>
    <row r="129" spans="1:24">
      <c r="A129" s="334" t="s">
        <v>1205</v>
      </c>
      <c r="B129" s="336">
        <v>79432.676083339145</v>
      </c>
      <c r="C129" s="336">
        <v>79921.308245500186</v>
      </c>
      <c r="D129" s="336">
        <v>79819.685758955238</v>
      </c>
      <c r="E129" s="336">
        <v>94199.15027002705</v>
      </c>
      <c r="F129" s="336">
        <v>94191.495156326666</v>
      </c>
      <c r="G129" s="336">
        <v>94245.099936580184</v>
      </c>
      <c r="H129" s="336">
        <v>83823.148715037722</v>
      </c>
      <c r="I129" s="336">
        <v>84128.35470133234</v>
      </c>
      <c r="J129" s="336">
        <v>84153.286913741336</v>
      </c>
      <c r="K129" s="336">
        <v>90262.600081706551</v>
      </c>
      <c r="L129" s="336">
        <v>90691.688923107882</v>
      </c>
      <c r="M129" s="336">
        <v>90847.542424452433</v>
      </c>
      <c r="N129" s="336">
        <v>92269.134530733354</v>
      </c>
      <c r="O129" s="336">
        <v>92292.654688250739</v>
      </c>
      <c r="P129" s="336">
        <v>92392.407649739544</v>
      </c>
      <c r="Q129" s="336">
        <v>105324.13154474647</v>
      </c>
      <c r="R129" s="336">
        <v>105248.30431872318</v>
      </c>
      <c r="S129" s="336">
        <v>105393.5330190816</v>
      </c>
      <c r="T129" s="336">
        <v>101667.0861474058</v>
      </c>
      <c r="U129" s="336">
        <v>102025.0286923535</v>
      </c>
      <c r="V129" s="336">
        <v>102405.92328195565</v>
      </c>
      <c r="W129" s="336">
        <v>112426.16160339877</v>
      </c>
      <c r="X129" s="336">
        <f t="shared" si="1"/>
        <v>98711.245915819658</v>
      </c>
    </row>
    <row r="130" spans="1:24">
      <c r="B130" s="358"/>
      <c r="C130" s="358"/>
      <c r="D130" s="358"/>
      <c r="E130" s="358"/>
      <c r="F130" s="358"/>
      <c r="G130" s="358"/>
      <c r="H130" s="358"/>
      <c r="I130" s="358"/>
      <c r="J130" s="358"/>
      <c r="K130" s="358"/>
      <c r="L130" s="358"/>
      <c r="M130" s="358"/>
      <c r="N130" s="358"/>
      <c r="O130" s="358"/>
      <c r="P130" s="358"/>
      <c r="Q130" s="358"/>
      <c r="R130" s="358"/>
      <c r="S130" s="358"/>
      <c r="T130" s="358"/>
      <c r="U130" s="358"/>
      <c r="V130" s="358"/>
      <c r="W130" s="358"/>
      <c r="X130" s="336">
        <f t="shared" si="1"/>
        <v>0</v>
      </c>
    </row>
    <row r="131" spans="1:24">
      <c r="A131" s="334" t="s">
        <v>1206</v>
      </c>
      <c r="B131" s="358"/>
      <c r="C131" s="358"/>
      <c r="D131" s="358"/>
      <c r="E131" s="358"/>
      <c r="F131" s="358"/>
      <c r="G131" s="358"/>
      <c r="H131" s="358"/>
      <c r="I131" s="358"/>
      <c r="J131" s="358"/>
      <c r="K131" s="358"/>
      <c r="L131" s="358"/>
      <c r="M131" s="358"/>
      <c r="N131" s="358"/>
      <c r="O131" s="358"/>
      <c r="P131" s="358"/>
      <c r="Q131" s="358"/>
      <c r="R131" s="358"/>
      <c r="S131" s="358"/>
      <c r="T131" s="358"/>
      <c r="U131" s="358"/>
      <c r="V131" s="358"/>
      <c r="W131" s="358"/>
      <c r="X131" s="336">
        <f t="shared" si="1"/>
        <v>0</v>
      </c>
    </row>
    <row r="132" spans="1:24">
      <c r="A132" s="334" t="s">
        <v>1207</v>
      </c>
      <c r="B132" s="336">
        <v>200078.80819108713</v>
      </c>
      <c r="C132" s="336">
        <v>202770.63290672764</v>
      </c>
      <c r="D132" s="336">
        <v>197433.1136141688</v>
      </c>
      <c r="E132" s="336">
        <v>199179.18301676138</v>
      </c>
      <c r="F132" s="336">
        <v>203236.65409413664</v>
      </c>
      <c r="G132" s="336">
        <v>202610.37139415252</v>
      </c>
      <c r="H132" s="336">
        <v>205016.20352068363</v>
      </c>
      <c r="I132" s="336">
        <v>207230.45032184458</v>
      </c>
      <c r="J132" s="336">
        <v>203100.71037526327</v>
      </c>
      <c r="K132" s="336">
        <v>206788.10014780279</v>
      </c>
      <c r="L132" s="336">
        <v>211223.20904810948</v>
      </c>
      <c r="M132" s="336">
        <v>210483.77595443584</v>
      </c>
      <c r="N132" s="336">
        <v>213057.80538089853</v>
      </c>
      <c r="O132" s="336">
        <v>214161.37802281711</v>
      </c>
      <c r="P132" s="336">
        <v>209764.71814916327</v>
      </c>
      <c r="Q132" s="336">
        <v>213043.98152517376</v>
      </c>
      <c r="R132" s="336">
        <v>216622.09055655953</v>
      </c>
      <c r="S132" s="336">
        <v>216384.99135422747</v>
      </c>
      <c r="T132" s="336">
        <v>218442.74305687295</v>
      </c>
      <c r="U132" s="336">
        <v>219953.10268511929</v>
      </c>
      <c r="V132" s="336">
        <v>216680.34884222996</v>
      </c>
      <c r="W132" s="336">
        <v>220991.74378009277</v>
      </c>
      <c r="X132" s="336">
        <f t="shared" si="1"/>
        <v>214430.61450026947</v>
      </c>
    </row>
    <row r="133" spans="1:24">
      <c r="A133" s="334" t="s">
        <v>1206</v>
      </c>
      <c r="B133" s="336">
        <v>200078.80819108713</v>
      </c>
      <c r="C133" s="336">
        <v>202770.63290672764</v>
      </c>
      <c r="D133" s="336">
        <v>197433.1136141688</v>
      </c>
      <c r="E133" s="336">
        <v>199179.18301676138</v>
      </c>
      <c r="F133" s="336">
        <v>203236.65409413664</v>
      </c>
      <c r="G133" s="336">
        <v>202610.37139415252</v>
      </c>
      <c r="H133" s="336">
        <v>205016.20352068363</v>
      </c>
      <c r="I133" s="336">
        <v>207230.45032184458</v>
      </c>
      <c r="J133" s="336">
        <v>203100.71037526327</v>
      </c>
      <c r="K133" s="336">
        <v>206788.10014780279</v>
      </c>
      <c r="L133" s="336">
        <v>211223.20904810948</v>
      </c>
      <c r="M133" s="336">
        <v>210483.77595443584</v>
      </c>
      <c r="N133" s="336">
        <v>213057.80538089853</v>
      </c>
      <c r="O133" s="336">
        <v>214161.37802281711</v>
      </c>
      <c r="P133" s="336">
        <v>209764.71814916327</v>
      </c>
      <c r="Q133" s="336">
        <v>213043.98152517376</v>
      </c>
      <c r="R133" s="336">
        <v>216622.09055655953</v>
      </c>
      <c r="S133" s="336">
        <v>216384.99135422747</v>
      </c>
      <c r="T133" s="336">
        <v>218442.74305687295</v>
      </c>
      <c r="U133" s="336">
        <v>219953.10268511929</v>
      </c>
      <c r="V133" s="336">
        <v>216680.34884222996</v>
      </c>
      <c r="W133" s="336">
        <v>220991.74378009277</v>
      </c>
      <c r="X133" s="336">
        <f t="shared" si="1"/>
        <v>214430.61450026947</v>
      </c>
    </row>
    <row r="134" spans="1:24">
      <c r="B134" s="358"/>
      <c r="C134" s="358"/>
      <c r="D134" s="358"/>
      <c r="E134" s="358"/>
      <c r="F134" s="358"/>
      <c r="G134" s="358"/>
      <c r="H134" s="358"/>
      <c r="I134" s="358"/>
      <c r="J134" s="358"/>
      <c r="K134" s="358"/>
      <c r="L134" s="358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36">
        <f t="shared" si="1"/>
        <v>0</v>
      </c>
    </row>
    <row r="135" spans="1:24">
      <c r="A135" s="334" t="s">
        <v>1208</v>
      </c>
      <c r="X135" s="336">
        <f t="shared" si="1"/>
        <v>0</v>
      </c>
    </row>
    <row r="136" spans="1:24">
      <c r="B136" s="358"/>
      <c r="C136" s="358"/>
      <c r="D136" s="358"/>
      <c r="E136" s="358"/>
      <c r="F136" s="358"/>
      <c r="G136" s="358"/>
      <c r="H136" s="358"/>
      <c r="I136" s="358"/>
      <c r="J136" s="358"/>
      <c r="K136" s="358"/>
      <c r="L136" s="358"/>
      <c r="M136" s="358"/>
      <c r="N136" s="358"/>
      <c r="O136" s="358"/>
      <c r="P136" s="358"/>
      <c r="Q136" s="358"/>
      <c r="R136" s="358"/>
      <c r="S136" s="358"/>
      <c r="T136" s="358"/>
      <c r="U136" s="358"/>
      <c r="V136" s="358"/>
      <c r="W136" s="358"/>
      <c r="X136" s="336">
        <f t="shared" si="1"/>
        <v>0</v>
      </c>
    </row>
    <row r="137" spans="1:24">
      <c r="B137" s="358"/>
      <c r="C137" s="358"/>
      <c r="D137" s="358"/>
      <c r="E137" s="358"/>
      <c r="F137" s="358"/>
      <c r="G137" s="358"/>
      <c r="H137" s="358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36">
        <f t="shared" si="1"/>
        <v>0</v>
      </c>
    </row>
    <row r="138" spans="1:24" ht="15.75" thickBot="1">
      <c r="A138" s="356" t="s">
        <v>1209</v>
      </c>
      <c r="B138" s="359">
        <v>352141.02839114622</v>
      </c>
      <c r="C138" s="359">
        <v>355768.26778879249</v>
      </c>
      <c r="D138" s="359">
        <v>350236.20713506814</v>
      </c>
      <c r="E138" s="359">
        <v>365925.67455950298</v>
      </c>
      <c r="F138" s="359">
        <v>369969.59494827606</v>
      </c>
      <c r="G138" s="359">
        <v>369438.20067362883</v>
      </c>
      <c r="H138" s="359">
        <v>361406.20851952466</v>
      </c>
      <c r="I138" s="359">
        <v>364189.88233999931</v>
      </c>
      <c r="J138" s="359">
        <v>360106.65876607934</v>
      </c>
      <c r="K138" s="359">
        <v>370137.34691191319</v>
      </c>
      <c r="L138" s="359">
        <v>375348.98273449275</v>
      </c>
      <c r="M138" s="359">
        <v>374891.59948236076</v>
      </c>
      <c r="N138" s="359">
        <v>379078.44846101885</v>
      </c>
      <c r="O138" s="359">
        <v>380224.34112356231</v>
      </c>
      <c r="P138" s="359">
        <v>376007.16760685493</v>
      </c>
      <c r="Q138" s="359">
        <v>392240.41049208381</v>
      </c>
      <c r="R138" s="359">
        <v>395689.50855587318</v>
      </c>
      <c r="S138" s="359">
        <v>395699.4986397858</v>
      </c>
      <c r="T138" s="359">
        <v>394010.57842643082</v>
      </c>
      <c r="U138" s="359">
        <v>396139.06531871646</v>
      </c>
      <c r="V138" s="359">
        <v>393524.07438744896</v>
      </c>
      <c r="W138" s="359">
        <v>408377.19416508125</v>
      </c>
      <c r="X138" s="336">
        <f t="shared" ref="X138:X201" si="2">SUM(K138:W138)/13</f>
        <v>387028.32433120173</v>
      </c>
    </row>
    <row r="139" spans="1:24">
      <c r="X139" s="336">
        <f t="shared" si="2"/>
        <v>0</v>
      </c>
    </row>
    <row r="140" spans="1:24">
      <c r="A140" s="356" t="s">
        <v>288</v>
      </c>
      <c r="B140" s="358"/>
      <c r="C140" s="358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8"/>
      <c r="V140" s="358"/>
      <c r="W140" s="358"/>
      <c r="X140" s="336">
        <f t="shared" si="2"/>
        <v>0</v>
      </c>
    </row>
    <row r="141" spans="1:24">
      <c r="A141" s="334" t="s">
        <v>1210</v>
      </c>
      <c r="B141" s="358"/>
      <c r="C141" s="358"/>
      <c r="D141" s="358"/>
      <c r="E141" s="358"/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358"/>
      <c r="R141" s="358"/>
      <c r="S141" s="358"/>
      <c r="T141" s="358"/>
      <c r="U141" s="358"/>
      <c r="V141" s="358"/>
      <c r="W141" s="358"/>
      <c r="X141" s="336">
        <f t="shared" si="2"/>
        <v>0</v>
      </c>
    </row>
    <row r="142" spans="1:24">
      <c r="A142" s="334" t="s">
        <v>1211</v>
      </c>
      <c r="B142" s="336">
        <v>37518.501890263768</v>
      </c>
      <c r="C142" s="336">
        <v>37749.297925392282</v>
      </c>
      <c r="D142" s="336">
        <v>37701.298491890513</v>
      </c>
      <c r="E142" s="336">
        <v>33201.854900215309</v>
      </c>
      <c r="F142" s="336">
        <v>33199.156744514366</v>
      </c>
      <c r="G142" s="336">
        <v>33218.050525730367</v>
      </c>
      <c r="H142" s="336">
        <v>33210.786096799195</v>
      </c>
      <c r="I142" s="336">
        <v>33331.708907283821</v>
      </c>
      <c r="J142" s="336">
        <v>33341.587066073225</v>
      </c>
      <c r="K142" s="336">
        <v>33448.672214885657</v>
      </c>
      <c r="L142" s="336">
        <v>33607.679954460036</v>
      </c>
      <c r="M142" s="336">
        <v>33665.434690921174</v>
      </c>
      <c r="N142" s="336">
        <v>33752.951418630408</v>
      </c>
      <c r="O142" s="336">
        <v>33761.555322179309</v>
      </c>
      <c r="P142" s="336">
        <v>33798.045930659813</v>
      </c>
      <c r="Q142" s="336">
        <v>33808.231385575215</v>
      </c>
      <c r="R142" s="336">
        <v>33783.891432659177</v>
      </c>
      <c r="S142" s="336">
        <v>33830.508721912192</v>
      </c>
      <c r="T142" s="336">
        <v>33821.252573096317</v>
      </c>
      <c r="U142" s="336">
        <v>33940.328133123483</v>
      </c>
      <c r="V142" s="336">
        <v>34067.039073771295</v>
      </c>
      <c r="W142" s="336">
        <v>34305.701434240204</v>
      </c>
      <c r="X142" s="336">
        <f t="shared" si="2"/>
        <v>33814.714791239559</v>
      </c>
    </row>
    <row r="143" spans="1:24">
      <c r="A143" s="334" t="s">
        <v>1212</v>
      </c>
      <c r="B143" s="336">
        <v>246489.71097708217</v>
      </c>
      <c r="C143" s="336">
        <v>248005.9988118117</v>
      </c>
      <c r="D143" s="336">
        <v>247690.65129272582</v>
      </c>
      <c r="E143" s="336">
        <v>246210.73145839167</v>
      </c>
      <c r="F143" s="336">
        <v>246190.723091669</v>
      </c>
      <c r="G143" s="336">
        <v>246330.83127861176</v>
      </c>
      <c r="H143" s="336">
        <v>246276.9613859161</v>
      </c>
      <c r="I143" s="336">
        <v>247173.67314219908</v>
      </c>
      <c r="J143" s="336">
        <v>247246.92533573799</v>
      </c>
      <c r="K143" s="336">
        <v>248041.02292145055</v>
      </c>
      <c r="L143" s="336">
        <v>249220.15619535386</v>
      </c>
      <c r="M143" s="336">
        <v>249648.44057741683</v>
      </c>
      <c r="N143" s="336">
        <v>293748.70342138479</v>
      </c>
      <c r="O143" s="336">
        <v>293823.58236991009</v>
      </c>
      <c r="P143" s="336">
        <v>294141.15664053487</v>
      </c>
      <c r="Q143" s="336">
        <v>294229.79967912572</v>
      </c>
      <c r="R143" s="336">
        <v>294017.97140011843</v>
      </c>
      <c r="S143" s="336">
        <v>294423.67720359773</v>
      </c>
      <c r="T143" s="336">
        <v>294343.1218269844</v>
      </c>
      <c r="U143" s="336">
        <v>295379.4250211356</v>
      </c>
      <c r="V143" s="336">
        <v>296482.17820153019</v>
      </c>
      <c r="W143" s="336">
        <v>298559.23386619519</v>
      </c>
      <c r="X143" s="336">
        <f t="shared" si="2"/>
        <v>284312.18994805677</v>
      </c>
    </row>
    <row r="144" spans="1:24">
      <c r="A144" s="334" t="s">
        <v>1213</v>
      </c>
      <c r="B144" s="360">
        <v>-759.46382642392189</v>
      </c>
      <c r="C144" s="360">
        <v>-761.45886229633561</v>
      </c>
      <c r="D144" s="360">
        <v>-757.90346069994359</v>
      </c>
      <c r="E144" s="360">
        <v>-750.71763636310891</v>
      </c>
      <c r="F144" s="360">
        <v>-747.99939660991504</v>
      </c>
      <c r="G144" s="360">
        <v>-746.02363935742278</v>
      </c>
      <c r="H144" s="360">
        <v>-743.20232871313442</v>
      </c>
      <c r="I144" s="360">
        <v>-743.32659824476787</v>
      </c>
      <c r="J144" s="360">
        <v>-740.87825739533764</v>
      </c>
      <c r="K144" s="360">
        <v>-740.66693781973231</v>
      </c>
      <c r="L144" s="360">
        <v>-741.49797756336807</v>
      </c>
      <c r="M144" s="360">
        <v>-740.07768745909857</v>
      </c>
      <c r="N144" s="360">
        <v>-739.38718405476743</v>
      </c>
      <c r="O144" s="360">
        <v>-736.87341346384699</v>
      </c>
      <c r="P144" s="360">
        <v>-735.05194702532253</v>
      </c>
      <c r="Q144" s="360">
        <v>-732.56748158044957</v>
      </c>
      <c r="R144" s="360">
        <v>-729.33604156137108</v>
      </c>
      <c r="S144" s="360">
        <v>-727.89670496965175</v>
      </c>
      <c r="T144" s="360">
        <v>-724.99052526129913</v>
      </c>
      <c r="U144" s="360">
        <v>-724.91409802514318</v>
      </c>
      <c r="V144" s="360">
        <v>-724.89375505884595</v>
      </c>
      <c r="W144" s="360">
        <v>-727.31489467887968</v>
      </c>
      <c r="X144" s="336">
        <f t="shared" si="2"/>
        <v>-732.72835757859809</v>
      </c>
    </row>
    <row r="145" spans="1:24">
      <c r="A145" s="334" t="s">
        <v>1210</v>
      </c>
      <c r="B145" s="336">
        <v>283248.74904092203</v>
      </c>
      <c r="C145" s="336">
        <v>284993.83787490759</v>
      </c>
      <c r="D145" s="336">
        <v>284634.04632391641</v>
      </c>
      <c r="E145" s="336">
        <v>278661.86872224387</v>
      </c>
      <c r="F145" s="336">
        <v>278641.88043957349</v>
      </c>
      <c r="G145" s="336">
        <v>278802.85816498473</v>
      </c>
      <c r="H145" s="336">
        <v>278744.54515400215</v>
      </c>
      <c r="I145" s="336">
        <v>279762.05545123812</v>
      </c>
      <c r="J145" s="336">
        <v>279847.63414441585</v>
      </c>
      <c r="K145" s="336">
        <v>280749.02819851646</v>
      </c>
      <c r="L145" s="336">
        <v>282086.33817225054</v>
      </c>
      <c r="M145" s="336">
        <v>282573.79758087889</v>
      </c>
      <c r="N145" s="336">
        <v>326762.26765596046</v>
      </c>
      <c r="O145" s="336">
        <v>326848.2642786256</v>
      </c>
      <c r="P145" s="336">
        <v>327204.15062416933</v>
      </c>
      <c r="Q145" s="336">
        <v>327305.46358312049</v>
      </c>
      <c r="R145" s="336">
        <v>327072.52679121622</v>
      </c>
      <c r="S145" s="336">
        <v>327526.28922054026</v>
      </c>
      <c r="T145" s="336">
        <v>327439.38387481938</v>
      </c>
      <c r="U145" s="336">
        <v>328594.83905623393</v>
      </c>
      <c r="V145" s="336">
        <v>329824.32352024259</v>
      </c>
      <c r="W145" s="336">
        <v>332137.62040575652</v>
      </c>
      <c r="X145" s="336">
        <f t="shared" si="2"/>
        <v>317394.17638171773</v>
      </c>
    </row>
    <row r="146" spans="1:24">
      <c r="B146" s="358"/>
      <c r="C146" s="358"/>
      <c r="D146" s="358"/>
      <c r="E146" s="358"/>
      <c r="F146" s="358"/>
      <c r="G146" s="358"/>
      <c r="H146" s="358"/>
      <c r="I146" s="358"/>
      <c r="J146" s="358"/>
      <c r="K146" s="358"/>
      <c r="L146" s="358"/>
      <c r="M146" s="358"/>
      <c r="N146" s="358"/>
      <c r="O146" s="358"/>
      <c r="P146" s="358"/>
      <c r="Q146" s="358"/>
      <c r="R146" s="358"/>
      <c r="S146" s="358"/>
      <c r="T146" s="358"/>
      <c r="U146" s="358"/>
      <c r="V146" s="358"/>
      <c r="W146" s="358"/>
      <c r="X146" s="336">
        <f t="shared" si="2"/>
        <v>0</v>
      </c>
    </row>
    <row r="147" spans="1:24">
      <c r="A147" s="334" t="s">
        <v>1214</v>
      </c>
      <c r="X147" s="336">
        <f t="shared" si="2"/>
        <v>0</v>
      </c>
    </row>
    <row r="148" spans="1:24">
      <c r="B148" s="358"/>
      <c r="C148" s="358"/>
      <c r="D148" s="358"/>
      <c r="E148" s="358"/>
      <c r="F148" s="358"/>
      <c r="G148" s="358"/>
      <c r="H148" s="358"/>
      <c r="I148" s="358"/>
      <c r="J148" s="358"/>
      <c r="K148" s="358"/>
      <c r="L148" s="358"/>
      <c r="M148" s="358"/>
      <c r="N148" s="358"/>
      <c r="O148" s="358"/>
      <c r="P148" s="358"/>
      <c r="Q148" s="358"/>
      <c r="R148" s="358"/>
      <c r="S148" s="358"/>
      <c r="T148" s="358"/>
      <c r="U148" s="358"/>
      <c r="V148" s="358"/>
      <c r="W148" s="358"/>
      <c r="X148" s="336">
        <f t="shared" si="2"/>
        <v>0</v>
      </c>
    </row>
    <row r="149" spans="1:24" ht="15.75" thickBot="1">
      <c r="A149" s="356" t="s">
        <v>1215</v>
      </c>
      <c r="B149" s="359">
        <v>283248.74904092203</v>
      </c>
      <c r="C149" s="359">
        <v>284993.83787490759</v>
      </c>
      <c r="D149" s="359">
        <v>284634.04632391641</v>
      </c>
      <c r="E149" s="359">
        <v>278661.86872224387</v>
      </c>
      <c r="F149" s="359">
        <v>278641.88043957349</v>
      </c>
      <c r="G149" s="359">
        <v>278802.85816498473</v>
      </c>
      <c r="H149" s="359">
        <v>278744.54515400215</v>
      </c>
      <c r="I149" s="359">
        <v>279762.05545123812</v>
      </c>
      <c r="J149" s="359">
        <v>279847.63414441585</v>
      </c>
      <c r="K149" s="359">
        <v>280749.02819851646</v>
      </c>
      <c r="L149" s="359">
        <v>282086.33817225054</v>
      </c>
      <c r="M149" s="359">
        <v>282573.79758087889</v>
      </c>
      <c r="N149" s="359">
        <v>326762.26765596046</v>
      </c>
      <c r="O149" s="359">
        <v>326848.2642786256</v>
      </c>
      <c r="P149" s="359">
        <v>327204.15062416933</v>
      </c>
      <c r="Q149" s="359">
        <v>327305.46358312049</v>
      </c>
      <c r="R149" s="359">
        <v>327072.52679121622</v>
      </c>
      <c r="S149" s="359">
        <v>327526.28922054026</v>
      </c>
      <c r="T149" s="359">
        <v>327439.38387481938</v>
      </c>
      <c r="U149" s="359">
        <v>328594.83905623393</v>
      </c>
      <c r="V149" s="359">
        <v>329824.32352024259</v>
      </c>
      <c r="W149" s="359">
        <v>332137.62040575652</v>
      </c>
      <c r="X149" s="336">
        <f t="shared" si="2"/>
        <v>317394.17638171773</v>
      </c>
    </row>
    <row r="150" spans="1:24">
      <c r="X150" s="336">
        <f t="shared" si="2"/>
        <v>0</v>
      </c>
    </row>
    <row r="151" spans="1:24">
      <c r="A151" s="356" t="s">
        <v>1216</v>
      </c>
      <c r="B151" s="364">
        <v>635389.77743206825</v>
      </c>
      <c r="C151" s="364">
        <v>640762.10566370003</v>
      </c>
      <c r="D151" s="364">
        <v>634870.25345898455</v>
      </c>
      <c r="E151" s="364">
        <v>644587.5432817468</v>
      </c>
      <c r="F151" s="364">
        <v>648611.47538784961</v>
      </c>
      <c r="G151" s="364">
        <v>648241.05883861356</v>
      </c>
      <c r="H151" s="364">
        <v>640150.75367352681</v>
      </c>
      <c r="I151" s="364">
        <v>643951.93779123737</v>
      </c>
      <c r="J151" s="364">
        <v>639954.29291049519</v>
      </c>
      <c r="K151" s="364">
        <v>650886.37511042971</v>
      </c>
      <c r="L151" s="364">
        <v>657435.32090674329</v>
      </c>
      <c r="M151" s="364">
        <v>657465.39706323971</v>
      </c>
      <c r="N151" s="364">
        <v>705840.71611697925</v>
      </c>
      <c r="O151" s="364">
        <v>707072.60540218791</v>
      </c>
      <c r="P151" s="364">
        <v>703211.31823102431</v>
      </c>
      <c r="Q151" s="364">
        <v>719545.87407520437</v>
      </c>
      <c r="R151" s="364">
        <v>722762.0353470894</v>
      </c>
      <c r="S151" s="364">
        <v>723225.787860326</v>
      </c>
      <c r="T151" s="364">
        <v>721449.9623012502</v>
      </c>
      <c r="U151" s="364">
        <v>724733.90437495033</v>
      </c>
      <c r="V151" s="364">
        <v>723348.39790769154</v>
      </c>
      <c r="W151" s="364">
        <v>740514.81457083777</v>
      </c>
      <c r="X151" s="336">
        <f t="shared" si="2"/>
        <v>704422.50071291975</v>
      </c>
    </row>
    <row r="152" spans="1:24">
      <c r="X152" s="336">
        <f t="shared" si="2"/>
        <v>0</v>
      </c>
    </row>
    <row r="153" spans="1:24">
      <c r="A153" s="356" t="s">
        <v>289</v>
      </c>
      <c r="B153" s="358"/>
      <c r="C153" s="358"/>
      <c r="D153" s="358"/>
      <c r="E153" s="358"/>
      <c r="F153" s="358"/>
      <c r="G153" s="358"/>
      <c r="H153" s="358"/>
      <c r="I153" s="358"/>
      <c r="J153" s="358"/>
      <c r="K153" s="358"/>
      <c r="L153" s="358"/>
      <c r="M153" s="358"/>
      <c r="N153" s="358"/>
      <c r="O153" s="358"/>
      <c r="P153" s="358"/>
      <c r="Q153" s="358"/>
      <c r="R153" s="358"/>
      <c r="S153" s="358"/>
      <c r="T153" s="358"/>
      <c r="U153" s="358"/>
      <c r="V153" s="358"/>
      <c r="W153" s="358"/>
      <c r="X153" s="336">
        <f t="shared" si="2"/>
        <v>0</v>
      </c>
    </row>
    <row r="154" spans="1:24">
      <c r="A154" s="334" t="s">
        <v>1217</v>
      </c>
      <c r="X154" s="336">
        <f t="shared" si="2"/>
        <v>0</v>
      </c>
    </row>
    <row r="155" spans="1:24">
      <c r="A155" s="334" t="s">
        <v>1808</v>
      </c>
      <c r="B155" s="336">
        <v>0</v>
      </c>
      <c r="C155" s="336">
        <v>0</v>
      </c>
      <c r="D155" s="336">
        <v>0</v>
      </c>
      <c r="E155" s="336">
        <v>0</v>
      </c>
      <c r="F155" s="336">
        <v>0</v>
      </c>
      <c r="G155" s="336">
        <v>0</v>
      </c>
      <c r="H155" s="336">
        <v>0</v>
      </c>
      <c r="I155" s="336">
        <v>0</v>
      </c>
      <c r="J155" s="336">
        <v>0</v>
      </c>
      <c r="K155" s="336">
        <v>0</v>
      </c>
      <c r="L155" s="336">
        <v>0</v>
      </c>
      <c r="M155" s="336">
        <v>0</v>
      </c>
      <c r="N155" s="336">
        <v>0</v>
      </c>
      <c r="O155" s="336">
        <v>0</v>
      </c>
      <c r="P155" s="336">
        <v>0</v>
      </c>
      <c r="Q155" s="336">
        <v>0</v>
      </c>
      <c r="R155" s="336">
        <v>0</v>
      </c>
      <c r="S155" s="336">
        <v>0</v>
      </c>
      <c r="T155" s="336">
        <v>0</v>
      </c>
      <c r="U155" s="336">
        <v>0</v>
      </c>
      <c r="V155" s="336">
        <v>0</v>
      </c>
      <c r="W155" s="336">
        <v>0</v>
      </c>
      <c r="X155" s="336">
        <f t="shared" si="2"/>
        <v>0</v>
      </c>
    </row>
    <row r="156" spans="1:24">
      <c r="A156" s="334" t="s">
        <v>1217</v>
      </c>
      <c r="B156" s="336">
        <v>0</v>
      </c>
      <c r="C156" s="336">
        <v>0</v>
      </c>
      <c r="D156" s="336">
        <v>0</v>
      </c>
      <c r="E156" s="336">
        <v>0</v>
      </c>
      <c r="F156" s="336">
        <v>0</v>
      </c>
      <c r="G156" s="336">
        <v>0</v>
      </c>
      <c r="H156" s="336">
        <v>0</v>
      </c>
      <c r="I156" s="336">
        <v>0</v>
      </c>
      <c r="J156" s="336">
        <v>0</v>
      </c>
      <c r="K156" s="336">
        <v>0</v>
      </c>
      <c r="L156" s="336">
        <v>0</v>
      </c>
      <c r="M156" s="336">
        <v>0</v>
      </c>
      <c r="N156" s="336">
        <v>0</v>
      </c>
      <c r="O156" s="336">
        <v>0</v>
      </c>
      <c r="P156" s="336">
        <v>0</v>
      </c>
      <c r="Q156" s="336">
        <v>0</v>
      </c>
      <c r="R156" s="336">
        <v>0</v>
      </c>
      <c r="S156" s="336">
        <v>0</v>
      </c>
      <c r="T156" s="336">
        <v>0</v>
      </c>
      <c r="U156" s="336">
        <v>0</v>
      </c>
      <c r="V156" s="336">
        <v>0</v>
      </c>
      <c r="W156" s="336">
        <v>0</v>
      </c>
      <c r="X156" s="336">
        <f t="shared" si="2"/>
        <v>0</v>
      </c>
    </row>
    <row r="157" spans="1:24">
      <c r="B157" s="358"/>
      <c r="C157" s="358"/>
      <c r="D157" s="358"/>
      <c r="E157" s="358"/>
      <c r="F157" s="358"/>
      <c r="G157" s="358"/>
      <c r="H157" s="358"/>
      <c r="I157" s="358"/>
      <c r="J157" s="358"/>
      <c r="K157" s="358"/>
      <c r="L157" s="358"/>
      <c r="M157" s="358"/>
      <c r="N157" s="358"/>
      <c r="O157" s="358"/>
      <c r="P157" s="358"/>
      <c r="Q157" s="358"/>
      <c r="R157" s="358"/>
      <c r="S157" s="358"/>
      <c r="T157" s="358"/>
      <c r="U157" s="358"/>
      <c r="V157" s="358"/>
      <c r="W157" s="358"/>
      <c r="X157" s="336">
        <f t="shared" si="2"/>
        <v>0</v>
      </c>
    </row>
    <row r="158" spans="1:24">
      <c r="A158" s="334" t="s">
        <v>1218</v>
      </c>
      <c r="B158" s="358"/>
      <c r="C158" s="358"/>
      <c r="D158" s="358"/>
      <c r="E158" s="358"/>
      <c r="F158" s="358"/>
      <c r="G158" s="358"/>
      <c r="H158" s="358"/>
      <c r="I158" s="358"/>
      <c r="J158" s="358"/>
      <c r="K158" s="358"/>
      <c r="L158" s="358"/>
      <c r="M158" s="358"/>
      <c r="N158" s="358"/>
      <c r="O158" s="358"/>
      <c r="P158" s="358"/>
      <c r="Q158" s="358"/>
      <c r="R158" s="358"/>
      <c r="S158" s="358"/>
      <c r="T158" s="358"/>
      <c r="U158" s="358"/>
      <c r="V158" s="358"/>
      <c r="W158" s="358"/>
      <c r="X158" s="336">
        <f t="shared" si="2"/>
        <v>0</v>
      </c>
    </row>
    <row r="159" spans="1:24">
      <c r="A159" s="334" t="s">
        <v>1219</v>
      </c>
      <c r="B159" s="336">
        <v>31678.575339598166</v>
      </c>
      <c r="C159" s="336">
        <v>37371.173762146165</v>
      </c>
      <c r="D159" s="336">
        <v>44911.329160755959</v>
      </c>
      <c r="E159" s="336">
        <v>46021.01373934171</v>
      </c>
      <c r="F159" s="336">
        <v>39083.267692581896</v>
      </c>
      <c r="G159" s="336">
        <v>30193.175960639575</v>
      </c>
      <c r="H159" s="336">
        <v>41388.764834240596</v>
      </c>
      <c r="I159" s="336">
        <v>44217.685153811515</v>
      </c>
      <c r="J159" s="336">
        <v>46682.341997233874</v>
      </c>
      <c r="K159" s="336">
        <v>47617.304831601949</v>
      </c>
      <c r="L159" s="336">
        <v>47356.373162580232</v>
      </c>
      <c r="M159" s="336">
        <v>46907.03246168905</v>
      </c>
      <c r="N159" s="336">
        <v>9122.9287596193717</v>
      </c>
      <c r="O159" s="336">
        <v>17793.244773018021</v>
      </c>
      <c r="P159" s="336">
        <v>25642.392456996822</v>
      </c>
      <c r="Q159" s="336">
        <v>20607.565362419191</v>
      </c>
      <c r="R159" s="336">
        <v>19192.595525235567</v>
      </c>
      <c r="S159" s="336">
        <v>13959.573257323975</v>
      </c>
      <c r="T159" s="336">
        <v>21786.223444143685</v>
      </c>
      <c r="U159" s="336">
        <v>28166.792306072744</v>
      </c>
      <c r="V159" s="336">
        <v>32432.864792291959</v>
      </c>
      <c r="W159" s="336">
        <v>30072.505820433824</v>
      </c>
      <c r="X159" s="336">
        <f t="shared" si="2"/>
        <v>27742.876688725104</v>
      </c>
    </row>
    <row r="160" spans="1:24">
      <c r="A160" s="334" t="s">
        <v>1218</v>
      </c>
      <c r="B160" s="336">
        <v>31678.575339598166</v>
      </c>
      <c r="C160" s="336">
        <v>37371.173762146165</v>
      </c>
      <c r="D160" s="336">
        <v>44911.329160755959</v>
      </c>
      <c r="E160" s="336">
        <v>46021.01373934171</v>
      </c>
      <c r="F160" s="336">
        <v>39083.267692581896</v>
      </c>
      <c r="G160" s="336">
        <v>30193.175960639575</v>
      </c>
      <c r="H160" s="336">
        <v>41388.764834240596</v>
      </c>
      <c r="I160" s="336">
        <v>44217.685153811515</v>
      </c>
      <c r="J160" s="336">
        <v>46682.341997233874</v>
      </c>
      <c r="K160" s="336">
        <v>47617.304831601949</v>
      </c>
      <c r="L160" s="336">
        <v>47356.373162580232</v>
      </c>
      <c r="M160" s="336">
        <v>46907.03246168905</v>
      </c>
      <c r="N160" s="336">
        <v>9122.9287596193717</v>
      </c>
      <c r="O160" s="336">
        <v>17793.244773018021</v>
      </c>
      <c r="P160" s="336">
        <v>25642.392456996822</v>
      </c>
      <c r="Q160" s="336">
        <v>20607.565362419191</v>
      </c>
      <c r="R160" s="336">
        <v>19192.595525235567</v>
      </c>
      <c r="S160" s="336">
        <v>13959.573257323975</v>
      </c>
      <c r="T160" s="336">
        <v>21786.223444143685</v>
      </c>
      <c r="U160" s="336">
        <v>28166.792306072744</v>
      </c>
      <c r="V160" s="336">
        <v>32432.864792291959</v>
      </c>
      <c r="W160" s="336">
        <v>30072.505820433824</v>
      </c>
      <c r="X160" s="336">
        <f t="shared" si="2"/>
        <v>27742.876688725104</v>
      </c>
    </row>
    <row r="161" spans="1:24">
      <c r="B161" s="358"/>
      <c r="C161" s="358"/>
      <c r="D161" s="358"/>
      <c r="E161" s="358"/>
      <c r="F161" s="358"/>
      <c r="G161" s="358"/>
      <c r="H161" s="358"/>
      <c r="I161" s="358"/>
      <c r="J161" s="358"/>
      <c r="K161" s="358"/>
      <c r="L161" s="358"/>
      <c r="M161" s="358"/>
      <c r="N161" s="358"/>
      <c r="O161" s="358"/>
      <c r="P161" s="358"/>
      <c r="Q161" s="358"/>
      <c r="R161" s="358"/>
      <c r="S161" s="358"/>
      <c r="T161" s="358"/>
      <c r="U161" s="358"/>
      <c r="V161" s="358"/>
      <c r="W161" s="358"/>
      <c r="X161" s="336">
        <f t="shared" si="2"/>
        <v>0</v>
      </c>
    </row>
    <row r="162" spans="1:24">
      <c r="A162" s="334" t="s">
        <v>1220</v>
      </c>
      <c r="B162" s="358"/>
      <c r="C162" s="358"/>
      <c r="D162" s="358"/>
      <c r="E162" s="358"/>
      <c r="F162" s="358"/>
      <c r="G162" s="358"/>
      <c r="H162" s="358"/>
      <c r="I162" s="358"/>
      <c r="J162" s="358"/>
      <c r="K162" s="358"/>
      <c r="L162" s="358"/>
      <c r="M162" s="358"/>
      <c r="N162" s="358"/>
      <c r="O162" s="358"/>
      <c r="P162" s="358"/>
      <c r="Q162" s="358"/>
      <c r="R162" s="358"/>
      <c r="S162" s="358"/>
      <c r="T162" s="358"/>
      <c r="U162" s="358"/>
      <c r="V162" s="358"/>
      <c r="W162" s="358"/>
      <c r="X162" s="336">
        <f t="shared" si="2"/>
        <v>0</v>
      </c>
    </row>
    <row r="163" spans="1:24">
      <c r="A163" s="334" t="s">
        <v>1221</v>
      </c>
      <c r="B163" s="336">
        <v>0</v>
      </c>
      <c r="C163" s="336">
        <v>0</v>
      </c>
      <c r="D163" s="336">
        <v>0</v>
      </c>
      <c r="E163" s="336">
        <v>0</v>
      </c>
      <c r="F163" s="336">
        <v>0</v>
      </c>
      <c r="G163" s="336">
        <v>0</v>
      </c>
      <c r="H163" s="336">
        <v>0</v>
      </c>
      <c r="I163" s="336">
        <v>0</v>
      </c>
      <c r="J163" s="336">
        <v>0</v>
      </c>
      <c r="K163" s="336">
        <v>0</v>
      </c>
      <c r="L163" s="336">
        <v>0</v>
      </c>
      <c r="M163" s="336">
        <v>0</v>
      </c>
      <c r="N163" s="336">
        <v>0</v>
      </c>
      <c r="O163" s="336">
        <v>0</v>
      </c>
      <c r="P163" s="336">
        <v>0</v>
      </c>
      <c r="Q163" s="336">
        <v>0</v>
      </c>
      <c r="R163" s="336">
        <v>0</v>
      </c>
      <c r="S163" s="336">
        <v>0</v>
      </c>
      <c r="T163" s="336">
        <v>0</v>
      </c>
      <c r="U163" s="336">
        <v>0</v>
      </c>
      <c r="V163" s="336">
        <v>0</v>
      </c>
      <c r="W163" s="336">
        <v>0</v>
      </c>
      <c r="X163" s="336">
        <f t="shared" si="2"/>
        <v>0</v>
      </c>
    </row>
    <row r="164" spans="1:24">
      <c r="A164" s="334" t="s">
        <v>1222</v>
      </c>
      <c r="B164" s="336">
        <v>1499.7563891007258</v>
      </c>
      <c r="C164" s="336">
        <v>1508.9821793328495</v>
      </c>
      <c r="D164" s="336">
        <v>1507.0634604757361</v>
      </c>
      <c r="E164" s="336">
        <v>1498.0589498286126</v>
      </c>
      <c r="F164" s="336">
        <v>1497.9372097539101</v>
      </c>
      <c r="G164" s="336">
        <v>1498.7896921869487</v>
      </c>
      <c r="H164" s="336">
        <v>1498.4619230665653</v>
      </c>
      <c r="I164" s="336">
        <v>1503.9179284322099</v>
      </c>
      <c r="J164" s="336">
        <v>1504.3636283555054</v>
      </c>
      <c r="K164" s="336">
        <v>1509.1952820704657</v>
      </c>
      <c r="L164" s="336">
        <v>1516.3696694074777</v>
      </c>
      <c r="M164" s="336">
        <v>1518.9755479076587</v>
      </c>
      <c r="N164" s="336">
        <v>1522.924279615527</v>
      </c>
      <c r="O164" s="336">
        <v>1523.3124854779294</v>
      </c>
      <c r="P164" s="336">
        <v>1524.9589321232509</v>
      </c>
      <c r="Q164" s="336">
        <v>1525.4184971668292</v>
      </c>
      <c r="R164" s="336">
        <v>1524.3202849008619</v>
      </c>
      <c r="S164" s="336">
        <v>1526.4236447159117</v>
      </c>
      <c r="T164" s="336">
        <v>1526.0060097188236</v>
      </c>
      <c r="U164" s="336">
        <v>1531.3786676302768</v>
      </c>
      <c r="V164" s="336">
        <v>1537.0958319046565</v>
      </c>
      <c r="W164" s="336">
        <v>1547.8642147604394</v>
      </c>
      <c r="X164" s="336">
        <f t="shared" si="2"/>
        <v>1525.7110267230851</v>
      </c>
    </row>
    <row r="165" spans="1:24">
      <c r="A165" s="334" t="s">
        <v>1223</v>
      </c>
      <c r="B165" s="336">
        <v>0</v>
      </c>
      <c r="C165" s="336">
        <v>0</v>
      </c>
      <c r="D165" s="336">
        <v>0</v>
      </c>
      <c r="E165" s="336">
        <v>0</v>
      </c>
      <c r="F165" s="336">
        <v>0</v>
      </c>
      <c r="G165" s="336">
        <v>0</v>
      </c>
      <c r="H165" s="336">
        <v>0</v>
      </c>
      <c r="I165" s="336">
        <v>0</v>
      </c>
      <c r="J165" s="336">
        <v>0</v>
      </c>
      <c r="K165" s="336">
        <v>0</v>
      </c>
      <c r="L165" s="336">
        <v>0</v>
      </c>
      <c r="M165" s="336">
        <v>0</v>
      </c>
      <c r="N165" s="336">
        <v>0</v>
      </c>
      <c r="O165" s="336">
        <v>0</v>
      </c>
      <c r="P165" s="336">
        <v>0</v>
      </c>
      <c r="Q165" s="336">
        <v>0</v>
      </c>
      <c r="R165" s="336">
        <v>0</v>
      </c>
      <c r="S165" s="336">
        <v>0</v>
      </c>
      <c r="T165" s="336">
        <v>0</v>
      </c>
      <c r="U165" s="336">
        <v>0</v>
      </c>
      <c r="V165" s="336">
        <v>0</v>
      </c>
      <c r="W165" s="336">
        <v>0</v>
      </c>
      <c r="X165" s="336">
        <f t="shared" si="2"/>
        <v>0</v>
      </c>
    </row>
    <row r="166" spans="1:24">
      <c r="A166" s="334" t="s">
        <v>1224</v>
      </c>
      <c r="X166" s="336">
        <f t="shared" si="2"/>
        <v>0</v>
      </c>
    </row>
    <row r="167" spans="1:24">
      <c r="A167" s="334" t="s">
        <v>1225</v>
      </c>
      <c r="B167" s="336">
        <v>17122.834961903362</v>
      </c>
      <c r="C167" s="336">
        <v>17386.138148409813</v>
      </c>
      <c r="D167" s="336">
        <v>17303.123124855563</v>
      </c>
      <c r="E167" s="336">
        <v>17532.896305754843</v>
      </c>
      <c r="F167" s="336">
        <v>17187.014626858487</v>
      </c>
      <c r="G167" s="336">
        <v>17030.781836851329</v>
      </c>
      <c r="H167" s="336">
        <v>17012.693144055516</v>
      </c>
      <c r="I167" s="336">
        <v>16182.958205654453</v>
      </c>
      <c r="J167" s="336">
        <v>15869.309816233123</v>
      </c>
      <c r="K167" s="336">
        <v>16404.415320954005</v>
      </c>
      <c r="L167" s="336">
        <v>16966.354447744634</v>
      </c>
      <c r="M167" s="336">
        <v>17306.595320440672</v>
      </c>
      <c r="N167" s="336">
        <v>17306.516263463614</v>
      </c>
      <c r="O167" s="336">
        <v>17253.775748481647</v>
      </c>
      <c r="P167" s="336">
        <v>17021.515863528155</v>
      </c>
      <c r="Q167" s="336">
        <v>17060.480284490397</v>
      </c>
      <c r="R167" s="336">
        <v>17420.451594627833</v>
      </c>
      <c r="S167" s="336">
        <v>17301.491025093572</v>
      </c>
      <c r="T167" s="336">
        <v>17284.366569965248</v>
      </c>
      <c r="U167" s="336">
        <v>16420.520582450928</v>
      </c>
      <c r="V167" s="336">
        <v>16177.36524952758</v>
      </c>
      <c r="W167" s="336">
        <v>16770.978186551642</v>
      </c>
      <c r="X167" s="336">
        <f t="shared" si="2"/>
        <v>16976.525112101535</v>
      </c>
    </row>
    <row r="168" spans="1:24" ht="15.75" thickBot="1">
      <c r="A168" s="334" t="s">
        <v>1226</v>
      </c>
      <c r="B168" s="335">
        <v>102.4864241287346</v>
      </c>
      <c r="C168" s="335">
        <v>205.09956700667055</v>
      </c>
      <c r="D168" s="335">
        <v>303.98198792178641</v>
      </c>
      <c r="E168" s="335">
        <v>551.65468847635123</v>
      </c>
      <c r="F168" s="335">
        <v>658.30825792361179</v>
      </c>
      <c r="G168" s="335">
        <v>756.44282889534691</v>
      </c>
      <c r="H168" s="335">
        <v>-494.57217029635416</v>
      </c>
      <c r="I168" s="335">
        <v>-401.40445484128725</v>
      </c>
      <c r="J168" s="335">
        <v>-292.51891596373298</v>
      </c>
      <c r="K168" s="335">
        <v>-191.00896243351809</v>
      </c>
      <c r="L168" s="335">
        <v>-96.861019709800146</v>
      </c>
      <c r="M168" s="335">
        <v>18.961801736673383</v>
      </c>
      <c r="N168" s="335">
        <v>121.94070754263205</v>
      </c>
      <c r="O168" s="335">
        <v>234.81990543859533</v>
      </c>
      <c r="P168" s="335">
        <v>339.67200240561749</v>
      </c>
      <c r="Q168" s="335">
        <v>433.29652382187248</v>
      </c>
      <c r="R168" s="335">
        <v>548.33908970457867</v>
      </c>
      <c r="S168" s="335">
        <v>650.75071268919294</v>
      </c>
      <c r="T168" s="335">
        <v>-497.75743717084833</v>
      </c>
      <c r="U168" s="335">
        <v>-395.3952617643526</v>
      </c>
      <c r="V168" s="335">
        <v>-282.29124240260353</v>
      </c>
      <c r="W168" s="335">
        <v>-181.06226207125661</v>
      </c>
      <c r="X168" s="336">
        <f t="shared" si="2"/>
        <v>54.1080429066756</v>
      </c>
    </row>
    <row r="169" spans="1:24">
      <c r="A169" s="334" t="s">
        <v>1220</v>
      </c>
      <c r="B169" s="336">
        <v>18725.077775132824</v>
      </c>
      <c r="C169" s="336">
        <v>19100.219894749331</v>
      </c>
      <c r="D169" s="336">
        <v>19114.168573253086</v>
      </c>
      <c r="E169" s="336">
        <v>19582.609944059808</v>
      </c>
      <c r="F169" s="336">
        <v>19343.260094536006</v>
      </c>
      <c r="G169" s="336">
        <v>19286.014357933625</v>
      </c>
      <c r="H169" s="336">
        <v>18016.58289682573</v>
      </c>
      <c r="I169" s="336">
        <v>17285.471679245376</v>
      </c>
      <c r="J169" s="336">
        <v>17081.154528624895</v>
      </c>
      <c r="K169" s="336">
        <v>17722.60164059095</v>
      </c>
      <c r="L169" s="336">
        <v>18385.863097442314</v>
      </c>
      <c r="M169" s="336">
        <v>18844.532670085006</v>
      </c>
      <c r="N169" s="336">
        <v>18951.381250621773</v>
      </c>
      <c r="O169" s="336">
        <v>19011.908139398172</v>
      </c>
      <c r="P169" s="336">
        <v>18886.146798057023</v>
      </c>
      <c r="Q169" s="336">
        <v>19019.195305479097</v>
      </c>
      <c r="R169" s="336">
        <v>19493.110969233276</v>
      </c>
      <c r="S169" s="336">
        <v>19478.665382498679</v>
      </c>
      <c r="T169" s="336">
        <v>18312.615142513227</v>
      </c>
      <c r="U169" s="336">
        <v>17556.503988316854</v>
      </c>
      <c r="V169" s="336">
        <v>17432.169839029633</v>
      </c>
      <c r="W169" s="336">
        <v>18137.780139240826</v>
      </c>
      <c r="X169" s="336">
        <f t="shared" si="2"/>
        <v>18556.344181731292</v>
      </c>
    </row>
    <row r="170" spans="1:24">
      <c r="B170" s="358"/>
      <c r="C170" s="358"/>
      <c r="D170" s="358"/>
      <c r="E170" s="358"/>
      <c r="F170" s="358"/>
      <c r="G170" s="358"/>
      <c r="H170" s="358"/>
      <c r="I170" s="358"/>
      <c r="J170" s="358"/>
      <c r="K170" s="358"/>
      <c r="L170" s="358"/>
      <c r="M170" s="358"/>
      <c r="N170" s="358"/>
      <c r="O170" s="358"/>
      <c r="P170" s="358"/>
      <c r="Q170" s="358"/>
      <c r="R170" s="358"/>
      <c r="S170" s="358"/>
      <c r="T170" s="358"/>
      <c r="U170" s="358"/>
      <c r="V170" s="358"/>
      <c r="W170" s="358"/>
      <c r="X170" s="336">
        <f t="shared" si="2"/>
        <v>0</v>
      </c>
    </row>
    <row r="171" spans="1:24">
      <c r="A171" s="334" t="s">
        <v>1227</v>
      </c>
      <c r="B171" s="358"/>
      <c r="C171" s="358"/>
      <c r="D171" s="358"/>
      <c r="E171" s="358"/>
      <c r="F171" s="358"/>
      <c r="G171" s="358"/>
      <c r="H171" s="358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36">
        <f t="shared" si="2"/>
        <v>0</v>
      </c>
    </row>
    <row r="172" spans="1:24">
      <c r="A172" s="334" t="s">
        <v>1228</v>
      </c>
      <c r="B172" s="336">
        <v>60.810657103440029</v>
      </c>
      <c r="C172" s="336">
        <v>-27.485764962073581</v>
      </c>
      <c r="D172" s="336">
        <v>-41.691139881829827</v>
      </c>
      <c r="E172" s="336">
        <v>-58.446553596979498</v>
      </c>
      <c r="F172" s="336">
        <v>43.944344188507031</v>
      </c>
      <c r="G172" s="336">
        <v>95.945116764980241</v>
      </c>
      <c r="H172" s="336">
        <v>152.34060690868509</v>
      </c>
      <c r="I172" s="336">
        <v>458.78750532009605</v>
      </c>
      <c r="J172" s="336">
        <v>398.60090015340307</v>
      </c>
      <c r="K172" s="336">
        <v>535.3900694056282</v>
      </c>
      <c r="L172" s="336">
        <v>555.55264819217098</v>
      </c>
      <c r="M172" s="336">
        <v>577.05047377203459</v>
      </c>
      <c r="N172" s="336">
        <v>523.92422166642928</v>
      </c>
      <c r="O172" s="336">
        <v>583.65147423647568</v>
      </c>
      <c r="P172" s="336">
        <v>535.08447962851994</v>
      </c>
      <c r="Q172" s="336">
        <v>571.07638342334042</v>
      </c>
      <c r="R172" s="336">
        <v>647.05964904891493</v>
      </c>
      <c r="S172" s="336">
        <v>784.40786247172605</v>
      </c>
      <c r="T172" s="336">
        <v>828.24493949778878</v>
      </c>
      <c r="U172" s="336">
        <v>884.12941135655444</v>
      </c>
      <c r="V172" s="336">
        <v>1143.5588363745089</v>
      </c>
      <c r="W172" s="336">
        <v>1182.1581965306468</v>
      </c>
      <c r="X172" s="336">
        <f t="shared" si="2"/>
        <v>719.32989581574907</v>
      </c>
    </row>
    <row r="173" spans="1:24" ht="15.75" thickBot="1">
      <c r="A173" s="334" t="s">
        <v>1229</v>
      </c>
      <c r="B173" s="335">
        <v>3717.6311550449182</v>
      </c>
      <c r="C173" s="335">
        <v>3701.5314026440305</v>
      </c>
      <c r="D173" s="335">
        <v>3696.8247876821561</v>
      </c>
      <c r="E173" s="335">
        <v>3713.4235029437737</v>
      </c>
      <c r="F173" s="335">
        <v>3674.4381060513779</v>
      </c>
      <c r="G173" s="335">
        <v>3676.5292443956955</v>
      </c>
      <c r="H173" s="335">
        <v>3776.246207666512</v>
      </c>
      <c r="I173" s="335">
        <v>3689.1088015051137</v>
      </c>
      <c r="J173" s="335">
        <v>3690.2021028607096</v>
      </c>
      <c r="K173" s="335">
        <v>3803.295147389354</v>
      </c>
      <c r="L173" s="335">
        <v>3719.6529065772625</v>
      </c>
      <c r="M173" s="335">
        <v>3726.0451232859846</v>
      </c>
      <c r="N173" s="335">
        <v>3837.8933404542158</v>
      </c>
      <c r="O173" s="335">
        <v>3736.6836257332175</v>
      </c>
      <c r="P173" s="335">
        <v>3740.7223572993712</v>
      </c>
      <c r="Q173" s="335">
        <v>3844.1789720236352</v>
      </c>
      <c r="R173" s="335">
        <v>3739.1557564599043</v>
      </c>
      <c r="S173" s="335">
        <v>3744.3152954611592</v>
      </c>
      <c r="T173" s="335">
        <v>3830.7225442705312</v>
      </c>
      <c r="U173" s="335">
        <v>3756.4699604860648</v>
      </c>
      <c r="V173" s="335">
        <v>3770.494157315909</v>
      </c>
      <c r="W173" s="335">
        <v>3885.5930482508097</v>
      </c>
      <c r="X173" s="336">
        <f t="shared" si="2"/>
        <v>3779.6324796159556</v>
      </c>
    </row>
    <row r="174" spans="1:24">
      <c r="A174" s="334" t="s">
        <v>1227</v>
      </c>
      <c r="B174" s="336">
        <v>3778.4418121483582</v>
      </c>
      <c r="C174" s="336">
        <v>3674.045637681957</v>
      </c>
      <c r="D174" s="336">
        <v>3655.1336478003263</v>
      </c>
      <c r="E174" s="336">
        <v>3654.9769493467943</v>
      </c>
      <c r="F174" s="336">
        <v>3718.3824502398847</v>
      </c>
      <c r="G174" s="336">
        <v>3772.4743611606759</v>
      </c>
      <c r="H174" s="336">
        <v>3928.586814575197</v>
      </c>
      <c r="I174" s="336">
        <v>4147.8963068252096</v>
      </c>
      <c r="J174" s="336">
        <v>4088.8030030141126</v>
      </c>
      <c r="K174" s="336">
        <v>4338.6852167949819</v>
      </c>
      <c r="L174" s="336">
        <v>4275.2055547694335</v>
      </c>
      <c r="M174" s="336">
        <v>4303.0955970580189</v>
      </c>
      <c r="N174" s="336">
        <v>4361.8175621206447</v>
      </c>
      <c r="O174" s="336">
        <v>4320.3350999696931</v>
      </c>
      <c r="P174" s="336">
        <v>4275.8068369278908</v>
      </c>
      <c r="Q174" s="336">
        <v>4415.255355446976</v>
      </c>
      <c r="R174" s="336">
        <v>4386.2154055088195</v>
      </c>
      <c r="S174" s="336">
        <v>4528.7231579328854</v>
      </c>
      <c r="T174" s="336">
        <v>4658.9674837683197</v>
      </c>
      <c r="U174" s="336">
        <v>4640.5993718426189</v>
      </c>
      <c r="V174" s="336">
        <v>4914.0529936904177</v>
      </c>
      <c r="W174" s="336">
        <v>5067.751244781457</v>
      </c>
      <c r="X174" s="336">
        <f t="shared" si="2"/>
        <v>4498.9623754317054</v>
      </c>
    </row>
    <row r="175" spans="1:24">
      <c r="B175" s="358"/>
      <c r="C175" s="358"/>
      <c r="D175" s="358"/>
      <c r="E175" s="358"/>
      <c r="F175" s="358"/>
      <c r="G175" s="358"/>
      <c r="H175" s="358"/>
      <c r="I175" s="358"/>
      <c r="J175" s="358"/>
      <c r="K175" s="358"/>
      <c r="L175" s="358"/>
      <c r="M175" s="358"/>
      <c r="N175" s="358"/>
      <c r="O175" s="358"/>
      <c r="P175" s="358"/>
      <c r="Q175" s="358"/>
      <c r="R175" s="358"/>
      <c r="S175" s="358"/>
      <c r="T175" s="358"/>
      <c r="U175" s="358"/>
      <c r="V175" s="358"/>
      <c r="W175" s="358"/>
      <c r="X175" s="336">
        <f t="shared" si="2"/>
        <v>0</v>
      </c>
    </row>
    <row r="176" spans="1:24">
      <c r="A176" s="334" t="s">
        <v>1230</v>
      </c>
      <c r="B176" s="336">
        <v>4498.067312073149</v>
      </c>
      <c r="C176" s="336">
        <v>4525.7372895259814</v>
      </c>
      <c r="D176" s="336">
        <v>4519.9826705525529</v>
      </c>
      <c r="E176" s="336">
        <v>4492.9763545285705</v>
      </c>
      <c r="F176" s="336">
        <v>4492.6112318629375</v>
      </c>
      <c r="G176" s="336">
        <v>4495.1679960107913</v>
      </c>
      <c r="H176" s="336">
        <v>4494.1849513129873</v>
      </c>
      <c r="I176" s="336">
        <v>4510.5485951474484</v>
      </c>
      <c r="J176" s="336">
        <v>4511.8853377481391</v>
      </c>
      <c r="K176" s="336">
        <v>4526.3764269653357</v>
      </c>
      <c r="L176" s="336">
        <v>4547.8938396593503</v>
      </c>
      <c r="M176" s="336">
        <v>4555.7093868949423</v>
      </c>
      <c r="N176" s="336">
        <v>4567.5524176353947</v>
      </c>
      <c r="O176" s="336">
        <v>4568.7167241272473</v>
      </c>
      <c r="P176" s="336">
        <v>4573.6547446552568</v>
      </c>
      <c r="Q176" s="336">
        <v>4575.0330715057462</v>
      </c>
      <c r="R176" s="336">
        <v>4571.739314778878</v>
      </c>
      <c r="S176" s="336">
        <v>4578.0477086609508</v>
      </c>
      <c r="T176" s="336">
        <v>4576.7951383485779</v>
      </c>
      <c r="U176" s="336">
        <v>4592.9088066123613</v>
      </c>
      <c r="V176" s="336">
        <v>4610.0557178889048</v>
      </c>
      <c r="W176" s="336">
        <v>4642.3522370299434</v>
      </c>
      <c r="X176" s="336">
        <f t="shared" si="2"/>
        <v>4575.9104257509916</v>
      </c>
    </row>
    <row r="177" spans="1:24">
      <c r="B177" s="358"/>
      <c r="C177" s="358"/>
      <c r="D177" s="358"/>
      <c r="E177" s="358"/>
      <c r="F177" s="358"/>
      <c r="G177" s="358"/>
      <c r="H177" s="358"/>
      <c r="I177" s="358"/>
      <c r="J177" s="358"/>
      <c r="K177" s="358"/>
      <c r="L177" s="358"/>
      <c r="M177" s="358"/>
      <c r="N177" s="358"/>
      <c r="O177" s="358"/>
      <c r="P177" s="358"/>
      <c r="Q177" s="358"/>
      <c r="R177" s="358"/>
      <c r="S177" s="358"/>
      <c r="T177" s="358"/>
      <c r="U177" s="358"/>
      <c r="V177" s="358"/>
      <c r="W177" s="358"/>
      <c r="X177" s="336">
        <f t="shared" si="2"/>
        <v>0</v>
      </c>
    </row>
    <row r="178" spans="1:24">
      <c r="A178" s="334" t="s">
        <v>1231</v>
      </c>
      <c r="B178" s="336">
        <v>3928.5663857004979</v>
      </c>
      <c r="C178" s="336">
        <v>3781.4456470553769</v>
      </c>
      <c r="D178" s="336">
        <v>4887.2498876143663</v>
      </c>
      <c r="E178" s="336">
        <v>521.94176670480863</v>
      </c>
      <c r="F178" s="336">
        <v>3563.3140405778786</v>
      </c>
      <c r="G178" s="336">
        <v>6078.9993340039282</v>
      </c>
      <c r="H178" s="336">
        <v>3419.8948116363358</v>
      </c>
      <c r="I178" s="336">
        <v>2832.1197281981717</v>
      </c>
      <c r="J178" s="336">
        <v>4679.1426149271419</v>
      </c>
      <c r="K178" s="336">
        <v>3122.4185225601923</v>
      </c>
      <c r="L178" s="336">
        <v>5788.4863709096644</v>
      </c>
      <c r="M178" s="336">
        <v>8345.0189552332704</v>
      </c>
      <c r="N178" s="336">
        <v>4612.9641562022343</v>
      </c>
      <c r="O178" s="336">
        <v>4059.118853147846</v>
      </c>
      <c r="P178" s="336">
        <v>4710.776218910949</v>
      </c>
      <c r="Q178" s="336">
        <v>531.47419703830838</v>
      </c>
      <c r="R178" s="336">
        <v>3407.772609592691</v>
      </c>
      <c r="S178" s="336">
        <v>5791.9029283268055</v>
      </c>
      <c r="T178" s="336">
        <v>3698.831166252618</v>
      </c>
      <c r="U178" s="336">
        <v>2967.5599419046598</v>
      </c>
      <c r="V178" s="336">
        <v>4546.3016749071885</v>
      </c>
      <c r="W178" s="336">
        <v>4228.8291405945847</v>
      </c>
      <c r="X178" s="336">
        <f t="shared" si="2"/>
        <v>4293.1888258139243</v>
      </c>
    </row>
    <row r="179" spans="1:24">
      <c r="B179" s="358"/>
      <c r="C179" s="358"/>
      <c r="D179" s="358"/>
      <c r="E179" s="358"/>
      <c r="F179" s="358"/>
      <c r="G179" s="358"/>
      <c r="H179" s="358"/>
      <c r="I179" s="358"/>
      <c r="J179" s="358"/>
      <c r="K179" s="358"/>
      <c r="L179" s="358"/>
      <c r="M179" s="358"/>
      <c r="N179" s="358"/>
      <c r="O179" s="358"/>
      <c r="P179" s="358"/>
      <c r="Q179" s="358"/>
      <c r="R179" s="358"/>
      <c r="S179" s="358"/>
      <c r="T179" s="358"/>
      <c r="U179" s="358"/>
      <c r="V179" s="358"/>
      <c r="W179" s="358"/>
      <c r="X179" s="336">
        <f t="shared" si="2"/>
        <v>0</v>
      </c>
    </row>
    <row r="180" spans="1:24">
      <c r="A180" s="334" t="s">
        <v>1232</v>
      </c>
      <c r="X180" s="336">
        <f t="shared" si="2"/>
        <v>0</v>
      </c>
    </row>
    <row r="181" spans="1:24">
      <c r="A181" s="334" t="s">
        <v>1233</v>
      </c>
      <c r="B181" s="336">
        <v>4082.0417013810552</v>
      </c>
      <c r="C181" s="336">
        <v>3068.7034305326911</v>
      </c>
      <c r="D181" s="336">
        <v>1483.2171468219744</v>
      </c>
      <c r="E181" s="336">
        <v>1954.7564804756428</v>
      </c>
      <c r="F181" s="336">
        <v>2701.5324352027669</v>
      </c>
      <c r="G181" s="336">
        <v>3316.9591771749392</v>
      </c>
      <c r="H181" s="336">
        <v>4063.4302466814288</v>
      </c>
      <c r="I181" s="336">
        <v>3039.9100778627653</v>
      </c>
      <c r="J181" s="336">
        <v>1480.5600342323009</v>
      </c>
      <c r="K181" s="336">
        <v>1969.4735099979398</v>
      </c>
      <c r="L181" s="336">
        <v>2735.4090362670495</v>
      </c>
      <c r="M181" s="336">
        <v>3362.5279936109732</v>
      </c>
      <c r="N181" s="336">
        <v>4236.1198929120437</v>
      </c>
      <c r="O181" s="336">
        <v>3290.9773021390033</v>
      </c>
      <c r="P181" s="336">
        <v>1818.5200672306007</v>
      </c>
      <c r="Q181" s="336">
        <v>2411.3614425489459</v>
      </c>
      <c r="R181" s="336">
        <v>3275.6446448789607</v>
      </c>
      <c r="S181" s="336">
        <v>4010.5069231983471</v>
      </c>
      <c r="T181" s="336">
        <v>4140.6466361797948</v>
      </c>
      <c r="U181" s="336">
        <v>3205.1705027419835</v>
      </c>
      <c r="V181" s="336">
        <v>1727.0089776293178</v>
      </c>
      <c r="W181" s="336">
        <v>2342.3381757251045</v>
      </c>
      <c r="X181" s="336">
        <f t="shared" si="2"/>
        <v>2963.5157773123128</v>
      </c>
    </row>
    <row r="182" spans="1:24" ht="15.75" thickBot="1">
      <c r="A182" s="334" t="s">
        <v>1234</v>
      </c>
      <c r="B182" s="335">
        <v>0</v>
      </c>
      <c r="C182" s="335">
        <v>0</v>
      </c>
      <c r="D182" s="335">
        <v>0</v>
      </c>
      <c r="E182" s="335">
        <v>0</v>
      </c>
      <c r="F182" s="335">
        <v>0</v>
      </c>
      <c r="G182" s="335">
        <v>0</v>
      </c>
      <c r="H182" s="335">
        <v>0</v>
      </c>
      <c r="I182" s="335">
        <v>0</v>
      </c>
      <c r="J182" s="335">
        <v>0</v>
      </c>
      <c r="K182" s="335">
        <v>0</v>
      </c>
      <c r="L182" s="335">
        <v>0</v>
      </c>
      <c r="M182" s="335">
        <v>0</v>
      </c>
      <c r="N182" s="335">
        <v>0</v>
      </c>
      <c r="O182" s="335">
        <v>0</v>
      </c>
      <c r="P182" s="335">
        <v>0</v>
      </c>
      <c r="Q182" s="335">
        <v>0</v>
      </c>
      <c r="R182" s="335">
        <v>0</v>
      </c>
      <c r="S182" s="335">
        <v>0</v>
      </c>
      <c r="T182" s="335">
        <v>0</v>
      </c>
      <c r="U182" s="335">
        <v>0</v>
      </c>
      <c r="V182" s="335">
        <v>0</v>
      </c>
      <c r="W182" s="335">
        <v>0</v>
      </c>
      <c r="X182" s="336">
        <f t="shared" si="2"/>
        <v>0</v>
      </c>
    </row>
    <row r="183" spans="1:24">
      <c r="A183" s="334" t="s">
        <v>1232</v>
      </c>
      <c r="B183" s="336">
        <v>4082.0417013810552</v>
      </c>
      <c r="C183" s="336">
        <v>3068.7034305326911</v>
      </c>
      <c r="D183" s="336">
        <v>1483.2171468219744</v>
      </c>
      <c r="E183" s="336">
        <v>1954.7564804756428</v>
      </c>
      <c r="F183" s="336">
        <v>2701.5324352027669</v>
      </c>
      <c r="G183" s="336">
        <v>3316.9591771749392</v>
      </c>
      <c r="H183" s="336">
        <v>4063.4302466814288</v>
      </c>
      <c r="I183" s="336">
        <v>3039.9100778627653</v>
      </c>
      <c r="J183" s="336">
        <v>1480.5600342323009</v>
      </c>
      <c r="K183" s="336">
        <v>1969.4735099979398</v>
      </c>
      <c r="L183" s="336">
        <v>2735.4090362670495</v>
      </c>
      <c r="M183" s="336">
        <v>3362.5279936109732</v>
      </c>
      <c r="N183" s="336">
        <v>4236.1198929120437</v>
      </c>
      <c r="O183" s="336">
        <v>3290.9773021390033</v>
      </c>
      <c r="P183" s="336">
        <v>1818.5200672306007</v>
      </c>
      <c r="Q183" s="336">
        <v>2411.3614425489459</v>
      </c>
      <c r="R183" s="336">
        <v>3275.6446448789607</v>
      </c>
      <c r="S183" s="336">
        <v>4010.5069231983471</v>
      </c>
      <c r="T183" s="336">
        <v>4140.6466361797948</v>
      </c>
      <c r="U183" s="336">
        <v>3205.1705027419835</v>
      </c>
      <c r="V183" s="336">
        <v>1727.0089776293178</v>
      </c>
      <c r="W183" s="336">
        <v>2342.3381757251045</v>
      </c>
      <c r="X183" s="336">
        <f t="shared" si="2"/>
        <v>2963.5157773123128</v>
      </c>
    </row>
    <row r="184" spans="1:24">
      <c r="B184" s="358"/>
      <c r="C184" s="358"/>
      <c r="D184" s="358"/>
      <c r="E184" s="358"/>
      <c r="F184" s="358"/>
      <c r="G184" s="358"/>
      <c r="H184" s="358"/>
      <c r="I184" s="358"/>
      <c r="J184" s="358"/>
      <c r="K184" s="358"/>
      <c r="L184" s="358"/>
      <c r="M184" s="358"/>
      <c r="N184" s="358"/>
      <c r="O184" s="358"/>
      <c r="P184" s="358"/>
      <c r="Q184" s="358"/>
      <c r="R184" s="358"/>
      <c r="S184" s="358"/>
      <c r="T184" s="358"/>
      <c r="U184" s="358"/>
      <c r="V184" s="358"/>
      <c r="W184" s="358"/>
      <c r="X184" s="336">
        <f t="shared" si="2"/>
        <v>0</v>
      </c>
    </row>
    <row r="185" spans="1:24">
      <c r="A185" s="334" t="s">
        <v>1235</v>
      </c>
      <c r="B185" s="336">
        <v>0</v>
      </c>
      <c r="C185" s="336">
        <v>0</v>
      </c>
      <c r="D185" s="336">
        <v>6865.86548412927</v>
      </c>
      <c r="E185" s="336">
        <v>3.2922283420450411E-6</v>
      </c>
      <c r="F185" s="336">
        <v>0</v>
      </c>
      <c r="G185" s="336">
        <v>4000.5352249401972</v>
      </c>
      <c r="H185" s="336">
        <v>-1.9775506389801584E-6</v>
      </c>
      <c r="I185" s="336">
        <v>0</v>
      </c>
      <c r="J185" s="336">
        <v>6384.0615185416336</v>
      </c>
      <c r="K185" s="336">
        <v>2.0698337905885562E-6</v>
      </c>
      <c r="L185" s="336">
        <v>0</v>
      </c>
      <c r="M185" s="336">
        <v>4388.4220940523674</v>
      </c>
      <c r="N185" s="336">
        <v>1.4798522251226734E-7</v>
      </c>
      <c r="O185" s="336">
        <v>0</v>
      </c>
      <c r="P185" s="336">
        <v>5720.0951633240547</v>
      </c>
      <c r="Q185" s="336">
        <v>-1.4363755896030063E-6</v>
      </c>
      <c r="R185" s="336">
        <v>0</v>
      </c>
      <c r="S185" s="336">
        <v>3485.6797313298994</v>
      </c>
      <c r="T185" s="336">
        <v>-1.990880044492774E-6</v>
      </c>
      <c r="U185" s="336">
        <v>0</v>
      </c>
      <c r="V185" s="336">
        <v>5762.5073839570123</v>
      </c>
      <c r="W185" s="336">
        <v>1.7111177967323167E-6</v>
      </c>
      <c r="X185" s="336">
        <f t="shared" si="2"/>
        <v>1488.9772594742317</v>
      </c>
    </row>
    <row r="186" spans="1:24">
      <c r="B186" s="358"/>
      <c r="C186" s="358"/>
      <c r="D186" s="358"/>
      <c r="E186" s="358"/>
      <c r="F186" s="358"/>
      <c r="G186" s="358"/>
      <c r="H186" s="358"/>
      <c r="I186" s="358"/>
      <c r="J186" s="358"/>
      <c r="K186" s="358"/>
      <c r="L186" s="358"/>
      <c r="M186" s="358"/>
      <c r="N186" s="358"/>
      <c r="O186" s="358"/>
      <c r="P186" s="358"/>
      <c r="Q186" s="358"/>
      <c r="R186" s="358"/>
      <c r="S186" s="358"/>
      <c r="T186" s="358"/>
      <c r="U186" s="358"/>
      <c r="V186" s="358"/>
      <c r="W186" s="358"/>
      <c r="X186" s="336">
        <f t="shared" si="2"/>
        <v>0</v>
      </c>
    </row>
    <row r="187" spans="1:24">
      <c r="A187" s="334" t="s">
        <v>1236</v>
      </c>
      <c r="B187" s="358"/>
      <c r="C187" s="358"/>
      <c r="D187" s="358"/>
      <c r="E187" s="358"/>
      <c r="F187" s="358"/>
      <c r="G187" s="358"/>
      <c r="H187" s="358"/>
      <c r="I187" s="358"/>
      <c r="J187" s="358"/>
      <c r="K187" s="358"/>
      <c r="L187" s="358"/>
      <c r="M187" s="358"/>
      <c r="N187" s="358"/>
      <c r="O187" s="358"/>
      <c r="P187" s="358"/>
      <c r="Q187" s="358"/>
      <c r="R187" s="358"/>
      <c r="S187" s="358"/>
      <c r="T187" s="358"/>
      <c r="U187" s="358"/>
      <c r="V187" s="358"/>
      <c r="W187" s="358"/>
      <c r="X187" s="336">
        <f t="shared" si="2"/>
        <v>0</v>
      </c>
    </row>
    <row r="188" spans="1:24">
      <c r="A188" s="334" t="s">
        <v>1237</v>
      </c>
      <c r="B188" s="336">
        <v>231.37303587261079</v>
      </c>
      <c r="C188" s="336">
        <v>232.79633308930758</v>
      </c>
      <c r="D188" s="336">
        <v>232.50032514416222</v>
      </c>
      <c r="E188" s="336">
        <v>231.1111655579034</v>
      </c>
      <c r="F188" s="336">
        <v>231.09238426057001</v>
      </c>
      <c r="G188" s="336">
        <v>231.22389991870867</v>
      </c>
      <c r="H188" s="336">
        <v>231.17333374876299</v>
      </c>
      <c r="I188" s="336">
        <v>232.01505213340238</v>
      </c>
      <c r="J188" s="336">
        <v>232.08381193005368</v>
      </c>
      <c r="K188" s="336">
        <v>232.82920924687113</v>
      </c>
      <c r="L188" s="336">
        <v>233.93602885487815</v>
      </c>
      <c r="M188" s="336">
        <v>234.33804749209401</v>
      </c>
      <c r="N188" s="336">
        <v>234.94723312366432</v>
      </c>
      <c r="O188" s="336">
        <v>235.00712309618274</v>
      </c>
      <c r="P188" s="336">
        <v>235.26112658734888</v>
      </c>
      <c r="Q188" s="336">
        <v>235.33202540804163</v>
      </c>
      <c r="R188" s="336">
        <v>235.16260008813234</v>
      </c>
      <c r="S188" s="336">
        <v>235.48709328547909</v>
      </c>
      <c r="T188" s="336">
        <v>235.42266317011826</v>
      </c>
      <c r="U188" s="336">
        <v>236.25152323080005</v>
      </c>
      <c r="V188" s="336">
        <v>237.13353157852833</v>
      </c>
      <c r="W188" s="336">
        <v>238.79481033745733</v>
      </c>
      <c r="X188" s="336">
        <f t="shared" si="2"/>
        <v>235.37715503843049</v>
      </c>
    </row>
    <row r="189" spans="1:24">
      <c r="A189" s="334" t="s">
        <v>1238</v>
      </c>
      <c r="B189" s="336">
        <v>23.324268449146562</v>
      </c>
      <c r="C189" s="336">
        <v>23.467748290001644</v>
      </c>
      <c r="D189" s="336">
        <v>23.437908301302823</v>
      </c>
      <c r="E189" s="336">
        <v>23.297869808976319</v>
      </c>
      <c r="F189" s="336">
        <v>23.2959765027007</v>
      </c>
      <c r="G189" s="336">
        <v>23.309234341947711</v>
      </c>
      <c r="H189" s="336">
        <v>23.304136864111495</v>
      </c>
      <c r="I189" s="336">
        <v>23.388988867232207</v>
      </c>
      <c r="J189" s="336">
        <v>23.395920409404159</v>
      </c>
      <c r="K189" s="336">
        <v>23.47106247188847</v>
      </c>
      <c r="L189" s="336">
        <v>23.58263881683537</v>
      </c>
      <c r="M189" s="336">
        <v>23.623165538458824</v>
      </c>
      <c r="N189" s="336">
        <v>23.684576364281813</v>
      </c>
      <c r="O189" s="336">
        <v>23.690613756630338</v>
      </c>
      <c r="P189" s="336">
        <v>23.716219357527759</v>
      </c>
      <c r="Q189" s="336">
        <v>23.723366530578108</v>
      </c>
      <c r="R189" s="336">
        <v>23.706287091616073</v>
      </c>
      <c r="S189" s="336">
        <v>23.738998623520789</v>
      </c>
      <c r="T189" s="336">
        <v>23.73250354814946</v>
      </c>
      <c r="U189" s="336">
        <v>23.816059328490095</v>
      </c>
      <c r="V189" s="336">
        <v>23.904972884900054</v>
      </c>
      <c r="W189" s="336">
        <v>24.072443184954633</v>
      </c>
      <c r="X189" s="336">
        <f t="shared" si="2"/>
        <v>23.727915961371675</v>
      </c>
    </row>
    <row r="190" spans="1:24">
      <c r="A190" s="334" t="s">
        <v>1239</v>
      </c>
      <c r="B190" s="336">
        <v>848.994610927395</v>
      </c>
      <c r="C190" s="336">
        <v>850.54408954740097</v>
      </c>
      <c r="D190" s="336">
        <v>845.79413248351648</v>
      </c>
      <c r="E190" s="336">
        <v>869.87274843217472</v>
      </c>
      <c r="F190" s="336">
        <v>865.85232854899664</v>
      </c>
      <c r="G190" s="336">
        <v>862.39311148976549</v>
      </c>
      <c r="H190" s="336">
        <v>899.41759834357458</v>
      </c>
      <c r="I190" s="336">
        <v>898.33347438359203</v>
      </c>
      <c r="J190" s="336">
        <v>894.23944519715883</v>
      </c>
      <c r="K190" s="336">
        <v>912.3097189097532</v>
      </c>
      <c r="L190" s="336">
        <v>912.05878549844067</v>
      </c>
      <c r="M190" s="336">
        <v>909.03041650612784</v>
      </c>
      <c r="N190" s="336">
        <v>945.11378255490354</v>
      </c>
      <c r="O190" s="336">
        <v>940.3585882555949</v>
      </c>
      <c r="P190" s="336">
        <v>936.37344749856743</v>
      </c>
      <c r="Q190" s="336">
        <v>951.42346958351709</v>
      </c>
      <c r="R190" s="336">
        <v>945.53328490610295</v>
      </c>
      <c r="S190" s="336">
        <v>941.62559759957514</v>
      </c>
      <c r="T190" s="336">
        <v>942.38766289276339</v>
      </c>
      <c r="U190" s="336">
        <v>940.4090064676609</v>
      </c>
      <c r="V190" s="336">
        <v>938.60355284806872</v>
      </c>
      <c r="W190" s="336">
        <v>939.82552867820937</v>
      </c>
      <c r="X190" s="336">
        <f t="shared" si="2"/>
        <v>935.00406478456034</v>
      </c>
    </row>
    <row r="191" spans="1:24">
      <c r="A191" s="334" t="s">
        <v>1240</v>
      </c>
      <c r="B191" s="336">
        <v>137.90376379129955</v>
      </c>
      <c r="C191" s="336">
        <v>138.75208236237211</v>
      </c>
      <c r="D191" s="336">
        <v>138.57565467453145</v>
      </c>
      <c r="E191" s="336">
        <v>137.74768293301301</v>
      </c>
      <c r="F191" s="336">
        <v>137.73648883867361</v>
      </c>
      <c r="G191" s="336">
        <v>137.81487525991932</v>
      </c>
      <c r="H191" s="336">
        <v>137.78473663495066</v>
      </c>
      <c r="I191" s="336">
        <v>138.28642056219107</v>
      </c>
      <c r="J191" s="336">
        <v>138.32740301600197</v>
      </c>
      <c r="K191" s="336">
        <v>138.77167732446398</v>
      </c>
      <c r="L191" s="336">
        <v>139.43136780743893</v>
      </c>
      <c r="M191" s="336">
        <v>139.67098035769669</v>
      </c>
      <c r="N191" s="336">
        <v>140.03406930245765</v>
      </c>
      <c r="O191" s="336">
        <v>140.06976513275393</v>
      </c>
      <c r="P191" s="336">
        <v>140.22115717943663</v>
      </c>
      <c r="Q191" s="336">
        <v>140.2634145418169</v>
      </c>
      <c r="R191" s="336">
        <v>140.16243307174665</v>
      </c>
      <c r="S191" s="336">
        <v>140.35583863895124</v>
      </c>
      <c r="T191" s="336">
        <v>140.31743677688351</v>
      </c>
      <c r="U191" s="336">
        <v>140.81145684103325</v>
      </c>
      <c r="V191" s="336">
        <v>141.33715453259157</v>
      </c>
      <c r="W191" s="336">
        <v>142.32731569246408</v>
      </c>
      <c r="X191" s="336">
        <f t="shared" si="2"/>
        <v>140.29031286151809</v>
      </c>
    </row>
    <row r="192" spans="1:24">
      <c r="A192" s="334" t="s">
        <v>1241</v>
      </c>
      <c r="B192" s="336">
        <v>594.04573024503281</v>
      </c>
      <c r="C192" s="336">
        <v>597.70001792492428</v>
      </c>
      <c r="D192" s="336">
        <v>596.94002333320782</v>
      </c>
      <c r="E192" s="336">
        <v>593.37338334971219</v>
      </c>
      <c r="F192" s="336">
        <v>593.32516273728311</v>
      </c>
      <c r="G192" s="336">
        <v>593.66282660931984</v>
      </c>
      <c r="H192" s="336">
        <v>593.53299896005296</v>
      </c>
      <c r="I192" s="336">
        <v>595.69409439875858</v>
      </c>
      <c r="J192" s="336">
        <v>595.87063382764745</v>
      </c>
      <c r="K192" s="336">
        <v>597.78442681446427</v>
      </c>
      <c r="L192" s="336">
        <v>600.62616444308765</v>
      </c>
      <c r="M192" s="336">
        <v>601.65833940684831</v>
      </c>
      <c r="N192" s="336">
        <v>603.22241156415976</v>
      </c>
      <c r="O192" s="336">
        <v>603.3761778936065</v>
      </c>
      <c r="P192" s="336">
        <v>604.02832687382579</v>
      </c>
      <c r="Q192" s="336">
        <v>604.21035820497502</v>
      </c>
      <c r="R192" s="336">
        <v>603.77536202010015</v>
      </c>
      <c r="S192" s="336">
        <v>604.60849193798538</v>
      </c>
      <c r="T192" s="336">
        <v>604.44306888086487</v>
      </c>
      <c r="U192" s="336">
        <v>606.57115082507949</v>
      </c>
      <c r="V192" s="336">
        <v>608.83568995355847</v>
      </c>
      <c r="W192" s="336">
        <v>613.10099057411946</v>
      </c>
      <c r="X192" s="336">
        <f t="shared" si="2"/>
        <v>604.32622764559051</v>
      </c>
    </row>
    <row r="193" spans="1:24">
      <c r="A193" s="334" t="s">
        <v>1242</v>
      </c>
      <c r="B193" s="336">
        <v>1166.3011596109272</v>
      </c>
      <c r="C193" s="336">
        <v>1173.4756913710519</v>
      </c>
      <c r="D193" s="336">
        <v>1171.9835796892603</v>
      </c>
      <c r="E193" s="336">
        <v>1164.9811283006277</v>
      </c>
      <c r="F193" s="336">
        <v>1164.8864558649382</v>
      </c>
      <c r="G193" s="336">
        <v>1165.5493976983098</v>
      </c>
      <c r="H193" s="336">
        <v>1165.2945046316984</v>
      </c>
      <c r="I193" s="336">
        <v>1169.5374239691585</v>
      </c>
      <c r="J193" s="336">
        <v>1169.8840271516192</v>
      </c>
      <c r="K193" s="336">
        <v>1173.6414129321029</v>
      </c>
      <c r="L193" s="336">
        <v>1179.2206498878274</v>
      </c>
      <c r="M193" s="336">
        <v>1181.2471384153334</v>
      </c>
      <c r="N193" s="336">
        <v>1184.3179107109866</v>
      </c>
      <c r="O193" s="336">
        <v>1184.6198030388193</v>
      </c>
      <c r="P193" s="336">
        <v>1185.9001794023613</v>
      </c>
      <c r="Q193" s="336">
        <v>1186.2575649398643</v>
      </c>
      <c r="R193" s="336">
        <v>1185.4035287453164</v>
      </c>
      <c r="S193" s="336">
        <v>1187.0392283890715</v>
      </c>
      <c r="T193" s="336">
        <v>1186.7144501884666</v>
      </c>
      <c r="U193" s="336">
        <v>1190.8925535110186</v>
      </c>
      <c r="V193" s="336">
        <v>1195.3385657909821</v>
      </c>
      <c r="W193" s="336">
        <v>1203.7127107541949</v>
      </c>
      <c r="X193" s="336">
        <f t="shared" si="2"/>
        <v>1186.485053592796</v>
      </c>
    </row>
    <row r="194" spans="1:24">
      <c r="A194" s="334" t="s">
        <v>1243</v>
      </c>
      <c r="B194" s="336">
        <v>224.40308924387216</v>
      </c>
      <c r="C194" s="336">
        <v>225.78351065354246</v>
      </c>
      <c r="D194" s="336">
        <v>225.49641973527349</v>
      </c>
      <c r="E194" s="336">
        <v>224.14910758442781</v>
      </c>
      <c r="F194" s="336">
        <v>224.13089206019561</v>
      </c>
      <c r="G194" s="336">
        <v>224.25844590353327</v>
      </c>
      <c r="H194" s="336">
        <v>224.20940300316138</v>
      </c>
      <c r="I194" s="336">
        <v>225.02576522563933</v>
      </c>
      <c r="J194" s="336">
        <v>225.09245368277155</v>
      </c>
      <c r="K194" s="336">
        <v>225.81539644045756</v>
      </c>
      <c r="L194" s="336">
        <v>226.88887390223584</v>
      </c>
      <c r="M194" s="336">
        <v>227.27878201656995</v>
      </c>
      <c r="N194" s="336">
        <v>227.86961636825569</v>
      </c>
      <c r="O194" s="336">
        <v>227.92770219834034</v>
      </c>
      <c r="P194" s="336">
        <v>228.1740540166559</v>
      </c>
      <c r="Q194" s="336">
        <v>228.24281706126564</v>
      </c>
      <c r="R194" s="336">
        <v>228.07849555750707</v>
      </c>
      <c r="S194" s="336">
        <v>228.39321363020127</v>
      </c>
      <c r="T194" s="336">
        <v>228.33072442581849</v>
      </c>
      <c r="U194" s="336">
        <v>229.13461567211849</v>
      </c>
      <c r="V194" s="336">
        <v>229.99005415146701</v>
      </c>
      <c r="W194" s="336">
        <v>231.60128808023018</v>
      </c>
      <c r="X194" s="336">
        <f t="shared" si="2"/>
        <v>228.28658719393255</v>
      </c>
    </row>
    <row r="195" spans="1:24">
      <c r="A195" s="334" t="s">
        <v>1244</v>
      </c>
      <c r="B195" s="336">
        <v>1049.6939826535906</v>
      </c>
      <c r="C195" s="336">
        <v>1056.151202347578</v>
      </c>
      <c r="D195" s="336">
        <v>1054.8082724868666</v>
      </c>
      <c r="E195" s="336">
        <v>1048.5059285117272</v>
      </c>
      <c r="F195" s="336">
        <v>1048.4207214575738</v>
      </c>
      <c r="G195" s="336">
        <v>1049.0173821464575</v>
      </c>
      <c r="H195" s="336">
        <v>1048.7879733732284</v>
      </c>
      <c r="I195" s="336">
        <v>1052.6066842273804</v>
      </c>
      <c r="J195" s="336">
        <v>1052.9186339086436</v>
      </c>
      <c r="K195" s="336">
        <v>1056.3003550119629</v>
      </c>
      <c r="L195" s="336">
        <v>1061.3217780054686</v>
      </c>
      <c r="M195" s="336">
        <v>1063.1456575375348</v>
      </c>
      <c r="N195" s="336">
        <v>1065.9094130000792</v>
      </c>
      <c r="O195" s="336">
        <v>1066.1811220327968</v>
      </c>
      <c r="P195" s="336">
        <v>1067.3334859426384</v>
      </c>
      <c r="Q195" s="336">
        <v>1067.6551399555087</v>
      </c>
      <c r="R195" s="336">
        <v>1066.8864905830906</v>
      </c>
      <c r="S195" s="336">
        <v>1068.3586524336808</v>
      </c>
      <c r="T195" s="336">
        <v>1068.0663456653454</v>
      </c>
      <c r="U195" s="336">
        <v>1071.8267208312682</v>
      </c>
      <c r="V195" s="336">
        <v>1075.8282193281386</v>
      </c>
      <c r="W195" s="336">
        <v>1083.3651144990959</v>
      </c>
      <c r="X195" s="336">
        <f t="shared" si="2"/>
        <v>1067.8598842174315</v>
      </c>
    </row>
    <row r="196" spans="1:24">
      <c r="A196" s="334" t="s">
        <v>1809</v>
      </c>
      <c r="B196" s="336">
        <v>0</v>
      </c>
      <c r="C196" s="336">
        <v>0</v>
      </c>
      <c r="D196" s="336">
        <v>0</v>
      </c>
      <c r="E196" s="336">
        <v>0</v>
      </c>
      <c r="F196" s="336">
        <v>0</v>
      </c>
      <c r="G196" s="336">
        <v>0</v>
      </c>
      <c r="H196" s="336">
        <v>0</v>
      </c>
      <c r="I196" s="336">
        <v>0</v>
      </c>
      <c r="J196" s="336">
        <v>0</v>
      </c>
      <c r="K196" s="336">
        <v>0</v>
      </c>
      <c r="L196" s="336">
        <v>0</v>
      </c>
      <c r="M196" s="336">
        <v>0</v>
      </c>
      <c r="N196" s="336">
        <v>0</v>
      </c>
      <c r="O196" s="336">
        <v>0</v>
      </c>
      <c r="P196" s="336">
        <v>0</v>
      </c>
      <c r="Q196" s="336">
        <v>0</v>
      </c>
      <c r="R196" s="336">
        <v>0</v>
      </c>
      <c r="S196" s="336">
        <v>0</v>
      </c>
      <c r="T196" s="336">
        <v>0</v>
      </c>
      <c r="U196" s="336">
        <v>0</v>
      </c>
      <c r="V196" s="336">
        <v>0</v>
      </c>
      <c r="W196" s="336">
        <v>0</v>
      </c>
      <c r="X196" s="336">
        <f t="shared" si="2"/>
        <v>0</v>
      </c>
    </row>
    <row r="197" spans="1:24">
      <c r="A197" s="334" t="s">
        <v>1245</v>
      </c>
      <c r="B197" s="336">
        <v>4076.4861886952704</v>
      </c>
      <c r="C197" s="336">
        <v>3998.5094017077377</v>
      </c>
      <c r="D197" s="336">
        <v>3890.5028081919904</v>
      </c>
      <c r="E197" s="336">
        <v>1545.2517415857149</v>
      </c>
      <c r="F197" s="336">
        <v>1454.5941699794612</v>
      </c>
      <c r="G197" s="336">
        <v>1364.8384671609476</v>
      </c>
      <c r="H197" s="336">
        <v>1273.9762828208629</v>
      </c>
      <c r="I197" s="336">
        <v>1187.7214624181534</v>
      </c>
      <c r="J197" s="336">
        <v>1097.153059748209</v>
      </c>
      <c r="K197" s="336">
        <v>1009.464441901681</v>
      </c>
      <c r="L197" s="336">
        <v>922.6172038111074</v>
      </c>
      <c r="M197" s="336">
        <v>832.39921297814021</v>
      </c>
      <c r="N197" s="336">
        <v>742.52096016865698</v>
      </c>
      <c r="O197" s="336">
        <v>650.64461316022368</v>
      </c>
      <c r="P197" s="336">
        <v>559.18272217802371</v>
      </c>
      <c r="Q197" s="336">
        <v>467.15833439252441</v>
      </c>
      <c r="R197" s="336">
        <v>377.12576889830774</v>
      </c>
      <c r="S197" s="336">
        <v>287.82614476113173</v>
      </c>
      <c r="T197" s="336">
        <v>197.95196189193589</v>
      </c>
      <c r="U197" s="336">
        <v>108.5373194246548</v>
      </c>
      <c r="V197" s="336">
        <v>18.494530828191074</v>
      </c>
      <c r="W197" s="336">
        <v>-72.457547059801797</v>
      </c>
      <c r="X197" s="336">
        <f t="shared" si="2"/>
        <v>469.34351287190594</v>
      </c>
    </row>
    <row r="198" spans="1:24">
      <c r="A198" s="334" t="s">
        <v>1246</v>
      </c>
      <c r="B198" s="336">
        <v>0</v>
      </c>
      <c r="C198" s="336">
        <v>0</v>
      </c>
      <c r="D198" s="336">
        <v>0</v>
      </c>
      <c r="E198" s="336">
        <v>0</v>
      </c>
      <c r="F198" s="336">
        <v>0</v>
      </c>
      <c r="G198" s="336">
        <v>0</v>
      </c>
      <c r="H198" s="336">
        <v>0</v>
      </c>
      <c r="I198" s="336">
        <v>0</v>
      </c>
      <c r="J198" s="336">
        <v>0</v>
      </c>
      <c r="K198" s="336">
        <v>0</v>
      </c>
      <c r="L198" s="336">
        <v>0</v>
      </c>
      <c r="M198" s="336">
        <v>0</v>
      </c>
      <c r="N198" s="336">
        <v>0</v>
      </c>
      <c r="O198" s="336">
        <v>0</v>
      </c>
      <c r="P198" s="336">
        <v>0</v>
      </c>
      <c r="Q198" s="336">
        <v>0</v>
      </c>
      <c r="R198" s="336">
        <v>0</v>
      </c>
      <c r="S198" s="336">
        <v>0</v>
      </c>
      <c r="T198" s="336">
        <v>0</v>
      </c>
      <c r="U198" s="336">
        <v>0</v>
      </c>
      <c r="V198" s="336">
        <v>0</v>
      </c>
      <c r="W198" s="336">
        <v>0</v>
      </c>
      <c r="X198" s="336">
        <f t="shared" si="2"/>
        <v>0</v>
      </c>
    </row>
    <row r="199" spans="1:24">
      <c r="A199" s="334" t="s">
        <v>1275</v>
      </c>
      <c r="B199" s="336">
        <v>4211.1307236501216</v>
      </c>
      <c r="C199" s="336">
        <v>4237.0356032550972</v>
      </c>
      <c r="D199" s="336">
        <v>4231.648077662303</v>
      </c>
      <c r="E199" s="336">
        <v>4206.3645238044173</v>
      </c>
      <c r="F199" s="336">
        <v>4206.0226927093099</v>
      </c>
      <c r="G199" s="336">
        <v>4208.41635810139</v>
      </c>
      <c r="H199" s="336">
        <v>4207.4960228901909</v>
      </c>
      <c r="I199" s="336">
        <v>4222.8158121510605</v>
      </c>
      <c r="J199" s="336">
        <v>4224.0672824926169</v>
      </c>
      <c r="K199" s="336">
        <v>4237.6339694245571</v>
      </c>
      <c r="L199" s="336">
        <v>4257.7787630442554</v>
      </c>
      <c r="M199" s="336">
        <v>4265.0957480519282</v>
      </c>
      <c r="N199" s="336">
        <v>4276.1832990270741</v>
      </c>
      <c r="O199" s="336">
        <v>4277.2733331460449</v>
      </c>
      <c r="P199" s="336">
        <v>4281.8963519932067</v>
      </c>
      <c r="Q199" s="336">
        <v>4283.1867538802016</v>
      </c>
      <c r="R199" s="336">
        <v>4280.1031094644059</v>
      </c>
      <c r="S199" s="336">
        <v>4286.0090840642933</v>
      </c>
      <c r="T199" s="336">
        <v>4284.8364165695648</v>
      </c>
      <c r="U199" s="336">
        <v>4299.9221764723106</v>
      </c>
      <c r="V199" s="336">
        <v>4315.9752676963008</v>
      </c>
      <c r="W199" s="336">
        <v>4346.2115568813761</v>
      </c>
      <c r="X199" s="336">
        <f t="shared" si="2"/>
        <v>4284.0081407473481</v>
      </c>
    </row>
    <row r="200" spans="1:24">
      <c r="A200" s="334" t="s">
        <v>1247</v>
      </c>
      <c r="B200" s="336">
        <v>12563.656553139268</v>
      </c>
      <c r="C200" s="336">
        <v>12534.215680549014</v>
      </c>
      <c r="D200" s="336">
        <v>12411.687201702414</v>
      </c>
      <c r="E200" s="336">
        <v>10044.655279868693</v>
      </c>
      <c r="F200" s="336">
        <v>9949.3572729597036</v>
      </c>
      <c r="G200" s="336">
        <v>9860.4839986302995</v>
      </c>
      <c r="H200" s="336">
        <v>9804.976991270596</v>
      </c>
      <c r="I200" s="336">
        <v>9745.4251783365689</v>
      </c>
      <c r="J200" s="336">
        <v>9653.0326713641261</v>
      </c>
      <c r="K200" s="336">
        <v>9608.0216704782033</v>
      </c>
      <c r="L200" s="336">
        <v>9557.4622540715754</v>
      </c>
      <c r="M200" s="336">
        <v>9477.4874883007324</v>
      </c>
      <c r="N200" s="336">
        <v>9443.8032721845193</v>
      </c>
      <c r="O200" s="336">
        <v>9349.148841710994</v>
      </c>
      <c r="P200" s="336">
        <v>9262.0870710295931</v>
      </c>
      <c r="Q200" s="336">
        <v>9187.4532444982942</v>
      </c>
      <c r="R200" s="336">
        <v>9085.9373604263255</v>
      </c>
      <c r="S200" s="336">
        <v>9003.4423433638913</v>
      </c>
      <c r="T200" s="336">
        <v>8912.2032340099104</v>
      </c>
      <c r="U200" s="336">
        <v>8848.1725826044349</v>
      </c>
      <c r="V200" s="336">
        <v>8785.4415395927281</v>
      </c>
      <c r="W200" s="336">
        <v>8750.5542116223005</v>
      </c>
      <c r="X200" s="336">
        <f t="shared" si="2"/>
        <v>9174.7088549148848</v>
      </c>
    </row>
    <row r="201" spans="1:24">
      <c r="B201" s="358"/>
      <c r="C201" s="358"/>
      <c r="D201" s="358"/>
      <c r="E201" s="358"/>
      <c r="F201" s="358"/>
      <c r="G201" s="358"/>
      <c r="H201" s="358"/>
      <c r="I201" s="358"/>
      <c r="J201" s="358"/>
      <c r="K201" s="358"/>
      <c r="L201" s="358"/>
      <c r="M201" s="358"/>
      <c r="N201" s="358"/>
      <c r="O201" s="358"/>
      <c r="P201" s="358"/>
      <c r="Q201" s="358"/>
      <c r="R201" s="358"/>
      <c r="S201" s="358"/>
      <c r="T201" s="358"/>
      <c r="U201" s="358"/>
      <c r="V201" s="358"/>
      <c r="W201" s="358"/>
      <c r="X201" s="336">
        <f t="shared" si="2"/>
        <v>0</v>
      </c>
    </row>
    <row r="202" spans="1:24" ht="15.75" thickBot="1">
      <c r="A202" s="356" t="s">
        <v>290</v>
      </c>
      <c r="B202" s="359">
        <v>79254.426879173319</v>
      </c>
      <c r="C202" s="359">
        <v>84055.541342240525</v>
      </c>
      <c r="D202" s="359">
        <v>97848.633772629953</v>
      </c>
      <c r="E202" s="359">
        <v>86272.930517618253</v>
      </c>
      <c r="F202" s="359">
        <v>82851.72521796108</v>
      </c>
      <c r="G202" s="359">
        <v>81003.810410494028</v>
      </c>
      <c r="H202" s="359">
        <v>85116.421544565324</v>
      </c>
      <c r="I202" s="359">
        <v>85779.056719427055</v>
      </c>
      <c r="J202" s="359">
        <v>94560.981705686223</v>
      </c>
      <c r="K202" s="359">
        <v>88904.881821059389</v>
      </c>
      <c r="L202" s="359">
        <v>92646.693315699624</v>
      </c>
      <c r="M202" s="359">
        <v>100183.82664692437</v>
      </c>
      <c r="N202" s="359">
        <v>55296.567311443971</v>
      </c>
      <c r="O202" s="359">
        <v>62393.449733510977</v>
      </c>
      <c r="P202" s="359">
        <v>74889.479357132193</v>
      </c>
      <c r="Q202" s="359">
        <v>60747.337977500181</v>
      </c>
      <c r="R202" s="359">
        <v>63413.015829654512</v>
      </c>
      <c r="S202" s="359">
        <v>64836.541432635429</v>
      </c>
      <c r="T202" s="359">
        <v>66086.282243225258</v>
      </c>
      <c r="U202" s="359">
        <v>69977.707500095654</v>
      </c>
      <c r="V202" s="359">
        <v>80210.402918987165</v>
      </c>
      <c r="W202" s="359">
        <v>73242.110971139162</v>
      </c>
      <c r="X202" s="336">
        <f t="shared" ref="X202:X257" si="3">SUM(K202:W202)/13</f>
        <v>73294.484389154444</v>
      </c>
    </row>
    <row r="203" spans="1:24">
      <c r="X203" s="336">
        <f t="shared" si="3"/>
        <v>0</v>
      </c>
    </row>
    <row r="204" spans="1:24">
      <c r="A204" s="356" t="s">
        <v>291</v>
      </c>
      <c r="B204" s="358"/>
      <c r="C204" s="358"/>
      <c r="D204" s="358"/>
      <c r="E204" s="358"/>
      <c r="F204" s="358"/>
      <c r="G204" s="358"/>
      <c r="H204" s="358"/>
      <c r="I204" s="358"/>
      <c r="J204" s="358"/>
      <c r="K204" s="358"/>
      <c r="L204" s="358"/>
      <c r="M204" s="358"/>
      <c r="N204" s="358"/>
      <c r="O204" s="358"/>
      <c r="P204" s="358"/>
      <c r="Q204" s="358"/>
      <c r="R204" s="358"/>
      <c r="S204" s="358"/>
      <c r="T204" s="358"/>
      <c r="U204" s="358"/>
      <c r="V204" s="358"/>
      <c r="W204" s="358"/>
      <c r="X204" s="336">
        <f t="shared" si="3"/>
        <v>0</v>
      </c>
    </row>
    <row r="205" spans="1:24">
      <c r="A205" s="334" t="s">
        <v>1248</v>
      </c>
      <c r="B205" s="358"/>
      <c r="C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36">
        <f t="shared" si="3"/>
        <v>0</v>
      </c>
    </row>
    <row r="206" spans="1:24">
      <c r="A206" s="334" t="s">
        <v>1249</v>
      </c>
      <c r="B206" s="336">
        <v>201373.79864999998</v>
      </c>
      <c r="C206" s="336">
        <v>201373.79864999998</v>
      </c>
      <c r="D206" s="336">
        <v>201373.79864999998</v>
      </c>
      <c r="E206" s="336">
        <v>201373.79864999998</v>
      </c>
      <c r="F206" s="336">
        <v>201373.79864999998</v>
      </c>
      <c r="G206" s="336">
        <v>201373.79864999998</v>
      </c>
      <c r="H206" s="336">
        <v>201373.79864999998</v>
      </c>
      <c r="I206" s="336">
        <v>201373.79864999998</v>
      </c>
      <c r="J206" s="336">
        <v>201373.79864999998</v>
      </c>
      <c r="K206" s="336">
        <v>201373.79864999998</v>
      </c>
      <c r="L206" s="336">
        <v>201373.79864999998</v>
      </c>
      <c r="M206" s="336">
        <v>201373.79864999998</v>
      </c>
      <c r="N206" s="336">
        <v>201373.79864999998</v>
      </c>
      <c r="O206" s="336">
        <v>201373.79864999998</v>
      </c>
      <c r="P206" s="336">
        <v>201373.79864999998</v>
      </c>
      <c r="Q206" s="336">
        <v>201373.79864999998</v>
      </c>
      <c r="R206" s="336">
        <v>201373.79864999998</v>
      </c>
      <c r="S206" s="336">
        <v>201373.79864999998</v>
      </c>
      <c r="T206" s="336">
        <v>201373.79864999998</v>
      </c>
      <c r="U206" s="336">
        <v>201373.79864999998</v>
      </c>
      <c r="V206" s="336">
        <v>201373.79864999998</v>
      </c>
      <c r="W206" s="336">
        <v>201373.79864999998</v>
      </c>
      <c r="X206" s="336">
        <f t="shared" si="3"/>
        <v>201373.79864999995</v>
      </c>
    </row>
    <row r="207" spans="1:24">
      <c r="A207" s="334" t="s">
        <v>1250</v>
      </c>
      <c r="B207" s="336">
        <v>30540.505197461433</v>
      </c>
      <c r="C207" s="336">
        <v>30540.505197461433</v>
      </c>
      <c r="D207" s="336">
        <v>30540.505197461433</v>
      </c>
      <c r="E207" s="336">
        <v>37390.07983440251</v>
      </c>
      <c r="F207" s="336">
        <v>37390.07983440251</v>
      </c>
      <c r="G207" s="336">
        <v>37390.07983440251</v>
      </c>
      <c r="H207" s="336">
        <v>42299.366960740619</v>
      </c>
      <c r="I207" s="336">
        <v>42299.366960740619</v>
      </c>
      <c r="J207" s="336">
        <v>42299.366960740619</v>
      </c>
      <c r="K207" s="336">
        <v>47208.654087078845</v>
      </c>
      <c r="L207" s="336">
        <v>47208.654087078845</v>
      </c>
      <c r="M207" s="336">
        <v>47208.654087078845</v>
      </c>
      <c r="N207" s="336">
        <v>52117.941213417012</v>
      </c>
      <c r="O207" s="336">
        <v>52117.941213417012</v>
      </c>
      <c r="P207" s="336">
        <v>52117.941213417012</v>
      </c>
      <c r="Q207" s="336">
        <v>57027.22833975518</v>
      </c>
      <c r="R207" s="336">
        <v>57027.22833975518</v>
      </c>
      <c r="S207" s="336">
        <v>57027.22833975518</v>
      </c>
      <c r="T207" s="336">
        <v>61981.571738064842</v>
      </c>
      <c r="U207" s="336">
        <v>61981.571738064842</v>
      </c>
      <c r="V207" s="336">
        <v>61981.571738064842</v>
      </c>
      <c r="W207" s="336">
        <v>66935.915136374679</v>
      </c>
      <c r="X207" s="336">
        <f t="shared" si="3"/>
        <v>55534.007790101728</v>
      </c>
    </row>
    <row r="208" spans="1:24">
      <c r="A208" s="334" t="s">
        <v>1251</v>
      </c>
      <c r="B208" s="336">
        <v>0</v>
      </c>
      <c r="C208" s="336">
        <v>0</v>
      </c>
      <c r="D208" s="336">
        <v>0</v>
      </c>
      <c r="E208" s="336">
        <v>0</v>
      </c>
      <c r="F208" s="336">
        <v>0</v>
      </c>
      <c r="G208" s="336">
        <v>0</v>
      </c>
      <c r="H208" s="336">
        <v>0</v>
      </c>
      <c r="I208" s="336">
        <v>0</v>
      </c>
      <c r="J208" s="336">
        <v>0</v>
      </c>
      <c r="K208" s="336">
        <v>0</v>
      </c>
      <c r="L208" s="336">
        <v>0</v>
      </c>
      <c r="M208" s="336">
        <v>0</v>
      </c>
      <c r="N208" s="336">
        <v>0</v>
      </c>
      <c r="O208" s="336">
        <v>0</v>
      </c>
      <c r="P208" s="336">
        <v>0</v>
      </c>
      <c r="Q208" s="336">
        <v>0</v>
      </c>
      <c r="R208" s="336">
        <v>0</v>
      </c>
      <c r="S208" s="336">
        <v>0</v>
      </c>
      <c r="T208" s="336">
        <v>0</v>
      </c>
      <c r="U208" s="336">
        <v>0</v>
      </c>
      <c r="V208" s="336">
        <v>0</v>
      </c>
      <c r="W208" s="336">
        <v>0</v>
      </c>
      <c r="X208" s="336">
        <f t="shared" si="3"/>
        <v>0</v>
      </c>
    </row>
    <row r="209" spans="1:24" ht="15.75" thickBot="1">
      <c r="A209" s="334" t="s">
        <v>1252</v>
      </c>
      <c r="B209" s="335">
        <v>0</v>
      </c>
      <c r="C209" s="335">
        <v>0</v>
      </c>
      <c r="D209" s="335">
        <v>0</v>
      </c>
      <c r="E209" s="335">
        <v>0</v>
      </c>
      <c r="F209" s="335">
        <v>0</v>
      </c>
      <c r="G209" s="335">
        <v>0</v>
      </c>
      <c r="H209" s="335">
        <v>0</v>
      </c>
      <c r="I209" s="335">
        <v>0</v>
      </c>
      <c r="J209" s="335">
        <v>0</v>
      </c>
      <c r="K209" s="335">
        <v>0</v>
      </c>
      <c r="L209" s="335">
        <v>0</v>
      </c>
      <c r="M209" s="335">
        <v>0</v>
      </c>
      <c r="N209" s="335">
        <v>0</v>
      </c>
      <c r="O209" s="335">
        <v>0</v>
      </c>
      <c r="P209" s="335">
        <v>0</v>
      </c>
      <c r="Q209" s="335">
        <v>0</v>
      </c>
      <c r="R209" s="335">
        <v>0</v>
      </c>
      <c r="S209" s="335">
        <v>0</v>
      </c>
      <c r="T209" s="335">
        <v>0</v>
      </c>
      <c r="U209" s="335">
        <v>0</v>
      </c>
      <c r="V209" s="335">
        <v>0</v>
      </c>
      <c r="W209" s="335">
        <v>0</v>
      </c>
      <c r="X209" s="336">
        <f t="shared" si="3"/>
        <v>0</v>
      </c>
    </row>
    <row r="210" spans="1:24">
      <c r="A210" s="334" t="s">
        <v>1248</v>
      </c>
      <c r="B210" s="336">
        <v>231914.30384746141</v>
      </c>
      <c r="C210" s="336">
        <v>231914.30384746141</v>
      </c>
      <c r="D210" s="336">
        <v>231914.30384746141</v>
      </c>
      <c r="E210" s="336">
        <v>238763.87848440249</v>
      </c>
      <c r="F210" s="336">
        <v>238763.87848440249</v>
      </c>
      <c r="G210" s="336">
        <v>238763.87848440249</v>
      </c>
      <c r="H210" s="336">
        <v>243673.1656107406</v>
      </c>
      <c r="I210" s="336">
        <v>243673.1656107406</v>
      </c>
      <c r="J210" s="336">
        <v>243673.1656107406</v>
      </c>
      <c r="K210" s="336">
        <v>248582.45273707883</v>
      </c>
      <c r="L210" s="336">
        <v>248582.45273707883</v>
      </c>
      <c r="M210" s="336">
        <v>248582.45273707883</v>
      </c>
      <c r="N210" s="336">
        <v>253491.73986341699</v>
      </c>
      <c r="O210" s="336">
        <v>253491.73986341699</v>
      </c>
      <c r="P210" s="336">
        <v>253491.73986341699</v>
      </c>
      <c r="Q210" s="336">
        <v>258401.02698975516</v>
      </c>
      <c r="R210" s="336">
        <v>258401.02698975516</v>
      </c>
      <c r="S210" s="336">
        <v>258401.02698975516</v>
      </c>
      <c r="T210" s="336">
        <v>263355.37038806482</v>
      </c>
      <c r="U210" s="336">
        <v>263355.37038806482</v>
      </c>
      <c r="V210" s="336">
        <v>263355.37038806482</v>
      </c>
      <c r="W210" s="336">
        <v>268309.71378637466</v>
      </c>
      <c r="X210" s="336">
        <f t="shared" si="3"/>
        <v>256907.80644010176</v>
      </c>
    </row>
    <row r="211" spans="1:24">
      <c r="B211" s="358"/>
      <c r="C211" s="358"/>
      <c r="D211" s="358"/>
      <c r="E211" s="358"/>
      <c r="F211" s="358"/>
      <c r="G211" s="358"/>
      <c r="H211" s="358"/>
      <c r="I211" s="358"/>
      <c r="J211" s="358"/>
      <c r="K211" s="358"/>
      <c r="L211" s="358"/>
      <c r="M211" s="358"/>
      <c r="N211" s="358"/>
      <c r="O211" s="358"/>
      <c r="P211" s="358"/>
      <c r="Q211" s="358"/>
      <c r="R211" s="358"/>
      <c r="S211" s="358"/>
      <c r="T211" s="358"/>
      <c r="U211" s="358"/>
      <c r="V211" s="358"/>
      <c r="W211" s="358"/>
      <c r="X211" s="336">
        <f t="shared" si="3"/>
        <v>0</v>
      </c>
    </row>
    <row r="212" spans="1:24">
      <c r="A212" s="334" t="s">
        <v>1253</v>
      </c>
      <c r="B212" s="358"/>
      <c r="C212" s="358"/>
      <c r="D212" s="358"/>
      <c r="E212" s="358"/>
      <c r="F212" s="358"/>
      <c r="G212" s="358"/>
      <c r="H212" s="358"/>
      <c r="I212" s="358"/>
      <c r="J212" s="358"/>
      <c r="K212" s="358"/>
      <c r="L212" s="358"/>
      <c r="M212" s="358"/>
      <c r="N212" s="358"/>
      <c r="O212" s="358"/>
      <c r="P212" s="358"/>
      <c r="Q212" s="358"/>
      <c r="R212" s="358"/>
      <c r="S212" s="358"/>
      <c r="T212" s="358"/>
      <c r="U212" s="358"/>
      <c r="V212" s="358"/>
      <c r="W212" s="358"/>
      <c r="X212" s="336">
        <f t="shared" si="3"/>
        <v>0</v>
      </c>
    </row>
    <row r="213" spans="1:24">
      <c r="A213" s="334" t="s">
        <v>1254</v>
      </c>
      <c r="B213" s="336">
        <v>0</v>
      </c>
      <c r="C213" s="336">
        <v>0</v>
      </c>
      <c r="D213" s="336">
        <v>0</v>
      </c>
      <c r="E213" s="336">
        <v>0</v>
      </c>
      <c r="F213" s="336">
        <v>0</v>
      </c>
      <c r="G213" s="336">
        <v>0</v>
      </c>
      <c r="H213" s="336">
        <v>0</v>
      </c>
      <c r="I213" s="336">
        <v>0</v>
      </c>
      <c r="J213" s="336">
        <v>0</v>
      </c>
      <c r="K213" s="336">
        <v>0</v>
      </c>
      <c r="L213" s="336">
        <v>0</v>
      </c>
      <c r="M213" s="336">
        <v>0</v>
      </c>
      <c r="N213" s="336">
        <v>0</v>
      </c>
      <c r="O213" s="336">
        <v>0</v>
      </c>
      <c r="P213" s="336">
        <v>0</v>
      </c>
      <c r="Q213" s="336">
        <v>0</v>
      </c>
      <c r="R213" s="336">
        <v>0</v>
      </c>
      <c r="S213" s="336">
        <v>0</v>
      </c>
      <c r="T213" s="336">
        <v>0</v>
      </c>
      <c r="U213" s="336">
        <v>0</v>
      </c>
      <c r="V213" s="336">
        <v>0</v>
      </c>
      <c r="W213" s="336">
        <v>0</v>
      </c>
      <c r="X213" s="336">
        <f t="shared" si="3"/>
        <v>0</v>
      </c>
    </row>
    <row r="214" spans="1:24">
      <c r="A214" s="334" t="s">
        <v>1255</v>
      </c>
      <c r="B214" s="336">
        <v>97.011000000000109</v>
      </c>
      <c r="C214" s="336">
        <v>91.976000000000113</v>
      </c>
      <c r="D214" s="336">
        <v>86.941000000000116</v>
      </c>
      <c r="E214" s="336">
        <v>81.90600000000012</v>
      </c>
      <c r="F214" s="336">
        <v>78.02933333333344</v>
      </c>
      <c r="G214" s="336">
        <v>74.152666666666775</v>
      </c>
      <c r="H214" s="336">
        <v>70.276000000000096</v>
      </c>
      <c r="I214" s="336">
        <v>66.399333333333431</v>
      </c>
      <c r="J214" s="336">
        <v>62.522666666666765</v>
      </c>
      <c r="K214" s="336">
        <v>58.6460000000001</v>
      </c>
      <c r="L214" s="336">
        <v>54.769333333333435</v>
      </c>
      <c r="M214" s="336">
        <v>50.89266666666677</v>
      </c>
      <c r="N214" s="336">
        <v>47.016000000000112</v>
      </c>
      <c r="O214" s="336">
        <v>43.139333333333447</v>
      </c>
      <c r="P214" s="336">
        <v>39.262666666666782</v>
      </c>
      <c r="Q214" s="336">
        <v>35.386000000000116</v>
      </c>
      <c r="R214" s="336">
        <v>33.28433333333345</v>
      </c>
      <c r="S214" s="336">
        <v>31.182666666666783</v>
      </c>
      <c r="T214" s="336">
        <v>29.081000000000117</v>
      </c>
      <c r="U214" s="336">
        <v>26.97933333333345</v>
      </c>
      <c r="V214" s="336">
        <v>24.87766666666678</v>
      </c>
      <c r="W214" s="336">
        <v>22.776000000000113</v>
      </c>
      <c r="X214" s="336">
        <f t="shared" si="3"/>
        <v>38.2533076923078</v>
      </c>
    </row>
    <row r="215" spans="1:24">
      <c r="A215" s="334" t="s">
        <v>1253</v>
      </c>
      <c r="B215" s="336">
        <v>97.011000000000109</v>
      </c>
      <c r="C215" s="336">
        <v>91.976000000000113</v>
      </c>
      <c r="D215" s="336">
        <v>86.941000000000116</v>
      </c>
      <c r="E215" s="336">
        <v>81.90600000000012</v>
      </c>
      <c r="F215" s="336">
        <v>78.02933333333344</v>
      </c>
      <c r="G215" s="336">
        <v>74.152666666666775</v>
      </c>
      <c r="H215" s="336">
        <v>70.276000000000096</v>
      </c>
      <c r="I215" s="336">
        <v>66.399333333333431</v>
      </c>
      <c r="J215" s="336">
        <v>62.522666666666765</v>
      </c>
      <c r="K215" s="336">
        <v>58.6460000000001</v>
      </c>
      <c r="L215" s="336">
        <v>54.769333333333435</v>
      </c>
      <c r="M215" s="336">
        <v>50.89266666666677</v>
      </c>
      <c r="N215" s="336">
        <v>47.016000000000112</v>
      </c>
      <c r="O215" s="336">
        <v>43.139333333333447</v>
      </c>
      <c r="P215" s="336">
        <v>39.262666666666782</v>
      </c>
      <c r="Q215" s="336">
        <v>35.386000000000116</v>
      </c>
      <c r="R215" s="336">
        <v>33.28433333333345</v>
      </c>
      <c r="S215" s="336">
        <v>31.182666666666783</v>
      </c>
      <c r="T215" s="336">
        <v>29.081000000000117</v>
      </c>
      <c r="U215" s="336">
        <v>26.97933333333345</v>
      </c>
      <c r="V215" s="336">
        <v>24.87766666666678</v>
      </c>
      <c r="W215" s="336">
        <v>22.776000000000113</v>
      </c>
      <c r="X215" s="336">
        <f t="shared" si="3"/>
        <v>38.2533076923078</v>
      </c>
    </row>
    <row r="216" spans="1:24"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  <c r="P216" s="358"/>
      <c r="Q216" s="358"/>
      <c r="R216" s="358"/>
      <c r="S216" s="358"/>
      <c r="T216" s="358"/>
      <c r="U216" s="358"/>
      <c r="V216" s="358"/>
      <c r="W216" s="358"/>
      <c r="X216" s="336">
        <f t="shared" si="3"/>
        <v>0</v>
      </c>
    </row>
    <row r="217" spans="1:24">
      <c r="A217" s="334" t="s">
        <v>1256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  <c r="P217" s="358"/>
      <c r="Q217" s="358"/>
      <c r="R217" s="358"/>
      <c r="S217" s="358"/>
      <c r="T217" s="358"/>
      <c r="U217" s="358"/>
      <c r="V217" s="358"/>
      <c r="W217" s="358"/>
      <c r="X217" s="336">
        <f t="shared" si="3"/>
        <v>0</v>
      </c>
    </row>
    <row r="218" spans="1:24">
      <c r="A218" s="334" t="s">
        <v>1257</v>
      </c>
      <c r="B218" s="362">
        <v>110.16500000000001</v>
      </c>
      <c r="C218" s="362">
        <v>100.15</v>
      </c>
      <c r="D218" s="362">
        <v>90.135000000000005</v>
      </c>
      <c r="E218" s="362">
        <v>80.12</v>
      </c>
      <c r="F218" s="362">
        <v>70.105000000000004</v>
      </c>
      <c r="G218" s="362">
        <v>60.09</v>
      </c>
      <c r="H218" s="362">
        <v>50.075000000000003</v>
      </c>
      <c r="I218" s="362">
        <v>40.06</v>
      </c>
      <c r="J218" s="362">
        <v>30.045000000000002</v>
      </c>
      <c r="K218" s="362">
        <v>20.03</v>
      </c>
      <c r="L218" s="362">
        <v>10.015000000000001</v>
      </c>
      <c r="M218" s="362">
        <v>0</v>
      </c>
      <c r="N218" s="362">
        <v>0</v>
      </c>
      <c r="O218" s="362">
        <v>0</v>
      </c>
      <c r="P218" s="362">
        <v>0</v>
      </c>
      <c r="Q218" s="362">
        <v>0</v>
      </c>
      <c r="R218" s="362">
        <v>0</v>
      </c>
      <c r="S218" s="362">
        <v>0</v>
      </c>
      <c r="T218" s="362">
        <v>0</v>
      </c>
      <c r="U218" s="362">
        <v>0</v>
      </c>
      <c r="V218" s="362">
        <v>0</v>
      </c>
      <c r="W218" s="362">
        <v>0</v>
      </c>
      <c r="X218" s="336">
        <f t="shared" si="3"/>
        <v>2.3111538461538461</v>
      </c>
    </row>
    <row r="219" spans="1:24">
      <c r="A219" s="334" t="s">
        <v>1258</v>
      </c>
      <c r="B219" s="336">
        <v>6729.0069054947917</v>
      </c>
      <c r="C219" s="336">
        <v>6752.5385783996599</v>
      </c>
      <c r="D219" s="336">
        <v>6726.7886695328734</v>
      </c>
      <c r="E219" s="336">
        <v>6701.1771081342649</v>
      </c>
      <c r="F219" s="336">
        <v>6676.1058899315967</v>
      </c>
      <c r="G219" s="336">
        <v>6657.379863622532</v>
      </c>
      <c r="H219" s="336">
        <v>6631.38872944587</v>
      </c>
      <c r="I219" s="336">
        <v>6631.5835352310123</v>
      </c>
      <c r="J219" s="336">
        <v>6608.9169967254456</v>
      </c>
      <c r="K219" s="336">
        <v>6606.1086550190303</v>
      </c>
      <c r="L219" s="336">
        <v>6613.9376318041741</v>
      </c>
      <c r="M219" s="336">
        <v>6601.6881256085881</v>
      </c>
      <c r="N219" s="336">
        <v>6595.855492006709</v>
      </c>
      <c r="O219" s="336">
        <v>6573.8538571841709</v>
      </c>
      <c r="P219" s="336">
        <v>6557.9339809725934</v>
      </c>
      <c r="Q219" s="336">
        <v>6536.1945800864469</v>
      </c>
      <c r="R219" s="336">
        <v>6507.7902609164012</v>
      </c>
      <c r="S219" s="336">
        <v>6495.0911388537661</v>
      </c>
      <c r="T219" s="336">
        <v>6469.5892099190496</v>
      </c>
      <c r="U219" s="336">
        <v>6469.2448524748079</v>
      </c>
      <c r="V219" s="336">
        <v>6469.4995104353966</v>
      </c>
      <c r="W219" s="336">
        <v>6491.4517164711733</v>
      </c>
      <c r="X219" s="336">
        <f t="shared" si="3"/>
        <v>6537.5568470578692</v>
      </c>
    </row>
    <row r="220" spans="1:24">
      <c r="A220" s="334" t="s">
        <v>1259</v>
      </c>
      <c r="B220" s="362">
        <v>0</v>
      </c>
      <c r="C220" s="362">
        <v>0</v>
      </c>
      <c r="D220" s="362">
        <v>0</v>
      </c>
      <c r="E220" s="362">
        <v>0</v>
      </c>
      <c r="F220" s="362">
        <v>0</v>
      </c>
      <c r="G220" s="362">
        <v>0</v>
      </c>
      <c r="H220" s="362">
        <v>0</v>
      </c>
      <c r="I220" s="362">
        <v>0</v>
      </c>
      <c r="J220" s="362">
        <v>0</v>
      </c>
      <c r="K220" s="362">
        <v>0</v>
      </c>
      <c r="L220" s="362">
        <v>0</v>
      </c>
      <c r="M220" s="362">
        <v>0</v>
      </c>
      <c r="N220" s="362">
        <v>0</v>
      </c>
      <c r="O220" s="362">
        <v>0</v>
      </c>
      <c r="P220" s="362">
        <v>0</v>
      </c>
      <c r="Q220" s="362">
        <v>0</v>
      </c>
      <c r="R220" s="362">
        <v>0</v>
      </c>
      <c r="S220" s="362">
        <v>0</v>
      </c>
      <c r="T220" s="362">
        <v>0</v>
      </c>
      <c r="U220" s="362">
        <v>0</v>
      </c>
      <c r="V220" s="362">
        <v>0</v>
      </c>
      <c r="W220" s="362">
        <v>0</v>
      </c>
      <c r="X220" s="336">
        <f t="shared" si="3"/>
        <v>0</v>
      </c>
    </row>
    <row r="221" spans="1:24">
      <c r="A221" s="334" t="s">
        <v>1260</v>
      </c>
      <c r="B221" s="362">
        <v>2609.5726898527005</v>
      </c>
      <c r="C221" s="362">
        <v>2609.5726898527005</v>
      </c>
      <c r="D221" s="362">
        <v>2609.5726898527005</v>
      </c>
      <c r="E221" s="362">
        <v>2567.2223797054007</v>
      </c>
      <c r="F221" s="362">
        <v>2567.2223797054007</v>
      </c>
      <c r="G221" s="362">
        <v>2567.2223797054007</v>
      </c>
      <c r="H221" s="362">
        <v>2531.1764631751225</v>
      </c>
      <c r="I221" s="362">
        <v>2531.1764631751225</v>
      </c>
      <c r="J221" s="362">
        <v>2531.1764631751225</v>
      </c>
      <c r="K221" s="362">
        <v>2495.1305466448439</v>
      </c>
      <c r="L221" s="362">
        <v>2495.1305466448439</v>
      </c>
      <c r="M221" s="362">
        <v>2495.1305466448439</v>
      </c>
      <c r="N221" s="362">
        <v>2459.0846301145662</v>
      </c>
      <c r="O221" s="362">
        <v>2459.0846301145662</v>
      </c>
      <c r="P221" s="362">
        <v>2459.0846301145662</v>
      </c>
      <c r="Q221" s="362">
        <v>2423.0387135842875</v>
      </c>
      <c r="R221" s="362">
        <v>2423.0387135842875</v>
      </c>
      <c r="S221" s="362">
        <v>2423.0387135842875</v>
      </c>
      <c r="T221" s="362">
        <v>2394.4746423895249</v>
      </c>
      <c r="U221" s="362">
        <v>2394.4746423895249</v>
      </c>
      <c r="V221" s="362">
        <v>2394.4746423895249</v>
      </c>
      <c r="W221" s="362">
        <v>2365.9105711947618</v>
      </c>
      <c r="X221" s="336">
        <f t="shared" si="3"/>
        <v>2437.0073976457256</v>
      </c>
    </row>
    <row r="222" spans="1:24">
      <c r="A222" s="334" t="s">
        <v>1256</v>
      </c>
      <c r="B222" s="336">
        <v>9448.7445953474926</v>
      </c>
      <c r="C222" s="336">
        <v>9462.2612682523595</v>
      </c>
      <c r="D222" s="336">
        <v>9426.4963593855737</v>
      </c>
      <c r="E222" s="336">
        <v>9348.5194878396651</v>
      </c>
      <c r="F222" s="336">
        <v>9313.4332696369966</v>
      </c>
      <c r="G222" s="336">
        <v>9284.6922433279324</v>
      </c>
      <c r="H222" s="336">
        <v>9212.6401926209928</v>
      </c>
      <c r="I222" s="336">
        <v>9202.8199984061357</v>
      </c>
      <c r="J222" s="336">
        <v>9170.1384599005687</v>
      </c>
      <c r="K222" s="336">
        <v>9121.2692016638739</v>
      </c>
      <c r="L222" s="336">
        <v>9119.0831784490183</v>
      </c>
      <c r="M222" s="336">
        <v>9096.8186722534319</v>
      </c>
      <c r="N222" s="336">
        <v>9054.9401221212756</v>
      </c>
      <c r="O222" s="336">
        <v>9032.9384872987375</v>
      </c>
      <c r="P222" s="336">
        <v>9017.01861108716</v>
      </c>
      <c r="Q222" s="336">
        <v>8959.2332936707353</v>
      </c>
      <c r="R222" s="336">
        <v>8930.8289745006878</v>
      </c>
      <c r="S222" s="336">
        <v>8918.1298524380545</v>
      </c>
      <c r="T222" s="336">
        <v>8864.0638523085745</v>
      </c>
      <c r="U222" s="336">
        <v>8863.7194948643337</v>
      </c>
      <c r="V222" s="336">
        <v>8863.9741528249215</v>
      </c>
      <c r="W222" s="336">
        <v>8857.3622876659356</v>
      </c>
      <c r="X222" s="336">
        <f t="shared" si="3"/>
        <v>8976.8753985497497</v>
      </c>
    </row>
    <row r="223" spans="1:24">
      <c r="B223" s="358"/>
      <c r="C223" s="358"/>
      <c r="D223" s="358"/>
      <c r="E223" s="358"/>
      <c r="F223" s="358"/>
      <c r="G223" s="358"/>
      <c r="H223" s="358"/>
      <c r="I223" s="358"/>
      <c r="J223" s="358"/>
      <c r="K223" s="358"/>
      <c r="L223" s="358"/>
      <c r="M223" s="358"/>
      <c r="N223" s="358"/>
      <c r="O223" s="358"/>
      <c r="P223" s="358"/>
      <c r="Q223" s="358"/>
      <c r="R223" s="358"/>
      <c r="S223" s="358"/>
      <c r="T223" s="358"/>
      <c r="U223" s="358"/>
      <c r="V223" s="358"/>
      <c r="W223" s="358"/>
      <c r="X223" s="336">
        <f t="shared" si="3"/>
        <v>0</v>
      </c>
    </row>
    <row r="224" spans="1:24">
      <c r="A224" s="334" t="s">
        <v>1261</v>
      </c>
      <c r="B224" s="358"/>
      <c r="C224" s="358"/>
      <c r="D224" s="358"/>
      <c r="E224" s="358"/>
      <c r="F224" s="358"/>
      <c r="G224" s="358"/>
      <c r="H224" s="358"/>
      <c r="I224" s="358"/>
      <c r="J224" s="358"/>
      <c r="K224" s="358"/>
      <c r="L224" s="358"/>
      <c r="M224" s="358"/>
      <c r="N224" s="358"/>
      <c r="O224" s="358"/>
      <c r="P224" s="358"/>
      <c r="Q224" s="358"/>
      <c r="R224" s="358"/>
      <c r="S224" s="358"/>
      <c r="T224" s="358"/>
      <c r="U224" s="358"/>
      <c r="V224" s="358"/>
      <c r="W224" s="358"/>
      <c r="X224" s="336">
        <f t="shared" si="3"/>
        <v>0</v>
      </c>
    </row>
    <row r="225" spans="1:24">
      <c r="A225" s="334" t="s">
        <v>1262</v>
      </c>
      <c r="B225" s="336">
        <v>44.088250000000059</v>
      </c>
      <c r="C225" s="336">
        <v>44.088250000000059</v>
      </c>
      <c r="D225" s="336">
        <v>44.088250000000059</v>
      </c>
      <c r="E225" s="336">
        <v>44.088250000000059</v>
      </c>
      <c r="F225" s="336">
        <v>44.088250000000059</v>
      </c>
      <c r="G225" s="485">
        <v>5260.4345847259838</v>
      </c>
      <c r="H225" s="485">
        <v>5260.4345847259838</v>
      </c>
      <c r="I225" s="485">
        <v>5260.4345847259838</v>
      </c>
      <c r="J225" s="485">
        <v>5260.4345847259838</v>
      </c>
      <c r="K225" s="485">
        <v>5260.4345847259838</v>
      </c>
      <c r="L225" s="485">
        <v>5260.4345847259838</v>
      </c>
      <c r="M225" s="485">
        <v>5260.4345847259838</v>
      </c>
      <c r="N225" s="485">
        <v>5260.4345847259838</v>
      </c>
      <c r="O225" s="485">
        <v>5260.4345847259838</v>
      </c>
      <c r="P225" s="485">
        <v>5260.4345847259838</v>
      </c>
      <c r="Q225" s="485">
        <v>5260.4345847259838</v>
      </c>
      <c r="R225" s="485">
        <v>5260.4345847259838</v>
      </c>
      <c r="S225" s="485">
        <v>5260.4345847259838</v>
      </c>
      <c r="T225" s="485">
        <v>5260.4345847259838</v>
      </c>
      <c r="U225" s="485">
        <v>5260.4345847259838</v>
      </c>
      <c r="V225" s="485">
        <v>5260.4345847259838</v>
      </c>
      <c r="W225" s="485">
        <v>5260.4345847259838</v>
      </c>
      <c r="X225" s="336">
        <f t="shared" si="3"/>
        <v>5260.4345847259838</v>
      </c>
    </row>
    <row r="226" spans="1:24">
      <c r="A226" s="334" t="s">
        <v>1263</v>
      </c>
      <c r="B226" s="336">
        <v>9.3523199999999811</v>
      </c>
      <c r="C226" s="336">
        <v>9.3523199999999811</v>
      </c>
      <c r="D226" s="336">
        <v>9.3523199999999811</v>
      </c>
      <c r="E226" s="336">
        <v>9.3523199999999811</v>
      </c>
      <c r="F226" s="336">
        <v>9.3523199999999811</v>
      </c>
      <c r="G226" s="485">
        <v>73.390714315053501</v>
      </c>
      <c r="H226" s="485">
        <v>73.390714315053501</v>
      </c>
      <c r="I226" s="485">
        <v>73.390714315053501</v>
      </c>
      <c r="J226" s="485">
        <v>73.390714315053501</v>
      </c>
      <c r="K226" s="485">
        <v>73.390714315053501</v>
      </c>
      <c r="L226" s="485">
        <v>73.390714315053501</v>
      </c>
      <c r="M226" s="485">
        <v>73.390714315053501</v>
      </c>
      <c r="N226" s="485">
        <v>73.390714315053501</v>
      </c>
      <c r="O226" s="485">
        <v>73.390714315053501</v>
      </c>
      <c r="P226" s="485">
        <v>73.390714315053501</v>
      </c>
      <c r="Q226" s="485">
        <v>73.390714315053501</v>
      </c>
      <c r="R226" s="485">
        <v>73.390714315053501</v>
      </c>
      <c r="S226" s="485">
        <v>73.390714315053501</v>
      </c>
      <c r="T226" s="485">
        <v>73.390714315053501</v>
      </c>
      <c r="U226" s="485">
        <v>73.390714315053501</v>
      </c>
      <c r="V226" s="485">
        <v>73.390714315053501</v>
      </c>
      <c r="W226" s="485">
        <v>73.390714315053501</v>
      </c>
      <c r="X226" s="336">
        <f t="shared" si="3"/>
        <v>73.390714315053501</v>
      </c>
    </row>
    <row r="227" spans="1:24">
      <c r="A227" s="334" t="s">
        <v>1261</v>
      </c>
      <c r="B227" s="336">
        <v>53.440570000000037</v>
      </c>
      <c r="C227" s="336">
        <v>53.440570000000037</v>
      </c>
      <c r="D227" s="336">
        <v>53.440570000000037</v>
      </c>
      <c r="E227" s="336">
        <v>53.440570000000037</v>
      </c>
      <c r="F227" s="336">
        <v>53.440570000000037</v>
      </c>
      <c r="G227" s="485">
        <f>SUM(G225:G226)</f>
        <v>5333.8252990410374</v>
      </c>
      <c r="H227" s="485">
        <f t="shared" ref="H227:W227" si="4">SUM(H225:H226)</f>
        <v>5333.8252990410374</v>
      </c>
      <c r="I227" s="485">
        <f t="shared" si="4"/>
        <v>5333.8252990410374</v>
      </c>
      <c r="J227" s="485">
        <f t="shared" si="4"/>
        <v>5333.8252990410374</v>
      </c>
      <c r="K227" s="485">
        <f t="shared" si="4"/>
        <v>5333.8252990410374</v>
      </c>
      <c r="L227" s="485">
        <f t="shared" si="4"/>
        <v>5333.8252990410374</v>
      </c>
      <c r="M227" s="485">
        <f t="shared" si="4"/>
        <v>5333.8252990410374</v>
      </c>
      <c r="N227" s="485">
        <f t="shared" si="4"/>
        <v>5333.8252990410374</v>
      </c>
      <c r="O227" s="485">
        <f t="shared" si="4"/>
        <v>5333.8252990410374</v>
      </c>
      <c r="P227" s="485">
        <f t="shared" si="4"/>
        <v>5333.8252990410374</v>
      </c>
      <c r="Q227" s="485">
        <f t="shared" si="4"/>
        <v>5333.8252990410374</v>
      </c>
      <c r="R227" s="485">
        <f t="shared" si="4"/>
        <v>5333.8252990410374</v>
      </c>
      <c r="S227" s="485">
        <f t="shared" si="4"/>
        <v>5333.8252990410374</v>
      </c>
      <c r="T227" s="485">
        <f t="shared" si="4"/>
        <v>5333.8252990410374</v>
      </c>
      <c r="U227" s="485">
        <f t="shared" si="4"/>
        <v>5333.8252990410374</v>
      </c>
      <c r="V227" s="485">
        <f t="shared" si="4"/>
        <v>5333.8252990410374</v>
      </c>
      <c r="W227" s="485">
        <f t="shared" si="4"/>
        <v>5333.8252990410374</v>
      </c>
      <c r="X227" s="336">
        <f t="shared" si="3"/>
        <v>5333.8252990410383</v>
      </c>
    </row>
    <row r="228" spans="1:24">
      <c r="A228" s="334" t="s">
        <v>1264</v>
      </c>
      <c r="B228" s="358"/>
      <c r="C228" s="358"/>
      <c r="D228" s="358"/>
      <c r="E228" s="358"/>
      <c r="F228" s="358"/>
      <c r="G228" s="358"/>
      <c r="H228" s="358"/>
      <c r="I228" s="358"/>
      <c r="J228" s="358"/>
      <c r="K228" s="358"/>
      <c r="L228" s="358"/>
      <c r="M228" s="358"/>
      <c r="N228" s="358"/>
      <c r="O228" s="358"/>
      <c r="P228" s="358"/>
      <c r="Q228" s="358"/>
      <c r="R228" s="358"/>
      <c r="S228" s="358"/>
      <c r="T228" s="358"/>
      <c r="U228" s="358"/>
      <c r="V228" s="358"/>
      <c r="W228" s="358"/>
      <c r="X228" s="336">
        <f t="shared" si="3"/>
        <v>0</v>
      </c>
    </row>
    <row r="229" spans="1:24">
      <c r="A229" s="334" t="s">
        <v>1265</v>
      </c>
      <c r="B229" s="358"/>
      <c r="C229" s="358"/>
      <c r="D229" s="358"/>
      <c r="E229" s="358"/>
      <c r="F229" s="358"/>
      <c r="G229" s="358"/>
      <c r="H229" s="358"/>
      <c r="I229" s="358"/>
      <c r="J229" s="358"/>
      <c r="K229" s="358"/>
      <c r="L229" s="358"/>
      <c r="M229" s="358"/>
      <c r="N229" s="358"/>
      <c r="O229" s="358"/>
      <c r="P229" s="358"/>
      <c r="Q229" s="358"/>
      <c r="R229" s="358"/>
      <c r="S229" s="358"/>
      <c r="T229" s="358"/>
      <c r="U229" s="358"/>
      <c r="V229" s="358"/>
      <c r="W229" s="358"/>
      <c r="X229" s="336">
        <f t="shared" si="3"/>
        <v>0</v>
      </c>
    </row>
    <row r="230" spans="1:24">
      <c r="A230" s="334" t="s">
        <v>1266</v>
      </c>
      <c r="B230" s="362">
        <v>38482.928753576474</v>
      </c>
      <c r="C230" s="362">
        <v>38014.974990203074</v>
      </c>
      <c r="D230" s="362">
        <v>37547.640132705121</v>
      </c>
      <c r="E230" s="362">
        <v>37081.289231838142</v>
      </c>
      <c r="F230" s="362">
        <v>37146.452420425856</v>
      </c>
      <c r="G230" s="362">
        <v>37212.182296057188</v>
      </c>
      <c r="H230" s="362">
        <v>37278.481056800221</v>
      </c>
      <c r="I230" s="362">
        <v>37217.357218884063</v>
      </c>
      <c r="J230" s="362">
        <v>37156.806646862737</v>
      </c>
      <c r="K230" s="362">
        <v>37096.831564393055</v>
      </c>
      <c r="L230" s="362">
        <v>36833.490526646456</v>
      </c>
      <c r="M230" s="362">
        <v>36570.729423206278</v>
      </c>
      <c r="N230" s="362">
        <v>36308.550475170487</v>
      </c>
      <c r="O230" s="362">
        <v>36088.07889773538</v>
      </c>
      <c r="P230" s="362">
        <v>35868.193984431164</v>
      </c>
      <c r="Q230" s="362">
        <v>35648.898007533156</v>
      </c>
      <c r="R230" s="362">
        <v>35653.092177432562</v>
      </c>
      <c r="S230" s="362">
        <v>35657.825291122055</v>
      </c>
      <c r="T230" s="362">
        <v>35663.099480139157</v>
      </c>
      <c r="U230" s="362">
        <v>35567.181037275142</v>
      </c>
      <c r="V230" s="362">
        <v>35471.807960961407</v>
      </c>
      <c r="W230" s="362">
        <v>35376.982385294432</v>
      </c>
      <c r="X230" s="336">
        <f t="shared" si="3"/>
        <v>35984.981631641596</v>
      </c>
    </row>
    <row r="231" spans="1:24">
      <c r="A231" s="334" t="s">
        <v>1267</v>
      </c>
      <c r="B231" s="336">
        <v>1615.5176000000001</v>
      </c>
      <c r="C231" s="336">
        <v>1615.5176000000001</v>
      </c>
      <c r="D231" s="336">
        <v>1615.5176000000001</v>
      </c>
      <c r="E231" s="336">
        <v>1615.5176000000001</v>
      </c>
      <c r="F231" s="336">
        <v>1615.5176000000001</v>
      </c>
      <c r="G231" s="336">
        <v>1615.5176000000001</v>
      </c>
      <c r="H231" s="336">
        <v>1615.5176000000001</v>
      </c>
      <c r="I231" s="336">
        <v>1615.5176000000001</v>
      </c>
      <c r="J231" s="336">
        <v>1615.5176000000001</v>
      </c>
      <c r="K231" s="336">
        <v>1615.5176000000001</v>
      </c>
      <c r="L231" s="336">
        <v>1615.5176000000001</v>
      </c>
      <c r="M231" s="336">
        <v>1615.5176000000001</v>
      </c>
      <c r="N231" s="336">
        <v>1615.5176000000001</v>
      </c>
      <c r="O231" s="336">
        <v>1615.5176000000001</v>
      </c>
      <c r="P231" s="336">
        <v>1615.5176000000001</v>
      </c>
      <c r="Q231" s="336">
        <v>1615.5176000000001</v>
      </c>
      <c r="R231" s="336">
        <v>1615.5176000000001</v>
      </c>
      <c r="S231" s="336">
        <v>1615.5176000000001</v>
      </c>
      <c r="T231" s="336">
        <v>1615.5176000000001</v>
      </c>
      <c r="U231" s="336">
        <v>1615.5176000000001</v>
      </c>
      <c r="V231" s="336">
        <v>1615.5176000000001</v>
      </c>
      <c r="W231" s="336">
        <v>1615.5176000000001</v>
      </c>
      <c r="X231" s="336">
        <f t="shared" si="3"/>
        <v>1615.5175999999997</v>
      </c>
    </row>
    <row r="232" spans="1:24">
      <c r="A232" s="334" t="s">
        <v>1265</v>
      </c>
      <c r="B232" s="336">
        <v>40098.446353576473</v>
      </c>
      <c r="C232" s="336">
        <v>39630.492590203074</v>
      </c>
      <c r="D232" s="336">
        <v>39163.15773270512</v>
      </c>
      <c r="E232" s="336">
        <v>38696.806831838141</v>
      </c>
      <c r="F232" s="336">
        <v>38761.970020425855</v>
      </c>
      <c r="G232" s="336">
        <v>38827.699896057187</v>
      </c>
      <c r="H232" s="336">
        <v>38893.99865680022</v>
      </c>
      <c r="I232" s="336">
        <v>38832.874818884062</v>
      </c>
      <c r="J232" s="336">
        <v>38772.324246862736</v>
      </c>
      <c r="K232" s="336">
        <v>38712.349164393054</v>
      </c>
      <c r="L232" s="336">
        <v>38449.008126646455</v>
      </c>
      <c r="M232" s="336">
        <v>38186.247023206277</v>
      </c>
      <c r="N232" s="336">
        <v>37924.068075170486</v>
      </c>
      <c r="O232" s="336">
        <v>37703.59649773538</v>
      </c>
      <c r="P232" s="336">
        <v>37483.711584431163</v>
      </c>
      <c r="Q232" s="336">
        <v>37264.415607533156</v>
      </c>
      <c r="R232" s="336">
        <v>37268.609777432561</v>
      </c>
      <c r="S232" s="336">
        <v>37273.342891122054</v>
      </c>
      <c r="T232" s="336">
        <v>37278.617080139156</v>
      </c>
      <c r="U232" s="336">
        <v>37182.698637275142</v>
      </c>
      <c r="V232" s="336">
        <v>37087.325560961406</v>
      </c>
      <c r="W232" s="336">
        <v>36992.499985294431</v>
      </c>
      <c r="X232" s="336">
        <f t="shared" si="3"/>
        <v>37600.499231641596</v>
      </c>
    </row>
    <row r="233" spans="1:24">
      <c r="B233" s="358"/>
      <c r="C233" s="358"/>
      <c r="D233" s="358"/>
      <c r="E233" s="358"/>
      <c r="F233" s="358"/>
      <c r="G233" s="358"/>
      <c r="H233" s="358"/>
      <c r="I233" s="358"/>
      <c r="J233" s="358"/>
      <c r="K233" s="358"/>
      <c r="L233" s="358"/>
      <c r="M233" s="358"/>
      <c r="N233" s="358"/>
      <c r="O233" s="358"/>
      <c r="P233" s="358"/>
      <c r="Q233" s="358"/>
      <c r="R233" s="358"/>
      <c r="S233" s="358"/>
      <c r="T233" s="358"/>
      <c r="U233" s="358"/>
      <c r="V233" s="358"/>
      <c r="W233" s="358"/>
      <c r="X233" s="336">
        <f t="shared" si="3"/>
        <v>0</v>
      </c>
    </row>
    <row r="234" spans="1:24">
      <c r="A234" s="334" t="s">
        <v>1268</v>
      </c>
      <c r="B234" s="358"/>
      <c r="C234" s="358"/>
      <c r="D234" s="358"/>
      <c r="E234" s="358"/>
      <c r="F234" s="358"/>
      <c r="G234" s="358"/>
      <c r="H234" s="358"/>
      <c r="I234" s="358"/>
      <c r="J234" s="358"/>
      <c r="K234" s="358"/>
      <c r="L234" s="358"/>
      <c r="M234" s="358"/>
      <c r="N234" s="358"/>
      <c r="O234" s="358"/>
      <c r="P234" s="358"/>
      <c r="Q234" s="358"/>
      <c r="R234" s="358"/>
      <c r="S234" s="358"/>
      <c r="T234" s="358"/>
      <c r="U234" s="358"/>
      <c r="V234" s="358"/>
      <c r="W234" s="358"/>
      <c r="X234" s="336">
        <f t="shared" si="3"/>
        <v>0</v>
      </c>
    </row>
    <row r="235" spans="1:24">
      <c r="A235" s="334" t="s">
        <v>1269</v>
      </c>
      <c r="B235" s="336">
        <v>548.82126183055391</v>
      </c>
      <c r="C235" s="336">
        <v>552.19735002285972</v>
      </c>
      <c r="D235" s="336">
        <v>551.49521352128397</v>
      </c>
      <c r="E235" s="336">
        <v>548.20010044062951</v>
      </c>
      <c r="F235" s="336">
        <v>548.15555084450898</v>
      </c>
      <c r="G235" s="336">
        <v>548.46750849842442</v>
      </c>
      <c r="H235" s="336">
        <v>548.34756457716821</v>
      </c>
      <c r="I235" s="336">
        <v>550.34413666786804</v>
      </c>
      <c r="J235" s="336">
        <v>550.50723621928762</v>
      </c>
      <c r="K235" s="336">
        <v>552.27533289675046</v>
      </c>
      <c r="L235" s="336">
        <v>554.90073015444841</v>
      </c>
      <c r="M235" s="336">
        <v>555.85432604311404</v>
      </c>
      <c r="N235" s="336">
        <v>557.29932600063523</v>
      </c>
      <c r="O235" s="336">
        <v>557.44138615973975</v>
      </c>
      <c r="P235" s="336">
        <v>558.04388729391644</v>
      </c>
      <c r="Q235" s="336">
        <v>558.21206065123158</v>
      </c>
      <c r="R235" s="336">
        <v>557.81018055527329</v>
      </c>
      <c r="S235" s="336">
        <v>558.57988461932564</v>
      </c>
      <c r="T235" s="336">
        <v>558.42705515465241</v>
      </c>
      <c r="U235" s="336">
        <v>560.39312705524662</v>
      </c>
      <c r="V235" s="336">
        <v>562.48526770819569</v>
      </c>
      <c r="W235" s="336">
        <v>566.42585266568267</v>
      </c>
      <c r="X235" s="336">
        <f t="shared" si="3"/>
        <v>558.31910899678564</v>
      </c>
    </row>
    <row r="236" spans="1:24">
      <c r="A236" s="334" t="s">
        <v>1270</v>
      </c>
      <c r="B236" s="336">
        <v>315.13851714787063</v>
      </c>
      <c r="C236" s="336">
        <v>317.07709988997323</v>
      </c>
      <c r="D236" s="336">
        <v>316.67392626801126</v>
      </c>
      <c r="E236" s="336">
        <v>314.78184022417167</v>
      </c>
      <c r="F236" s="336">
        <v>314.75625941191572</v>
      </c>
      <c r="G236" s="336">
        <v>314.93538853701551</v>
      </c>
      <c r="H236" s="336">
        <v>314.866515568502</v>
      </c>
      <c r="I236" s="336">
        <v>316.01296672081946</v>
      </c>
      <c r="J236" s="336">
        <v>316.10662007275118</v>
      </c>
      <c r="K236" s="336">
        <v>317.12187841615292</v>
      </c>
      <c r="L236" s="336">
        <v>318.62940710765332</v>
      </c>
      <c r="M236" s="336">
        <v>319.17697116031059</v>
      </c>
      <c r="N236" s="336">
        <v>320.00670421834315</v>
      </c>
      <c r="O236" s="336">
        <v>320.08827654616562</v>
      </c>
      <c r="P236" s="336">
        <v>320.43423856915842</v>
      </c>
      <c r="Q236" s="336">
        <v>320.53080534988277</v>
      </c>
      <c r="R236" s="336">
        <v>320.30004188221187</v>
      </c>
      <c r="S236" s="336">
        <v>320.74201345703585</v>
      </c>
      <c r="T236" s="336">
        <v>320.65425728900226</v>
      </c>
      <c r="U236" s="336">
        <v>321.78319493491779</v>
      </c>
      <c r="V236" s="336">
        <v>322.98452248705388</v>
      </c>
      <c r="W236" s="336">
        <v>325.24724477309582</v>
      </c>
      <c r="X236" s="336">
        <f t="shared" si="3"/>
        <v>320.59227355315267</v>
      </c>
    </row>
    <row r="237" spans="1:24">
      <c r="A237" s="334" t="s">
        <v>1271</v>
      </c>
      <c r="B237" s="336">
        <v>34.534993649163461</v>
      </c>
      <c r="C237" s="336">
        <v>34.747436556151804</v>
      </c>
      <c r="D237" s="336">
        <v>34.703254084900806</v>
      </c>
      <c r="E237" s="336">
        <v>34.495906598154178</v>
      </c>
      <c r="F237" s="336">
        <v>34.493103281070645</v>
      </c>
      <c r="G237" s="336">
        <v>34.512733452760507</v>
      </c>
      <c r="H237" s="336">
        <v>34.50518589065436</v>
      </c>
      <c r="I237" s="336">
        <v>34.63082170192456</v>
      </c>
      <c r="J237" s="336">
        <v>34.641084864750411</v>
      </c>
      <c r="K237" s="336">
        <v>34.752343687565734</v>
      </c>
      <c r="L237" s="336">
        <v>34.917548798823105</v>
      </c>
      <c r="M237" s="336">
        <v>34.977554542494723</v>
      </c>
      <c r="N237" s="336">
        <v>35.06848225945231</v>
      </c>
      <c r="O237" s="336">
        <v>35.077421502578773</v>
      </c>
      <c r="P237" s="336">
        <v>35.11533434285942</v>
      </c>
      <c r="Q237" s="336">
        <v>35.125916778764811</v>
      </c>
      <c r="R237" s="336">
        <v>35.100628169290474</v>
      </c>
      <c r="S237" s="336">
        <v>35.149062380594749</v>
      </c>
      <c r="T237" s="336">
        <v>35.139445470757316</v>
      </c>
      <c r="U237" s="336">
        <v>35.263162034460315</v>
      </c>
      <c r="V237" s="336">
        <v>35.394811569906082</v>
      </c>
      <c r="W237" s="336">
        <v>35.642775863466589</v>
      </c>
      <c r="X237" s="336">
        <f t="shared" si="3"/>
        <v>35.132652877001107</v>
      </c>
    </row>
    <row r="238" spans="1:24">
      <c r="A238" s="334" t="s">
        <v>1268</v>
      </c>
      <c r="B238" s="336">
        <v>898.49477262758796</v>
      </c>
      <c r="C238" s="336">
        <v>904.0218864689848</v>
      </c>
      <c r="D238" s="336">
        <v>902.87239387419606</v>
      </c>
      <c r="E238" s="336">
        <v>897.47784726295538</v>
      </c>
      <c r="F238" s="336">
        <v>897.4049135374953</v>
      </c>
      <c r="G238" s="336">
        <v>897.91563048820046</v>
      </c>
      <c r="H238" s="336">
        <v>897.7192660363246</v>
      </c>
      <c r="I238" s="336">
        <v>900.98792509061207</v>
      </c>
      <c r="J238" s="336">
        <v>901.25494115678919</v>
      </c>
      <c r="K238" s="336">
        <v>904.14955500046915</v>
      </c>
      <c r="L238" s="336">
        <v>908.44768606092487</v>
      </c>
      <c r="M238" s="336">
        <v>910.0088517459194</v>
      </c>
      <c r="N238" s="336">
        <v>912.37451247843069</v>
      </c>
      <c r="O238" s="336">
        <v>912.60708420848414</v>
      </c>
      <c r="P238" s="336">
        <v>913.59346020593432</v>
      </c>
      <c r="Q238" s="336">
        <v>913.86878277987921</v>
      </c>
      <c r="R238" s="336">
        <v>913.21085060677569</v>
      </c>
      <c r="S238" s="336">
        <v>914.47096045695628</v>
      </c>
      <c r="T238" s="336">
        <v>914.22075791441205</v>
      </c>
      <c r="U238" s="336">
        <v>917.43948402462468</v>
      </c>
      <c r="V238" s="336">
        <v>920.86460176515561</v>
      </c>
      <c r="W238" s="336">
        <v>927.31587330224511</v>
      </c>
      <c r="X238" s="336">
        <f t="shared" si="3"/>
        <v>914.04403542693933</v>
      </c>
    </row>
    <row r="239" spans="1:24">
      <c r="B239" s="358"/>
      <c r="C239" s="358"/>
      <c r="D239" s="358"/>
      <c r="E239" s="358"/>
      <c r="F239" s="358"/>
      <c r="G239" s="358"/>
      <c r="H239" s="358"/>
      <c r="I239" s="358"/>
      <c r="J239" s="358"/>
      <c r="K239" s="358"/>
      <c r="L239" s="358"/>
      <c r="M239" s="358"/>
      <c r="N239" s="358"/>
      <c r="O239" s="358"/>
      <c r="P239" s="358"/>
      <c r="Q239" s="358"/>
      <c r="R239" s="358"/>
      <c r="S239" s="358"/>
      <c r="T239" s="358"/>
      <c r="U239" s="358"/>
      <c r="V239" s="358"/>
      <c r="W239" s="358"/>
      <c r="X239" s="336">
        <f t="shared" si="3"/>
        <v>0</v>
      </c>
    </row>
    <row r="240" spans="1:24">
      <c r="A240" s="334" t="s">
        <v>1272</v>
      </c>
      <c r="B240" s="358"/>
      <c r="C240" s="358"/>
      <c r="D240" s="358"/>
      <c r="E240" s="358"/>
      <c r="F240" s="358"/>
      <c r="G240" s="358"/>
      <c r="H240" s="358"/>
      <c r="I240" s="358"/>
      <c r="J240" s="358"/>
      <c r="K240" s="358"/>
      <c r="L240" s="358"/>
      <c r="M240" s="358"/>
      <c r="N240" s="358"/>
      <c r="O240" s="358"/>
      <c r="P240" s="358"/>
      <c r="Q240" s="358"/>
      <c r="R240" s="358"/>
      <c r="S240" s="358"/>
      <c r="T240" s="358"/>
      <c r="U240" s="358"/>
      <c r="V240" s="358"/>
      <c r="W240" s="358"/>
      <c r="X240" s="336">
        <f t="shared" si="3"/>
        <v>0</v>
      </c>
    </row>
    <row r="241" spans="1:24">
      <c r="A241" s="334" t="s">
        <v>1273</v>
      </c>
      <c r="B241" s="336">
        <v>106.78809206883416</v>
      </c>
      <c r="C241" s="336">
        <v>107.44500178022169</v>
      </c>
      <c r="D241" s="336">
        <v>107.30838204153834</v>
      </c>
      <c r="E241" s="336">
        <v>106.66722823882216</v>
      </c>
      <c r="F241" s="336">
        <v>106.65855990415108</v>
      </c>
      <c r="G241" s="336">
        <v>106.71925974394371</v>
      </c>
      <c r="H241" s="336">
        <v>106.6959213942896</v>
      </c>
      <c r="I241" s="336">
        <v>107.08440875633636</v>
      </c>
      <c r="J241" s="336">
        <v>107.11614420670007</v>
      </c>
      <c r="K241" s="336">
        <v>107.46017546771525</v>
      </c>
      <c r="L241" s="336">
        <v>107.97101785588583</v>
      </c>
      <c r="M241" s="336">
        <v>108.15656585236037</v>
      </c>
      <c r="N241" s="336">
        <v>108.43772986555575</v>
      </c>
      <c r="O241" s="336">
        <v>108.46537153034689</v>
      </c>
      <c r="P241" s="336">
        <v>108.5826045004644</v>
      </c>
      <c r="Q241" s="336">
        <v>108.61532719765837</v>
      </c>
      <c r="R241" s="336">
        <v>108.53713050290079</v>
      </c>
      <c r="S241" s="336">
        <v>108.68689734718016</v>
      </c>
      <c r="T241" s="336">
        <v>108.65716022130803</v>
      </c>
      <c r="U241" s="336">
        <v>109.03971294245139</v>
      </c>
      <c r="V241" s="336">
        <v>109.44679576559655</v>
      </c>
      <c r="W241" s="336">
        <v>110.21354366425049</v>
      </c>
      <c r="X241" s="336">
        <f t="shared" si="3"/>
        <v>108.63615636259033</v>
      </c>
    </row>
    <row r="242" spans="1:24">
      <c r="A242" s="334" t="s">
        <v>1274</v>
      </c>
      <c r="B242" s="336">
        <v>620.5740736207764</v>
      </c>
      <c r="C242" s="336">
        <v>624.39155109133594</v>
      </c>
      <c r="D242" s="336">
        <v>623.59761736586881</v>
      </c>
      <c r="E242" s="336">
        <v>619.87170168125715</v>
      </c>
      <c r="F242" s="336">
        <v>619.82132767743212</v>
      </c>
      <c r="G242" s="336">
        <v>620.17407062955795</v>
      </c>
      <c r="H242" s="336">
        <v>620.0384452575164</v>
      </c>
      <c r="I242" s="336">
        <v>622.29604889238749</v>
      </c>
      <c r="J242" s="336">
        <v>622.48047205539058</v>
      </c>
      <c r="K242" s="336">
        <v>624.47972943479442</v>
      </c>
      <c r="L242" s="336">
        <v>627.44837074735619</v>
      </c>
      <c r="M242" s="336">
        <v>628.5266396235354</v>
      </c>
      <c r="N242" s="336">
        <v>630.16055866491831</v>
      </c>
      <c r="O242" s="336">
        <v>630.3211917485213</v>
      </c>
      <c r="P242" s="336">
        <v>631.00246379317582</v>
      </c>
      <c r="Q242" s="336">
        <v>631.19262411071793</v>
      </c>
      <c r="R242" s="336">
        <v>630.73820226958117</v>
      </c>
      <c r="S242" s="336">
        <v>631.60853733079625</v>
      </c>
      <c r="T242" s="336">
        <v>631.43572696418403</v>
      </c>
      <c r="U242" s="336">
        <v>633.65884281853994</v>
      </c>
      <c r="V242" s="336">
        <v>636.02450963556112</v>
      </c>
      <c r="W242" s="336">
        <v>640.48028609611572</v>
      </c>
      <c r="X242" s="336">
        <f t="shared" si="3"/>
        <v>631.31366794136898</v>
      </c>
    </row>
    <row r="243" spans="1:24">
      <c r="A243" s="334" t="s">
        <v>1272</v>
      </c>
      <c r="B243" s="336">
        <v>727.36216568961061</v>
      </c>
      <c r="C243" s="336">
        <v>731.83655287155761</v>
      </c>
      <c r="D243" s="336">
        <v>730.90599940740719</v>
      </c>
      <c r="E243" s="336">
        <v>726.53892992007934</v>
      </c>
      <c r="F243" s="336">
        <v>726.47988758158317</v>
      </c>
      <c r="G243" s="336">
        <v>726.89333037350161</v>
      </c>
      <c r="H243" s="336">
        <v>726.734366651806</v>
      </c>
      <c r="I243" s="336">
        <v>729.3804576487239</v>
      </c>
      <c r="J243" s="336">
        <v>729.59661626209061</v>
      </c>
      <c r="K243" s="336">
        <v>731.93990490250962</v>
      </c>
      <c r="L243" s="336">
        <v>735.41938860324206</v>
      </c>
      <c r="M243" s="336">
        <v>736.68320547589576</v>
      </c>
      <c r="N243" s="336">
        <v>738.59828853047406</v>
      </c>
      <c r="O243" s="336">
        <v>738.78656327886824</v>
      </c>
      <c r="P243" s="336">
        <v>739.58506829364023</v>
      </c>
      <c r="Q243" s="336">
        <v>739.80795130837635</v>
      </c>
      <c r="R243" s="336">
        <v>739.27533277248199</v>
      </c>
      <c r="S243" s="336">
        <v>740.29543467797646</v>
      </c>
      <c r="T243" s="336">
        <v>740.09288718549203</v>
      </c>
      <c r="U243" s="336">
        <v>742.69855576099133</v>
      </c>
      <c r="V243" s="336">
        <v>745.47130540115768</v>
      </c>
      <c r="W243" s="336">
        <v>750.69382976036627</v>
      </c>
      <c r="X243" s="336">
        <f t="shared" si="3"/>
        <v>739.9498243039593</v>
      </c>
    </row>
    <row r="244" spans="1:24">
      <c r="B244" s="358"/>
      <c r="C244" s="358"/>
      <c r="D244" s="358"/>
      <c r="E244" s="358"/>
      <c r="F244" s="358"/>
      <c r="G244" s="358"/>
      <c r="H244" s="358"/>
      <c r="I244" s="358"/>
      <c r="J244" s="358"/>
      <c r="K244" s="358"/>
      <c r="L244" s="358"/>
      <c r="M244" s="358"/>
      <c r="N244" s="358"/>
      <c r="O244" s="358"/>
      <c r="P244" s="358"/>
      <c r="Q244" s="358"/>
      <c r="R244" s="358"/>
      <c r="S244" s="358"/>
      <c r="T244" s="358"/>
      <c r="U244" s="358"/>
      <c r="V244" s="358"/>
      <c r="W244" s="358"/>
      <c r="X244" s="336">
        <f t="shared" si="3"/>
        <v>0</v>
      </c>
    </row>
    <row r="245" spans="1:24">
      <c r="A245" s="334" t="s">
        <v>1276</v>
      </c>
      <c r="X245" s="336">
        <f t="shared" si="3"/>
        <v>0</v>
      </c>
    </row>
    <row r="246" spans="1:24">
      <c r="B246" s="358"/>
      <c r="C246" s="358"/>
      <c r="D246" s="358"/>
      <c r="E246" s="358"/>
      <c r="F246" s="358"/>
      <c r="G246" s="358"/>
      <c r="H246" s="358"/>
      <c r="I246" s="358"/>
      <c r="J246" s="358"/>
      <c r="K246" s="358"/>
      <c r="L246" s="358"/>
      <c r="M246" s="358"/>
      <c r="N246" s="358"/>
      <c r="O246" s="358"/>
      <c r="P246" s="358"/>
      <c r="Q246" s="358"/>
      <c r="R246" s="358"/>
      <c r="S246" s="358"/>
      <c r="T246" s="358"/>
      <c r="U246" s="358"/>
      <c r="V246" s="358"/>
      <c r="W246" s="358"/>
      <c r="X246" s="336">
        <f t="shared" si="3"/>
        <v>0</v>
      </c>
    </row>
    <row r="247" spans="1:24">
      <c r="A247" s="334" t="s">
        <v>1277</v>
      </c>
      <c r="B247" s="358"/>
      <c r="C247" s="358"/>
      <c r="D247" s="358"/>
      <c r="E247" s="358"/>
      <c r="F247" s="358"/>
      <c r="G247" s="358"/>
      <c r="H247" s="358"/>
      <c r="I247" s="358"/>
      <c r="J247" s="358"/>
      <c r="K247" s="358"/>
      <c r="L247" s="358"/>
      <c r="M247" s="358"/>
      <c r="N247" s="358"/>
      <c r="O247" s="358"/>
      <c r="P247" s="358"/>
      <c r="Q247" s="358"/>
      <c r="R247" s="358"/>
      <c r="S247" s="358"/>
      <c r="T247" s="358"/>
      <c r="U247" s="358"/>
      <c r="V247" s="358"/>
      <c r="W247" s="358"/>
      <c r="X247" s="336">
        <f t="shared" si="3"/>
        <v>0</v>
      </c>
    </row>
    <row r="248" spans="1:24">
      <c r="A248" s="334" t="s">
        <v>1278</v>
      </c>
      <c r="B248" s="336">
        <v>530.61418498680302</v>
      </c>
      <c r="C248" s="336">
        <v>539.77337066408882</v>
      </c>
      <c r="D248" s="336">
        <v>544.97463463118015</v>
      </c>
      <c r="E248" s="336">
        <v>547.5709064838627</v>
      </c>
      <c r="F248" s="336">
        <v>552.81067836508794</v>
      </c>
      <c r="G248" s="336">
        <v>558.41256291834168</v>
      </c>
      <c r="H248" s="336">
        <v>563.57656549703472</v>
      </c>
      <c r="I248" s="336">
        <v>570.93395596840014</v>
      </c>
      <c r="J248" s="336">
        <v>576.41009831319309</v>
      </c>
      <c r="K248" s="336">
        <v>583.58537417295986</v>
      </c>
      <c r="L248" s="336">
        <v>591.70890708203751</v>
      </c>
      <c r="M248" s="336">
        <v>598.08424500801175</v>
      </c>
      <c r="N248" s="336">
        <v>605.01144312902125</v>
      </c>
      <c r="O248" s="336">
        <v>610.53945215662372</v>
      </c>
      <c r="P248" s="336">
        <v>616.57893826736711</v>
      </c>
      <c r="Q248" s="336">
        <v>622.14596791184806</v>
      </c>
      <c r="R248" s="336">
        <v>627.07540100658571</v>
      </c>
      <c r="S248" s="336">
        <v>633.32544377797421</v>
      </c>
      <c r="T248" s="336">
        <v>638.53545225947357</v>
      </c>
      <c r="U248" s="336">
        <v>646.18580605791306</v>
      </c>
      <c r="V248" s="336">
        <v>654.02065049071825</v>
      </c>
      <c r="W248" s="336">
        <v>664.0628996864292</v>
      </c>
      <c r="X248" s="336">
        <f t="shared" si="3"/>
        <v>622.37384469284325</v>
      </c>
    </row>
    <row r="249" spans="1:24">
      <c r="A249" s="334" t="s">
        <v>1279</v>
      </c>
      <c r="B249" s="336">
        <v>4042.8118172178229</v>
      </c>
      <c r="C249" s="336">
        <v>3958.0434485760061</v>
      </c>
      <c r="D249" s="336">
        <v>3843.5122482363636</v>
      </c>
      <c r="E249" s="336">
        <v>14200.100294189546</v>
      </c>
      <c r="F249" s="336">
        <v>14069.043493079169</v>
      </c>
      <c r="G249" s="336">
        <v>13947.073490298224</v>
      </c>
      <c r="H249" s="336">
        <v>13814.075085218699</v>
      </c>
      <c r="I249" s="336">
        <v>13733.951623483868</v>
      </c>
      <c r="J249" s="336">
        <v>13607.561673134731</v>
      </c>
      <c r="K249" s="336">
        <v>13520.386744569043</v>
      </c>
      <c r="L249" s="336">
        <v>13453.158422410786</v>
      </c>
      <c r="M249" s="336">
        <v>13344.550354811143</v>
      </c>
      <c r="N249" s="336">
        <v>13247.171138917116</v>
      </c>
      <c r="O249" s="336">
        <v>13118.444551357456</v>
      </c>
      <c r="P249" s="336">
        <v>13000.377219586659</v>
      </c>
      <c r="Q249" s="336">
        <v>12872.009006781589</v>
      </c>
      <c r="R249" s="336">
        <v>9835.0105269457508</v>
      </c>
      <c r="S249" s="336">
        <v>9704.3952091129122</v>
      </c>
      <c r="T249" s="336">
        <v>9557.5931736974708</v>
      </c>
      <c r="U249" s="336">
        <v>9446.5885155826036</v>
      </c>
      <c r="V249" s="336">
        <v>9336.6614606291059</v>
      </c>
      <c r="W249" s="336">
        <v>9255.8594006109724</v>
      </c>
      <c r="X249" s="336">
        <f t="shared" si="3"/>
        <v>11514.785055770202</v>
      </c>
    </row>
    <row r="250" spans="1:24">
      <c r="A250" s="334" t="s">
        <v>1280</v>
      </c>
      <c r="B250" s="336">
        <v>11329.524672639496</v>
      </c>
      <c r="C250" s="336">
        <v>11455.008839010146</v>
      </c>
      <c r="D250" s="336">
        <v>11496.162793834073</v>
      </c>
      <c r="E250" s="336">
        <v>12530.308947530399</v>
      </c>
      <c r="F250" s="336">
        <v>12581.069187681591</v>
      </c>
      <c r="G250" s="336">
        <v>12640.037113342318</v>
      </c>
      <c r="H250" s="336">
        <v>12425.22791870676</v>
      </c>
      <c r="I250" s="336">
        <v>12522.454299528848</v>
      </c>
      <c r="J250" s="336">
        <v>12578.166101585313</v>
      </c>
      <c r="K250" s="336">
        <v>12245.679926079576</v>
      </c>
      <c r="L250" s="336">
        <v>12356.308899714908</v>
      </c>
      <c r="M250" s="336">
        <v>12430.048934992139</v>
      </c>
      <c r="N250" s="336">
        <v>12246.85552967006</v>
      </c>
      <c r="O250" s="336">
        <v>12302.6330073918</v>
      </c>
      <c r="P250" s="336">
        <v>12368.642667081618</v>
      </c>
      <c r="Q250" s="336">
        <v>12156.510572180341</v>
      </c>
      <c r="R250" s="336">
        <v>12200.386341247213</v>
      </c>
      <c r="S250" s="336">
        <v>12269.921622508542</v>
      </c>
      <c r="T250" s="336">
        <v>12043.167259484982</v>
      </c>
      <c r="U250" s="336">
        <v>12138.439462022772</v>
      </c>
      <c r="V250" s="336">
        <v>12236.825267096681</v>
      </c>
      <c r="W250" s="336">
        <v>11925.663286929883</v>
      </c>
      <c r="X250" s="336">
        <f t="shared" si="3"/>
        <v>12224.698675107733</v>
      </c>
    </row>
    <row r="251" spans="1:24">
      <c r="A251" s="334" t="s">
        <v>1277</v>
      </c>
      <c r="B251" s="336">
        <v>15902.950674844122</v>
      </c>
      <c r="C251" s="336">
        <v>15952.825658250242</v>
      </c>
      <c r="D251" s="336">
        <v>15884.649676701618</v>
      </c>
      <c r="E251" s="336">
        <v>27277.980148203809</v>
      </c>
      <c r="F251" s="336">
        <v>27202.923359125845</v>
      </c>
      <c r="G251" s="336">
        <v>27145.523166558884</v>
      </c>
      <c r="H251" s="336">
        <v>26802.879569422494</v>
      </c>
      <c r="I251" s="336">
        <v>26827.339878981118</v>
      </c>
      <c r="J251" s="336">
        <v>26762.137873033236</v>
      </c>
      <c r="K251" s="336">
        <v>26349.652044821582</v>
      </c>
      <c r="L251" s="336">
        <v>26401.176229207733</v>
      </c>
      <c r="M251" s="336">
        <v>26372.683534811295</v>
      </c>
      <c r="N251" s="336">
        <v>26099.038111716196</v>
      </c>
      <c r="O251" s="336">
        <v>26031.61701090588</v>
      </c>
      <c r="P251" s="336">
        <v>25985.598824935645</v>
      </c>
      <c r="Q251" s="336">
        <v>25650.665546873781</v>
      </c>
      <c r="R251" s="336">
        <v>22662.472269199548</v>
      </c>
      <c r="S251" s="336">
        <v>22607.642275399427</v>
      </c>
      <c r="T251" s="336">
        <v>22239.295885441927</v>
      </c>
      <c r="U251" s="336">
        <v>22231.21378366329</v>
      </c>
      <c r="V251" s="336">
        <v>22227.507378216505</v>
      </c>
      <c r="W251" s="336">
        <v>21845.585587227284</v>
      </c>
      <c r="X251" s="336">
        <f t="shared" si="3"/>
        <v>24361.857575570779</v>
      </c>
    </row>
    <row r="252" spans="1:24">
      <c r="B252" s="358"/>
      <c r="C252" s="358"/>
      <c r="D252" s="358"/>
      <c r="E252" s="358"/>
      <c r="F252" s="358"/>
      <c r="G252" s="358"/>
      <c r="H252" s="358"/>
      <c r="I252" s="358"/>
      <c r="J252" s="358"/>
      <c r="K252" s="358"/>
      <c r="L252" s="358"/>
      <c r="M252" s="358"/>
      <c r="N252" s="358"/>
      <c r="O252" s="358"/>
      <c r="P252" s="358"/>
      <c r="Q252" s="358"/>
      <c r="R252" s="358"/>
      <c r="S252" s="358"/>
      <c r="T252" s="358"/>
      <c r="U252" s="358"/>
      <c r="V252" s="358"/>
      <c r="W252" s="358"/>
      <c r="X252" s="336">
        <f t="shared" si="3"/>
        <v>0</v>
      </c>
    </row>
    <row r="253" spans="1:24">
      <c r="A253" s="334" t="s">
        <v>1281</v>
      </c>
      <c r="B253" s="366">
        <v>7341.6617154099513</v>
      </c>
      <c r="C253" s="366">
        <v>13021.438951772987</v>
      </c>
      <c r="D253" s="366">
        <v>13481.778647220926</v>
      </c>
      <c r="E253" s="366">
        <v>7891.3157679772703</v>
      </c>
      <c r="F253" s="366">
        <v>-2682.8239515993046</v>
      </c>
      <c r="G253" s="366">
        <v>-13521.389276752947</v>
      </c>
      <c r="H253" s="366">
        <v>-19882.008524912759</v>
      </c>
      <c r="I253" s="366">
        <v>-24791.624266069732</v>
      </c>
      <c r="J253" s="366">
        <v>-22850.316357540898</v>
      </c>
      <c r="K253" s="366">
        <v>-17267.434253970627</v>
      </c>
      <c r="L253" s="366">
        <v>-8916.50193438516</v>
      </c>
      <c r="M253" s="366">
        <v>3239.5097399968654</v>
      </c>
      <c r="N253" s="366">
        <v>10597.764449103735</v>
      </c>
      <c r="O253" s="366">
        <v>16799.145203333348</v>
      </c>
      <c r="P253" s="366">
        <v>16778.761763761053</v>
      </c>
      <c r="Q253" s="366">
        <v>11233.33925620676</v>
      </c>
      <c r="R253" s="366">
        <v>174.60827145562507</v>
      </c>
      <c r="S253" s="366">
        <v>-11077.475778414635</v>
      </c>
      <c r="T253" s="366">
        <v>-17841.03715624148</v>
      </c>
      <c r="U253" s="366">
        <v>-22866.681928534759</v>
      </c>
      <c r="V253" s="366">
        <v>-21611.58922781609</v>
      </c>
      <c r="W253" s="366">
        <v>-17105.958404818317</v>
      </c>
      <c r="X253" s="336">
        <f t="shared" si="3"/>
        <v>-4451.0423077172063</v>
      </c>
    </row>
    <row r="254" spans="1:24">
      <c r="A254" s="334" t="s">
        <v>1264</v>
      </c>
      <c r="B254" s="358"/>
      <c r="C254" s="358"/>
      <c r="D254" s="358"/>
      <c r="E254" s="358"/>
      <c r="F254" s="358"/>
      <c r="G254" s="358"/>
      <c r="H254" s="358"/>
      <c r="I254" s="358"/>
      <c r="J254" s="358"/>
      <c r="K254" s="358"/>
      <c r="L254" s="358"/>
      <c r="M254" s="358"/>
      <c r="N254" s="358"/>
      <c r="O254" s="358"/>
      <c r="P254" s="358"/>
      <c r="Q254" s="358"/>
      <c r="R254" s="358"/>
      <c r="S254" s="358"/>
      <c r="T254" s="358"/>
      <c r="U254" s="358"/>
      <c r="V254" s="358"/>
      <c r="W254" s="358"/>
      <c r="X254" s="336">
        <f t="shared" si="3"/>
        <v>0</v>
      </c>
    </row>
    <row r="255" spans="1:24" ht="15.75" thickBot="1">
      <c r="A255" s="356" t="s">
        <v>292</v>
      </c>
      <c r="B255" s="359">
        <v>306482.41569495667</v>
      </c>
      <c r="C255" s="359">
        <v>311762.59732528066</v>
      </c>
      <c r="D255" s="359">
        <v>311644.5462267563</v>
      </c>
      <c r="E255" s="359">
        <v>323737.8640674444</v>
      </c>
      <c r="F255" s="359">
        <v>313114.73588644434</v>
      </c>
      <c r="G255" s="359">
        <v>302252.80671112193</v>
      </c>
      <c r="H255" s="359">
        <v>300448.84570735967</v>
      </c>
      <c r="I255" s="359">
        <v>295494.78432701487</v>
      </c>
      <c r="J255" s="359">
        <v>297274.26462708181</v>
      </c>
      <c r="K255" s="359">
        <v>307246.46492388967</v>
      </c>
      <c r="L255" s="359">
        <v>315387.29531499435</v>
      </c>
      <c r="M255" s="359">
        <v>327228.73700123519</v>
      </c>
      <c r="N255" s="359">
        <v>338918.97999253764</v>
      </c>
      <c r="O255" s="359">
        <v>344807.01061351103</v>
      </c>
      <c r="P255" s="359">
        <v>344502.71241279825</v>
      </c>
      <c r="Q255" s="359">
        <v>343251.18399812788</v>
      </c>
      <c r="R255" s="359">
        <v>329176.75736905617</v>
      </c>
      <c r="S255" s="359">
        <v>317862.05586210167</v>
      </c>
      <c r="T255" s="359">
        <v>315633.14526481292</v>
      </c>
      <c r="U255" s="359">
        <v>310506.87831845181</v>
      </c>
      <c r="V255" s="359">
        <v>311667.24239608453</v>
      </c>
      <c r="W255" s="359">
        <v>320653.4295148066</v>
      </c>
      <c r="X255" s="336">
        <f t="shared" si="3"/>
        <v>325141.68407556979</v>
      </c>
    </row>
    <row r="256" spans="1:24">
      <c r="X256" s="336">
        <f t="shared" si="3"/>
        <v>0</v>
      </c>
    </row>
    <row r="257" spans="1:24" ht="15.75" thickBot="1">
      <c r="A257" s="356" t="s">
        <v>1282</v>
      </c>
      <c r="B257" s="359">
        <v>1021126.6200061983</v>
      </c>
      <c r="C257" s="359">
        <v>1036580.2443312212</v>
      </c>
      <c r="D257" s="359">
        <v>1044363.4334583709</v>
      </c>
      <c r="E257" s="359">
        <v>1054598.3378668095</v>
      </c>
      <c r="F257" s="359">
        <v>1044577.936492255</v>
      </c>
      <c r="G257" s="359">
        <v>1031497.6759602295</v>
      </c>
      <c r="H257" s="359">
        <v>1025716.0209254518</v>
      </c>
      <c r="I257" s="359">
        <v>1025225.7788376793</v>
      </c>
      <c r="J257" s="359">
        <v>1031789.5392432632</v>
      </c>
      <c r="K257" s="359">
        <v>1047037.7218553787</v>
      </c>
      <c r="L257" s="359">
        <v>1065469.3095374373</v>
      </c>
      <c r="M257" s="359">
        <v>1084877.9607113993</v>
      </c>
      <c r="N257" s="359">
        <v>1100056.2634209609</v>
      </c>
      <c r="O257" s="359">
        <v>1114273.0657492098</v>
      </c>
      <c r="P257" s="359">
        <v>1122603.5100009548</v>
      </c>
      <c r="Q257" s="359">
        <v>1123544.3960508325</v>
      </c>
      <c r="R257" s="359">
        <v>1115351.8085458002</v>
      </c>
      <c r="S257" s="359">
        <v>1105924.3851550631</v>
      </c>
      <c r="T257" s="359">
        <v>1103169.3898092883</v>
      </c>
      <c r="U257" s="359">
        <v>1105218.4901934979</v>
      </c>
      <c r="V257" s="359">
        <v>1115226.0432227631</v>
      </c>
      <c r="W257" s="359">
        <v>1134410.3550567837</v>
      </c>
      <c r="X257" s="336">
        <f t="shared" si="3"/>
        <v>1102858.6691776437</v>
      </c>
    </row>
    <row r="258" spans="1:24">
      <c r="B258" s="336">
        <v>0</v>
      </c>
      <c r="C258" s="336">
        <v>0</v>
      </c>
      <c r="D258" s="336">
        <v>0</v>
      </c>
      <c r="E258" s="336">
        <v>0</v>
      </c>
      <c r="F258" s="336">
        <v>0</v>
      </c>
      <c r="G258" s="336">
        <v>0</v>
      </c>
      <c r="H258" s="336">
        <v>0</v>
      </c>
      <c r="I258" s="336">
        <v>0</v>
      </c>
      <c r="J258" s="336">
        <v>0</v>
      </c>
      <c r="K258" s="336">
        <v>0</v>
      </c>
      <c r="L258" s="336">
        <v>0</v>
      </c>
      <c r="M258" s="336">
        <v>0</v>
      </c>
      <c r="N258" s="336">
        <v>0</v>
      </c>
      <c r="O258" s="336">
        <v>0</v>
      </c>
      <c r="P258" s="336">
        <v>0</v>
      </c>
      <c r="Q258" s="336">
        <v>0</v>
      </c>
      <c r="R258" s="336">
        <v>0</v>
      </c>
      <c r="S258" s="336">
        <v>0</v>
      </c>
      <c r="T258" s="336">
        <v>0</v>
      </c>
      <c r="U258" s="336">
        <v>0</v>
      </c>
      <c r="V258" s="336">
        <v>0</v>
      </c>
      <c r="W258" s="336">
        <v>0</v>
      </c>
    </row>
    <row r="260" spans="1:24">
      <c r="B260" s="336">
        <v>-6.2327475752681494E-3</v>
      </c>
      <c r="C260" s="336">
        <v>6.3206383492797613E-4</v>
      </c>
      <c r="D260" s="336">
        <v>-1.1710799299180508E-4</v>
      </c>
      <c r="E260" s="336">
        <v>6.9935618666931987E-3</v>
      </c>
      <c r="F260" s="336">
        <v>1.4410063158720732E-4</v>
      </c>
      <c r="G260" s="336">
        <v>1.4410843141376972E-4</v>
      </c>
      <c r="H260" s="336">
        <v>-7.1364582981914282E-4</v>
      </c>
      <c r="I260" s="336">
        <v>-1.7847283743321896E-5</v>
      </c>
      <c r="J260" s="336">
        <v>-1.7845071852207184E-5</v>
      </c>
      <c r="K260" s="336">
        <v>-6.9693522527813911E-4</v>
      </c>
      <c r="L260" s="336">
        <v>-1.7969054169952869E-4</v>
      </c>
      <c r="M260" s="336">
        <v>-1.7969124019145966E-4</v>
      </c>
      <c r="N260" s="336">
        <v>-6.8433023989200592E-4</v>
      </c>
      <c r="O260" s="336">
        <v>-3.4141819924116135E-4</v>
      </c>
      <c r="P260" s="336">
        <v>-3.4141610376536846E-4</v>
      </c>
      <c r="Q260" s="336">
        <v>-7.337366696447134E-4</v>
      </c>
      <c r="R260" s="336">
        <v>-5.0313840620219707E-4</v>
      </c>
      <c r="S260" s="336">
        <v>-5.0314678810536861E-4</v>
      </c>
      <c r="T260" s="336">
        <v>-6.7041954025626183E-4</v>
      </c>
      <c r="U260" s="336">
        <v>-6.7012361250817776E-4</v>
      </c>
      <c r="V260" s="336">
        <v>-6.701294332742691E-4</v>
      </c>
      <c r="W260" s="336">
        <v>-8.3751021884381771E-4</v>
      </c>
    </row>
  </sheetData>
  <pageMargins left="0.75" right="0.75" top="1" bottom="1" header="0.5" footer="0.5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G311"/>
  <sheetViews>
    <sheetView zoomScale="70" zoomScaleNormal="70" workbookViewId="0">
      <pane xSplit="1" ySplit="3" topLeftCell="G4" activePane="bottomRight" state="frozen"/>
      <selection activeCell="B9" sqref="B9"/>
      <selection pane="topRight" activeCell="B9" sqref="B9"/>
      <selection pane="bottomLeft" activeCell="B9" sqref="B9"/>
      <selection pane="bottomRight" activeCell="AA46" sqref="AA46"/>
    </sheetView>
  </sheetViews>
  <sheetFormatPr defaultColWidth="9" defaultRowHeight="15.75" outlineLevelRow="1"/>
  <cols>
    <col min="1" max="1" width="26.88671875" style="406" customWidth="1"/>
    <col min="2" max="15" width="9.33203125" style="407" customWidth="1"/>
    <col min="16" max="16" width="9.33203125" style="118" customWidth="1"/>
    <col min="17" max="32" width="9.33203125" style="407" customWidth="1"/>
    <col min="33" max="33" width="9.33203125" style="118" customWidth="1"/>
    <col min="34" max="16384" width="9" style="118"/>
  </cols>
  <sheetData>
    <row r="1" spans="1:33" s="117" customFormat="1">
      <c r="A1" s="401"/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  <c r="AD1" s="402"/>
      <c r="AE1" s="402"/>
      <c r="AF1" s="402"/>
    </row>
    <row r="2" spans="1:33" s="117" customFormat="1" ht="30.75">
      <c r="A2" s="401"/>
      <c r="B2" s="402" t="s">
        <v>1312</v>
      </c>
      <c r="C2" s="402" t="s">
        <v>1313</v>
      </c>
      <c r="D2" s="402" t="s">
        <v>1314</v>
      </c>
      <c r="E2" s="402" t="s">
        <v>1315</v>
      </c>
      <c r="F2" s="402" t="s">
        <v>1316</v>
      </c>
      <c r="G2" s="402" t="s">
        <v>1317</v>
      </c>
      <c r="H2" s="402" t="s">
        <v>1318</v>
      </c>
      <c r="I2" s="402" t="s">
        <v>1319</v>
      </c>
      <c r="J2" s="402" t="s">
        <v>1320</v>
      </c>
      <c r="K2" s="402" t="s">
        <v>1321</v>
      </c>
      <c r="L2" s="402" t="s">
        <v>1322</v>
      </c>
      <c r="M2" s="402" t="s">
        <v>1323</v>
      </c>
      <c r="N2" s="402" t="s">
        <v>1324</v>
      </c>
      <c r="O2" s="402" t="s">
        <v>1325</v>
      </c>
      <c r="P2" s="117" t="s">
        <v>1026</v>
      </c>
      <c r="Q2" s="402" t="s">
        <v>1691</v>
      </c>
      <c r="R2" s="402" t="s">
        <v>1692</v>
      </c>
      <c r="S2" s="402" t="s">
        <v>1693</v>
      </c>
      <c r="T2" s="402" t="s">
        <v>1335</v>
      </c>
      <c r="U2" s="402" t="s">
        <v>1336</v>
      </c>
      <c r="V2" s="402" t="s">
        <v>1337</v>
      </c>
      <c r="W2" s="402" t="s">
        <v>1338</v>
      </c>
      <c r="X2" s="402" t="s">
        <v>1339</v>
      </c>
      <c r="Y2" s="402" t="s">
        <v>1340</v>
      </c>
      <c r="Z2" s="402" t="s">
        <v>1341</v>
      </c>
      <c r="AA2" s="402" t="s">
        <v>1342</v>
      </c>
      <c r="AB2" s="402" t="s">
        <v>1343</v>
      </c>
      <c r="AC2" s="402" t="s">
        <v>1344</v>
      </c>
      <c r="AD2" s="402" t="s">
        <v>1345</v>
      </c>
      <c r="AE2" s="402" t="s">
        <v>1346</v>
      </c>
      <c r="AF2" s="402" t="s">
        <v>1347</v>
      </c>
      <c r="AG2" s="117" t="s">
        <v>1027</v>
      </c>
    </row>
    <row r="3" spans="1:33" s="117" customFormat="1">
      <c r="A3" s="403" t="s">
        <v>786</v>
      </c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Q3" s="402"/>
      <c r="R3" s="402"/>
      <c r="S3" s="402"/>
      <c r="T3" s="402"/>
      <c r="U3" s="402"/>
      <c r="V3" s="402"/>
      <c r="W3" s="402"/>
      <c r="X3" s="402"/>
      <c r="Y3" s="402"/>
      <c r="Z3" s="402"/>
      <c r="AA3" s="402"/>
      <c r="AB3" s="402"/>
      <c r="AC3" s="402"/>
      <c r="AD3" s="402"/>
      <c r="AE3" s="402"/>
      <c r="AF3" s="402"/>
    </row>
    <row r="4" spans="1:33" s="367" customFormat="1">
      <c r="A4" s="404" t="s">
        <v>1702</v>
      </c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Q4" s="405"/>
      <c r="R4" s="405"/>
      <c r="S4" s="405"/>
      <c r="T4" s="405"/>
      <c r="U4" s="405"/>
      <c r="V4" s="405"/>
      <c r="W4" s="405"/>
      <c r="X4" s="405"/>
      <c r="Y4" s="405"/>
      <c r="Z4" s="405"/>
      <c r="AA4" s="405"/>
      <c r="AB4" s="405"/>
      <c r="AC4" s="405"/>
      <c r="AD4" s="405"/>
      <c r="AE4" s="405"/>
      <c r="AF4" s="405"/>
    </row>
    <row r="6" spans="1:33">
      <c r="A6" s="406" t="s">
        <v>787</v>
      </c>
    </row>
    <row r="8" spans="1:33">
      <c r="A8" s="406" t="s">
        <v>788</v>
      </c>
    </row>
    <row r="9" spans="1:33">
      <c r="A9" s="406" t="s">
        <v>789</v>
      </c>
      <c r="B9" s="407">
        <v>0</v>
      </c>
      <c r="C9" s="407">
        <v>0</v>
      </c>
      <c r="D9" s="407">
        <v>0</v>
      </c>
      <c r="E9" s="407">
        <v>0</v>
      </c>
      <c r="F9" s="407">
        <v>0</v>
      </c>
      <c r="G9" s="407">
        <v>0</v>
      </c>
      <c r="H9" s="407">
        <v>0</v>
      </c>
      <c r="I9" s="407">
        <v>0</v>
      </c>
      <c r="J9" s="407">
        <v>0</v>
      </c>
      <c r="K9" s="407">
        <v>0</v>
      </c>
      <c r="L9" s="407">
        <v>0</v>
      </c>
      <c r="M9" s="407">
        <v>0</v>
      </c>
      <c r="N9" s="407">
        <v>0</v>
      </c>
      <c r="O9" s="407">
        <v>0</v>
      </c>
      <c r="Q9" s="407">
        <v>0</v>
      </c>
      <c r="R9" s="407">
        <v>0</v>
      </c>
      <c r="S9" s="407">
        <v>0</v>
      </c>
      <c r="T9" s="407">
        <v>0</v>
      </c>
      <c r="U9" s="407">
        <v>0</v>
      </c>
      <c r="V9" s="407">
        <v>0</v>
      </c>
      <c r="W9" s="407">
        <v>0</v>
      </c>
      <c r="X9" s="407">
        <v>0</v>
      </c>
      <c r="Y9" s="407">
        <v>0</v>
      </c>
      <c r="Z9" s="407">
        <v>0</v>
      </c>
      <c r="AA9" s="407">
        <v>0</v>
      </c>
      <c r="AB9" s="407">
        <v>0</v>
      </c>
      <c r="AC9" s="407">
        <v>0</v>
      </c>
      <c r="AD9" s="407">
        <v>0</v>
      </c>
      <c r="AE9" s="407">
        <v>0</v>
      </c>
      <c r="AF9" s="407">
        <v>0</v>
      </c>
    </row>
    <row r="10" spans="1:33">
      <c r="A10" s="406" t="s">
        <v>790</v>
      </c>
      <c r="B10" s="407">
        <v>47259.695500000002</v>
      </c>
      <c r="C10" s="407">
        <v>36895.467400000001</v>
      </c>
      <c r="D10" s="407">
        <v>23522.989969999999</v>
      </c>
      <c r="E10" s="407">
        <v>18547.8099</v>
      </c>
      <c r="F10" s="407">
        <v>14047.50987</v>
      </c>
      <c r="G10" s="407">
        <v>11873.972949999999</v>
      </c>
      <c r="H10" s="407">
        <v>11472.38096</v>
      </c>
      <c r="I10" s="407">
        <v>12089.82877</v>
      </c>
      <c r="J10" s="407">
        <v>12434.2772395014</v>
      </c>
      <c r="K10" s="407">
        <v>16667.5977921698</v>
      </c>
      <c r="L10" s="407">
        <v>28866.875008103601</v>
      </c>
      <c r="M10" s="407">
        <v>46546.023999478602</v>
      </c>
      <c r="N10" s="407">
        <v>53536.419838408801</v>
      </c>
      <c r="O10" s="407">
        <v>48783.050823725003</v>
      </c>
      <c r="Q10" s="407">
        <v>39076.838580351301</v>
      </c>
      <c r="R10" s="407">
        <v>23514.2030770569</v>
      </c>
      <c r="S10" s="407">
        <v>17169.805577289499</v>
      </c>
      <c r="T10" s="407">
        <v>13356.0518719541</v>
      </c>
      <c r="U10" s="407">
        <v>12369.187834570501</v>
      </c>
      <c r="V10" s="407">
        <v>12276.669980966401</v>
      </c>
      <c r="W10" s="407">
        <v>12730.910692433201</v>
      </c>
      <c r="X10" s="407">
        <v>15286.557392748</v>
      </c>
      <c r="Y10" s="407">
        <v>26148.821413970702</v>
      </c>
      <c r="Z10" s="407">
        <v>41967.286475248897</v>
      </c>
      <c r="AA10" s="407">
        <v>53819.267447673999</v>
      </c>
      <c r="AB10" s="407">
        <v>49215.550179055303</v>
      </c>
      <c r="AC10" s="407">
        <v>39442.540922671702</v>
      </c>
      <c r="AD10" s="407">
        <v>23670.345496941802</v>
      </c>
      <c r="AE10" s="407">
        <v>17393.652831962201</v>
      </c>
      <c r="AF10" s="407">
        <v>13663.424613037099</v>
      </c>
    </row>
    <row r="11" spans="1:33">
      <c r="A11" s="406" t="s">
        <v>791</v>
      </c>
      <c r="B11" s="407">
        <v>0</v>
      </c>
      <c r="C11" s="407">
        <v>0</v>
      </c>
      <c r="D11" s="407">
        <v>0</v>
      </c>
      <c r="E11" s="407">
        <v>0</v>
      </c>
      <c r="F11" s="407">
        <v>0</v>
      </c>
      <c r="G11" s="407">
        <v>0</v>
      </c>
      <c r="H11" s="407">
        <v>0</v>
      </c>
      <c r="I11" s="407">
        <v>0</v>
      </c>
      <c r="J11" s="407">
        <v>0</v>
      </c>
      <c r="K11" s="407">
        <v>0</v>
      </c>
      <c r="L11" s="407">
        <v>0</v>
      </c>
      <c r="M11" s="407">
        <v>0</v>
      </c>
      <c r="N11" s="407">
        <v>0</v>
      </c>
      <c r="O11" s="407">
        <v>0</v>
      </c>
      <c r="Q11" s="407">
        <v>0</v>
      </c>
      <c r="R11" s="407">
        <v>0</v>
      </c>
      <c r="S11" s="407">
        <v>0</v>
      </c>
      <c r="T11" s="407">
        <v>0</v>
      </c>
      <c r="U11" s="407">
        <v>0</v>
      </c>
      <c r="V11" s="407">
        <v>0</v>
      </c>
      <c r="W11" s="407">
        <v>0</v>
      </c>
      <c r="X11" s="407">
        <v>0</v>
      </c>
      <c r="Y11" s="407">
        <v>0</v>
      </c>
      <c r="Z11" s="407">
        <v>0</v>
      </c>
      <c r="AA11" s="407">
        <v>0</v>
      </c>
      <c r="AB11" s="407">
        <v>0</v>
      </c>
      <c r="AC11" s="407">
        <v>0</v>
      </c>
      <c r="AD11" s="407">
        <v>0</v>
      </c>
      <c r="AE11" s="407">
        <v>0</v>
      </c>
      <c r="AF11" s="407">
        <v>0</v>
      </c>
    </row>
    <row r="12" spans="1:33">
      <c r="A12" s="406" t="s">
        <v>792</v>
      </c>
      <c r="B12" s="407">
        <v>0</v>
      </c>
      <c r="C12" s="407">
        <v>0</v>
      </c>
      <c r="D12" s="407">
        <v>0</v>
      </c>
      <c r="E12" s="407">
        <v>0</v>
      </c>
      <c r="F12" s="407">
        <v>0</v>
      </c>
      <c r="G12" s="407">
        <v>0</v>
      </c>
      <c r="H12" s="407">
        <v>0</v>
      </c>
      <c r="I12" s="407">
        <v>0</v>
      </c>
      <c r="J12" s="407">
        <v>0</v>
      </c>
      <c r="K12" s="407">
        <v>0</v>
      </c>
      <c r="L12" s="407">
        <v>0</v>
      </c>
      <c r="M12" s="407">
        <v>0</v>
      </c>
      <c r="N12" s="407">
        <v>0</v>
      </c>
      <c r="O12" s="407">
        <v>0</v>
      </c>
      <c r="Q12" s="407">
        <v>0</v>
      </c>
      <c r="R12" s="407">
        <v>0</v>
      </c>
      <c r="S12" s="407">
        <v>0</v>
      </c>
      <c r="T12" s="407">
        <v>0</v>
      </c>
      <c r="U12" s="407">
        <v>0</v>
      </c>
      <c r="V12" s="407">
        <v>0</v>
      </c>
      <c r="W12" s="407">
        <v>0</v>
      </c>
      <c r="X12" s="407">
        <v>0</v>
      </c>
      <c r="Y12" s="407">
        <v>0</v>
      </c>
      <c r="Z12" s="407">
        <v>0</v>
      </c>
      <c r="AA12" s="407">
        <v>0</v>
      </c>
      <c r="AB12" s="407">
        <v>0</v>
      </c>
      <c r="AC12" s="407">
        <v>0</v>
      </c>
      <c r="AD12" s="407">
        <v>0</v>
      </c>
      <c r="AE12" s="407">
        <v>0</v>
      </c>
      <c r="AF12" s="407">
        <v>0</v>
      </c>
    </row>
    <row r="13" spans="1:33">
      <c r="A13" s="406" t="s">
        <v>793</v>
      </c>
      <c r="B13" s="407">
        <v>0</v>
      </c>
      <c r="C13" s="407">
        <v>0</v>
      </c>
      <c r="D13" s="407">
        <v>0</v>
      </c>
      <c r="E13" s="407">
        <v>0</v>
      </c>
      <c r="F13" s="407">
        <v>0</v>
      </c>
      <c r="G13" s="407">
        <v>0</v>
      </c>
      <c r="H13" s="407">
        <v>0</v>
      </c>
      <c r="I13" s="407">
        <v>0</v>
      </c>
      <c r="J13" s="407">
        <v>0</v>
      </c>
      <c r="K13" s="407">
        <v>0</v>
      </c>
      <c r="L13" s="407">
        <v>0</v>
      </c>
      <c r="M13" s="407">
        <v>0</v>
      </c>
      <c r="N13" s="407">
        <v>0</v>
      </c>
      <c r="O13" s="407">
        <v>0</v>
      </c>
      <c r="Q13" s="407">
        <v>0</v>
      </c>
      <c r="R13" s="407">
        <v>0</v>
      </c>
      <c r="S13" s="407">
        <v>0</v>
      </c>
      <c r="T13" s="407">
        <v>0</v>
      </c>
      <c r="U13" s="407">
        <v>0</v>
      </c>
      <c r="V13" s="407">
        <v>0</v>
      </c>
      <c r="W13" s="407">
        <v>0</v>
      </c>
      <c r="X13" s="407">
        <v>0</v>
      </c>
      <c r="Y13" s="407">
        <v>0</v>
      </c>
      <c r="Z13" s="407">
        <v>0</v>
      </c>
      <c r="AA13" s="407">
        <v>0</v>
      </c>
      <c r="AB13" s="407">
        <v>0</v>
      </c>
      <c r="AC13" s="407">
        <v>0</v>
      </c>
      <c r="AD13" s="407">
        <v>0</v>
      </c>
      <c r="AE13" s="407">
        <v>0</v>
      </c>
      <c r="AF13" s="407">
        <v>0</v>
      </c>
    </row>
    <row r="14" spans="1:33">
      <c r="A14" s="406" t="s">
        <v>794</v>
      </c>
      <c r="B14" s="407">
        <v>47259.695500000002</v>
      </c>
      <c r="C14" s="407">
        <v>36895.467400000001</v>
      </c>
      <c r="D14" s="407">
        <v>23522.989969999999</v>
      </c>
      <c r="E14" s="407">
        <v>18547.8099</v>
      </c>
      <c r="F14" s="407">
        <v>14047.50987</v>
      </c>
      <c r="G14" s="407">
        <v>11873.972949999999</v>
      </c>
      <c r="H14" s="407">
        <v>11472.38096</v>
      </c>
      <c r="I14" s="407">
        <v>12089.82877</v>
      </c>
      <c r="J14" s="407">
        <v>12434.2772395014</v>
      </c>
      <c r="K14" s="407">
        <v>16667.5977921698</v>
      </c>
      <c r="L14" s="407">
        <v>28866.875008103601</v>
      </c>
      <c r="M14" s="407">
        <v>46546.023999478602</v>
      </c>
      <c r="N14" s="407">
        <v>53536.419838408801</v>
      </c>
      <c r="O14" s="407">
        <v>48783.050823725003</v>
      </c>
      <c r="Q14" s="407">
        <v>39076.838580351301</v>
      </c>
      <c r="R14" s="407">
        <v>23514.2030770569</v>
      </c>
      <c r="S14" s="407">
        <v>17169.805577289499</v>
      </c>
      <c r="T14" s="407">
        <v>13356.0518719541</v>
      </c>
      <c r="U14" s="407">
        <v>12369.187834570501</v>
      </c>
      <c r="V14" s="407">
        <v>12276.669980966401</v>
      </c>
      <c r="W14" s="407">
        <v>12730.910692433201</v>
      </c>
      <c r="X14" s="407">
        <v>15286.557392748</v>
      </c>
      <c r="Y14" s="407">
        <v>26148.821413970702</v>
      </c>
      <c r="Z14" s="407">
        <v>41967.286475248897</v>
      </c>
      <c r="AA14" s="407">
        <v>53819.267447673999</v>
      </c>
      <c r="AB14" s="407">
        <v>49215.550179055303</v>
      </c>
      <c r="AC14" s="407">
        <v>39442.540922671702</v>
      </c>
      <c r="AD14" s="407">
        <v>23670.345496941802</v>
      </c>
      <c r="AE14" s="407">
        <v>17393.652831962201</v>
      </c>
      <c r="AF14" s="407">
        <v>13663.424613037099</v>
      </c>
    </row>
    <row r="16" spans="1:33" hidden="1" outlineLevel="1">
      <c r="A16" s="406" t="s">
        <v>795</v>
      </c>
    </row>
    <row r="17" spans="1:32" hidden="1" outlineLevel="1">
      <c r="A17" s="406" t="s">
        <v>796</v>
      </c>
      <c r="B17" s="407">
        <v>0</v>
      </c>
      <c r="C17" s="407">
        <v>0</v>
      </c>
      <c r="D17" s="407">
        <v>0</v>
      </c>
      <c r="E17" s="407">
        <v>0</v>
      </c>
      <c r="F17" s="407">
        <v>0</v>
      </c>
      <c r="G17" s="407">
        <v>0</v>
      </c>
      <c r="H17" s="407">
        <v>0</v>
      </c>
      <c r="I17" s="407">
        <v>0</v>
      </c>
      <c r="J17" s="407">
        <v>0</v>
      </c>
      <c r="K17" s="407">
        <v>0</v>
      </c>
      <c r="L17" s="407">
        <v>0</v>
      </c>
      <c r="M17" s="407">
        <v>0</v>
      </c>
      <c r="N17" s="407">
        <v>0</v>
      </c>
      <c r="O17" s="407">
        <v>0</v>
      </c>
      <c r="Q17" s="407">
        <v>0</v>
      </c>
      <c r="R17" s="407">
        <v>0</v>
      </c>
      <c r="S17" s="407">
        <v>0</v>
      </c>
      <c r="T17" s="407">
        <v>0</v>
      </c>
      <c r="U17" s="407">
        <v>0</v>
      </c>
      <c r="V17" s="407">
        <v>0</v>
      </c>
      <c r="W17" s="407">
        <v>0</v>
      </c>
      <c r="X17" s="407">
        <v>0</v>
      </c>
      <c r="Y17" s="407">
        <v>0</v>
      </c>
      <c r="Z17" s="407">
        <v>0</v>
      </c>
      <c r="AA17" s="407">
        <v>0</v>
      </c>
      <c r="AB17" s="407">
        <v>0</v>
      </c>
      <c r="AC17" s="407">
        <v>0</v>
      </c>
      <c r="AD17" s="407">
        <v>0</v>
      </c>
      <c r="AE17" s="407">
        <v>0</v>
      </c>
      <c r="AF17" s="407">
        <v>0</v>
      </c>
    </row>
    <row r="18" spans="1:32" hidden="1" outlineLevel="1">
      <c r="A18" s="406" t="s">
        <v>797</v>
      </c>
      <c r="B18" s="407">
        <v>0</v>
      </c>
      <c r="C18" s="407">
        <v>0</v>
      </c>
      <c r="D18" s="407">
        <v>0</v>
      </c>
      <c r="E18" s="407">
        <v>0</v>
      </c>
      <c r="F18" s="407">
        <v>0</v>
      </c>
      <c r="G18" s="407">
        <v>0</v>
      </c>
      <c r="H18" s="407">
        <v>0</v>
      </c>
      <c r="I18" s="407">
        <v>0</v>
      </c>
      <c r="J18" s="407">
        <v>0</v>
      </c>
      <c r="K18" s="407">
        <v>0</v>
      </c>
      <c r="L18" s="407">
        <v>0</v>
      </c>
      <c r="M18" s="407">
        <v>0</v>
      </c>
      <c r="N18" s="407">
        <v>0</v>
      </c>
      <c r="O18" s="407">
        <v>0</v>
      </c>
      <c r="Q18" s="407">
        <v>0</v>
      </c>
      <c r="R18" s="407">
        <v>0</v>
      </c>
      <c r="S18" s="407">
        <v>0</v>
      </c>
      <c r="T18" s="407">
        <v>0</v>
      </c>
      <c r="U18" s="407">
        <v>0</v>
      </c>
      <c r="V18" s="407">
        <v>0</v>
      </c>
      <c r="W18" s="407">
        <v>0</v>
      </c>
      <c r="X18" s="407">
        <v>0</v>
      </c>
      <c r="Y18" s="407">
        <v>0</v>
      </c>
      <c r="Z18" s="407">
        <v>0</v>
      </c>
      <c r="AA18" s="407">
        <v>0</v>
      </c>
      <c r="AB18" s="407">
        <v>0</v>
      </c>
      <c r="AC18" s="407">
        <v>0</v>
      </c>
      <c r="AD18" s="407">
        <v>0</v>
      </c>
      <c r="AE18" s="407">
        <v>0</v>
      </c>
      <c r="AF18" s="407">
        <v>0</v>
      </c>
    </row>
    <row r="19" spans="1:32" hidden="1" outlineLevel="1">
      <c r="A19" s="406" t="s">
        <v>798</v>
      </c>
      <c r="B19" s="407">
        <v>0</v>
      </c>
      <c r="C19" s="407">
        <v>0</v>
      </c>
      <c r="D19" s="407">
        <v>0</v>
      </c>
      <c r="E19" s="407">
        <v>0</v>
      </c>
      <c r="F19" s="407">
        <v>0</v>
      </c>
      <c r="G19" s="407">
        <v>0</v>
      </c>
      <c r="H19" s="407">
        <v>0</v>
      </c>
      <c r="I19" s="407">
        <v>0</v>
      </c>
      <c r="J19" s="407">
        <v>0</v>
      </c>
      <c r="K19" s="407">
        <v>0</v>
      </c>
      <c r="L19" s="407">
        <v>0</v>
      </c>
      <c r="M19" s="407">
        <v>0</v>
      </c>
      <c r="N19" s="407">
        <v>0</v>
      </c>
      <c r="O19" s="407">
        <v>0</v>
      </c>
      <c r="Q19" s="407">
        <v>0</v>
      </c>
      <c r="R19" s="407">
        <v>0</v>
      </c>
      <c r="S19" s="407">
        <v>0</v>
      </c>
      <c r="T19" s="407">
        <v>0</v>
      </c>
      <c r="U19" s="407">
        <v>0</v>
      </c>
      <c r="V19" s="407">
        <v>0</v>
      </c>
      <c r="W19" s="407">
        <v>0</v>
      </c>
      <c r="X19" s="407">
        <v>0</v>
      </c>
      <c r="Y19" s="407">
        <v>0</v>
      </c>
      <c r="Z19" s="407">
        <v>0</v>
      </c>
      <c r="AA19" s="407">
        <v>0</v>
      </c>
      <c r="AB19" s="407">
        <v>0</v>
      </c>
      <c r="AC19" s="407">
        <v>0</v>
      </c>
      <c r="AD19" s="407">
        <v>0</v>
      </c>
      <c r="AE19" s="407">
        <v>0</v>
      </c>
      <c r="AF19" s="407">
        <v>0</v>
      </c>
    </row>
    <row r="20" spans="1:32" hidden="1" outlineLevel="1">
      <c r="A20" s="406" t="s">
        <v>799</v>
      </c>
      <c r="B20" s="407">
        <v>0</v>
      </c>
      <c r="C20" s="407">
        <v>0</v>
      </c>
      <c r="D20" s="407">
        <v>0</v>
      </c>
      <c r="E20" s="407">
        <v>0</v>
      </c>
      <c r="F20" s="407">
        <v>0</v>
      </c>
      <c r="G20" s="407">
        <v>0</v>
      </c>
      <c r="H20" s="407">
        <v>0</v>
      </c>
      <c r="I20" s="407">
        <v>0</v>
      </c>
      <c r="J20" s="407">
        <v>0</v>
      </c>
      <c r="K20" s="407">
        <v>0</v>
      </c>
      <c r="L20" s="407">
        <v>0</v>
      </c>
      <c r="M20" s="407">
        <v>0</v>
      </c>
      <c r="N20" s="407">
        <v>0</v>
      </c>
      <c r="O20" s="407">
        <v>0</v>
      </c>
      <c r="Q20" s="407">
        <v>0</v>
      </c>
      <c r="R20" s="407">
        <v>0</v>
      </c>
      <c r="S20" s="407">
        <v>0</v>
      </c>
      <c r="T20" s="407">
        <v>0</v>
      </c>
      <c r="U20" s="407">
        <v>0</v>
      </c>
      <c r="V20" s="407">
        <v>0</v>
      </c>
      <c r="W20" s="407">
        <v>0</v>
      </c>
      <c r="X20" s="407">
        <v>0</v>
      </c>
      <c r="Y20" s="407">
        <v>0</v>
      </c>
      <c r="Z20" s="407">
        <v>0</v>
      </c>
      <c r="AA20" s="407">
        <v>0</v>
      </c>
      <c r="AB20" s="407">
        <v>0</v>
      </c>
      <c r="AC20" s="407">
        <v>0</v>
      </c>
      <c r="AD20" s="407">
        <v>0</v>
      </c>
      <c r="AE20" s="407">
        <v>0</v>
      </c>
      <c r="AF20" s="407">
        <v>0</v>
      </c>
    </row>
    <row r="21" spans="1:32" hidden="1" outlineLevel="1">
      <c r="A21" s="406" t="s">
        <v>800</v>
      </c>
      <c r="B21" s="407">
        <v>0</v>
      </c>
      <c r="C21" s="407">
        <v>0</v>
      </c>
      <c r="D21" s="407">
        <v>0</v>
      </c>
      <c r="E21" s="407">
        <v>0</v>
      </c>
      <c r="F21" s="407">
        <v>0</v>
      </c>
      <c r="G21" s="407">
        <v>0</v>
      </c>
      <c r="H21" s="407">
        <v>0</v>
      </c>
      <c r="I21" s="407">
        <v>0</v>
      </c>
      <c r="J21" s="407">
        <v>0</v>
      </c>
      <c r="K21" s="407">
        <v>0</v>
      </c>
      <c r="L21" s="407">
        <v>0</v>
      </c>
      <c r="M21" s="407">
        <v>0</v>
      </c>
      <c r="N21" s="407">
        <v>0</v>
      </c>
      <c r="O21" s="407">
        <v>0</v>
      </c>
      <c r="Q21" s="407">
        <v>0</v>
      </c>
      <c r="R21" s="407">
        <v>0</v>
      </c>
      <c r="S21" s="407">
        <v>0</v>
      </c>
      <c r="T21" s="407">
        <v>0</v>
      </c>
      <c r="U21" s="407">
        <v>0</v>
      </c>
      <c r="V21" s="407">
        <v>0</v>
      </c>
      <c r="W21" s="407">
        <v>0</v>
      </c>
      <c r="X21" s="407">
        <v>0</v>
      </c>
      <c r="Y21" s="407">
        <v>0</v>
      </c>
      <c r="Z21" s="407">
        <v>0</v>
      </c>
      <c r="AA21" s="407">
        <v>0</v>
      </c>
      <c r="AB21" s="407">
        <v>0</v>
      </c>
      <c r="AC21" s="407">
        <v>0</v>
      </c>
      <c r="AD21" s="407">
        <v>0</v>
      </c>
      <c r="AE21" s="407">
        <v>0</v>
      </c>
      <c r="AF21" s="407">
        <v>0</v>
      </c>
    </row>
    <row r="22" spans="1:32" hidden="1" outlineLevel="1">
      <c r="A22" s="406" t="s">
        <v>1703</v>
      </c>
      <c r="B22" s="407">
        <v>293.00522000000001</v>
      </c>
      <c r="C22" s="407">
        <v>291.95708999999999</v>
      </c>
      <c r="D22" s="407">
        <v>364.72496999999998</v>
      </c>
      <c r="E22" s="407">
        <v>240.45289</v>
      </c>
      <c r="F22" s="407">
        <v>266.30828000000002</v>
      </c>
      <c r="G22" s="407">
        <v>290.87387999999999</v>
      </c>
      <c r="H22" s="407">
        <v>281.61581999999999</v>
      </c>
      <c r="I22" s="407">
        <v>299.01364000000001</v>
      </c>
      <c r="J22" s="407">
        <v>234.44071403570101</v>
      </c>
      <c r="K22" s="407">
        <v>223.07961137225101</v>
      </c>
      <c r="L22" s="407">
        <v>258.75733044403802</v>
      </c>
      <c r="M22" s="407">
        <v>248.30357656651901</v>
      </c>
      <c r="N22" s="407">
        <v>243.35793521629799</v>
      </c>
      <c r="O22" s="407">
        <v>247.272233184839</v>
      </c>
      <c r="Q22" s="407">
        <v>265.67443507865499</v>
      </c>
      <c r="R22" s="407">
        <v>265.14071624385502</v>
      </c>
      <c r="S22" s="407">
        <v>249.07840160984199</v>
      </c>
      <c r="T22" s="407">
        <v>250.63135206293401</v>
      </c>
      <c r="U22" s="407">
        <v>239.02950726655101</v>
      </c>
      <c r="V22" s="407">
        <v>234.01811495945901</v>
      </c>
      <c r="W22" s="407">
        <v>232.74254104733001</v>
      </c>
      <c r="X22" s="407">
        <v>229.76370601436901</v>
      </c>
      <c r="Y22" s="407">
        <v>248.457850202874</v>
      </c>
      <c r="Z22" s="407">
        <v>239.159109418253</v>
      </c>
      <c r="AA22" s="407">
        <v>243.658434825184</v>
      </c>
      <c r="AB22" s="407">
        <v>243.338827175109</v>
      </c>
      <c r="AC22" s="407">
        <v>254.21951481603799</v>
      </c>
      <c r="AD22" s="407">
        <v>264.72950526206699</v>
      </c>
      <c r="AE22" s="407">
        <v>253.11782547493999</v>
      </c>
      <c r="AF22" s="407">
        <v>240.065618741089</v>
      </c>
    </row>
    <row r="23" spans="1:32" collapsed="1">
      <c r="A23" s="406" t="s">
        <v>801</v>
      </c>
      <c r="B23" s="407">
        <v>293.00522000000001</v>
      </c>
      <c r="C23" s="407">
        <v>291.95708999999999</v>
      </c>
      <c r="D23" s="407">
        <v>364.72496999999998</v>
      </c>
      <c r="E23" s="407">
        <v>240.45289</v>
      </c>
      <c r="F23" s="407">
        <v>266.30828000000002</v>
      </c>
      <c r="G23" s="407">
        <v>290.87387999999999</v>
      </c>
      <c r="H23" s="407">
        <v>281.61581999999999</v>
      </c>
      <c r="I23" s="407">
        <v>299.01364000000001</v>
      </c>
      <c r="J23" s="407">
        <v>234.44071403570101</v>
      </c>
      <c r="K23" s="407">
        <v>223.07961137225101</v>
      </c>
      <c r="L23" s="407">
        <v>258.75733044403802</v>
      </c>
      <c r="M23" s="407">
        <v>248.30357656651901</v>
      </c>
      <c r="N23" s="407">
        <v>243.35793521629799</v>
      </c>
      <c r="O23" s="407">
        <v>247.272233184839</v>
      </c>
      <c r="Q23" s="407">
        <v>265.67443507865499</v>
      </c>
      <c r="R23" s="407">
        <v>265.14071624385502</v>
      </c>
      <c r="S23" s="407">
        <v>249.07840160984199</v>
      </c>
      <c r="T23" s="407">
        <v>250.63135206293401</v>
      </c>
      <c r="U23" s="407">
        <v>239.02950726655101</v>
      </c>
      <c r="V23" s="407">
        <v>234.01811495945901</v>
      </c>
      <c r="W23" s="407">
        <v>232.74254104733001</v>
      </c>
      <c r="X23" s="407">
        <v>229.76370601436901</v>
      </c>
      <c r="Y23" s="407">
        <v>248.457850202874</v>
      </c>
      <c r="Z23" s="407">
        <v>239.159109418253</v>
      </c>
      <c r="AA23" s="407">
        <v>243.658434825184</v>
      </c>
      <c r="AB23" s="407">
        <v>243.338827175109</v>
      </c>
      <c r="AC23" s="407">
        <v>254.21951481603799</v>
      </c>
      <c r="AD23" s="407">
        <v>264.72950526206699</v>
      </c>
      <c r="AE23" s="407">
        <v>253.11782547493999</v>
      </c>
      <c r="AF23" s="407">
        <v>240.065618741089</v>
      </c>
    </row>
    <row r="25" spans="1:32">
      <c r="A25" s="406" t="s">
        <v>802</v>
      </c>
      <c r="B25" s="407">
        <v>47552.700720000001</v>
      </c>
      <c r="C25" s="407">
        <v>37187.424489999998</v>
      </c>
      <c r="D25" s="407">
        <v>23887.7149399999</v>
      </c>
      <c r="E25" s="407">
        <v>18788.262790000001</v>
      </c>
      <c r="F25" s="407">
        <v>14313.818149999999</v>
      </c>
      <c r="G25" s="407">
        <v>12164.84683</v>
      </c>
      <c r="H25" s="407">
        <v>11753.996779999999</v>
      </c>
      <c r="I25" s="407">
        <v>12388.842409999999</v>
      </c>
      <c r="J25" s="407">
        <v>12668.7179535371</v>
      </c>
      <c r="K25" s="407">
        <v>16890.6774035421</v>
      </c>
      <c r="L25" s="407">
        <v>29125.632338547701</v>
      </c>
      <c r="M25" s="407">
        <v>46794.3275760451</v>
      </c>
      <c r="N25" s="407">
        <v>53779.777773625101</v>
      </c>
      <c r="O25" s="407">
        <v>49030.323056909903</v>
      </c>
      <c r="Q25" s="407">
        <v>39342.513015429897</v>
      </c>
      <c r="R25" s="407">
        <v>23779.343793300701</v>
      </c>
      <c r="S25" s="407">
        <v>17418.883978899299</v>
      </c>
      <c r="T25" s="407">
        <v>13606.683224017001</v>
      </c>
      <c r="U25" s="407">
        <v>12608.217341837</v>
      </c>
      <c r="V25" s="407">
        <v>12510.6880959259</v>
      </c>
      <c r="W25" s="407">
        <v>12963.6532334805</v>
      </c>
      <c r="X25" s="407">
        <v>15516.321098762401</v>
      </c>
      <c r="Y25" s="407">
        <v>26397.279264173601</v>
      </c>
      <c r="Z25" s="407">
        <v>42206.445584667199</v>
      </c>
      <c r="AA25" s="407">
        <v>54062.925882499199</v>
      </c>
      <c r="AB25" s="407">
        <v>49458.8890062305</v>
      </c>
      <c r="AC25" s="407">
        <v>39696.760437487697</v>
      </c>
      <c r="AD25" s="407">
        <v>23935.075002203801</v>
      </c>
      <c r="AE25" s="407">
        <v>17646.7706574371</v>
      </c>
      <c r="AF25" s="407">
        <v>13903.4902317782</v>
      </c>
    </row>
    <row r="27" spans="1:32">
      <c r="A27" s="406" t="s">
        <v>803</v>
      </c>
    </row>
    <row r="28" spans="1:32">
      <c r="A28" s="406" t="s">
        <v>804</v>
      </c>
      <c r="B28" s="407">
        <v>121.32275</v>
      </c>
      <c r="C28" s="407">
        <v>179.0889</v>
      </c>
      <c r="D28" s="407">
        <v>163.13972999999999</v>
      </c>
      <c r="E28" s="407">
        <v>86.536789999999996</v>
      </c>
      <c r="F28" s="407">
        <v>65.5184</v>
      </c>
      <c r="G28" s="407">
        <v>60.725879999999997</v>
      </c>
      <c r="H28" s="407">
        <v>56.646120000000003</v>
      </c>
      <c r="I28" s="407">
        <v>69.646550000000005</v>
      </c>
      <c r="J28" s="407">
        <v>106.86715185</v>
      </c>
      <c r="K28" s="407">
        <v>106.86715185</v>
      </c>
      <c r="L28" s="407">
        <v>106.86715185</v>
      </c>
      <c r="M28" s="407">
        <v>106.86715185</v>
      </c>
      <c r="N28" s="407">
        <v>96.451708866666706</v>
      </c>
      <c r="O28" s="407">
        <v>96.451708866666706</v>
      </c>
      <c r="Q28" s="407">
        <v>96.451708866666706</v>
      </c>
      <c r="R28" s="407">
        <v>96.451708866666706</v>
      </c>
      <c r="S28" s="407">
        <v>96.451708866666706</v>
      </c>
      <c r="T28" s="407">
        <v>96.451708866666706</v>
      </c>
      <c r="U28" s="407">
        <v>96.451708866666706</v>
      </c>
      <c r="V28" s="407">
        <v>96.451708866666706</v>
      </c>
      <c r="W28" s="407">
        <v>96.451708866666706</v>
      </c>
      <c r="X28" s="407">
        <v>96.451708866666706</v>
      </c>
      <c r="Y28" s="407">
        <v>96.451708866666706</v>
      </c>
      <c r="Z28" s="407">
        <v>96.451708866666706</v>
      </c>
      <c r="AA28" s="407">
        <v>98.380743043999999</v>
      </c>
      <c r="AB28" s="407">
        <v>98.380743043999999</v>
      </c>
      <c r="AC28" s="407">
        <v>98.380743043999999</v>
      </c>
      <c r="AD28" s="407">
        <v>98.380743043999999</v>
      </c>
      <c r="AE28" s="407">
        <v>98.380743043999999</v>
      </c>
      <c r="AF28" s="407">
        <v>98.380743043999999</v>
      </c>
    </row>
    <row r="29" spans="1:32">
      <c r="A29" s="406" t="s">
        <v>805</v>
      </c>
      <c r="B29" s="407">
        <v>0</v>
      </c>
      <c r="C29" s="407">
        <v>0</v>
      </c>
      <c r="D29" s="407">
        <v>0</v>
      </c>
      <c r="E29" s="407">
        <v>0</v>
      </c>
      <c r="F29" s="407">
        <v>0</v>
      </c>
      <c r="G29" s="407">
        <v>0</v>
      </c>
      <c r="H29" s="407">
        <v>0</v>
      </c>
      <c r="I29" s="407">
        <v>0</v>
      </c>
      <c r="J29" s="407">
        <v>0</v>
      </c>
      <c r="K29" s="407">
        <v>0</v>
      </c>
      <c r="L29" s="407">
        <v>0</v>
      </c>
      <c r="M29" s="407">
        <v>0</v>
      </c>
      <c r="N29" s="407">
        <v>0</v>
      </c>
      <c r="O29" s="407">
        <v>0</v>
      </c>
      <c r="Q29" s="407">
        <v>0</v>
      </c>
      <c r="R29" s="407">
        <v>0</v>
      </c>
      <c r="S29" s="407">
        <v>0</v>
      </c>
      <c r="T29" s="407">
        <v>0</v>
      </c>
      <c r="U29" s="407">
        <v>0</v>
      </c>
      <c r="V29" s="407">
        <v>0</v>
      </c>
      <c r="W29" s="407">
        <v>0</v>
      </c>
      <c r="X29" s="407">
        <v>0</v>
      </c>
      <c r="Y29" s="407">
        <v>0</v>
      </c>
      <c r="Z29" s="407">
        <v>0</v>
      </c>
      <c r="AA29" s="407">
        <v>0</v>
      </c>
      <c r="AB29" s="407">
        <v>0</v>
      </c>
      <c r="AC29" s="407">
        <v>0</v>
      </c>
      <c r="AD29" s="407">
        <v>0</v>
      </c>
      <c r="AE29" s="407">
        <v>0</v>
      </c>
      <c r="AF29" s="407">
        <v>0</v>
      </c>
    </row>
    <row r="30" spans="1:32">
      <c r="A30" s="406" t="s">
        <v>806</v>
      </c>
      <c r="B30" s="407">
        <v>0</v>
      </c>
      <c r="C30" s="407">
        <v>0</v>
      </c>
      <c r="D30" s="407">
        <v>0</v>
      </c>
      <c r="E30" s="407">
        <v>0</v>
      </c>
      <c r="F30" s="407">
        <v>0</v>
      </c>
      <c r="G30" s="407">
        <v>0</v>
      </c>
      <c r="H30" s="407">
        <v>0</v>
      </c>
      <c r="I30" s="407">
        <v>0</v>
      </c>
      <c r="J30" s="407">
        <v>0</v>
      </c>
      <c r="K30" s="407">
        <v>0</v>
      </c>
      <c r="L30" s="407">
        <v>0</v>
      </c>
      <c r="M30" s="407">
        <v>0</v>
      </c>
      <c r="N30" s="407">
        <v>0</v>
      </c>
      <c r="O30" s="407">
        <v>0</v>
      </c>
      <c r="Q30" s="407">
        <v>0</v>
      </c>
      <c r="R30" s="407">
        <v>0</v>
      </c>
      <c r="S30" s="407">
        <v>0</v>
      </c>
      <c r="T30" s="407">
        <v>0</v>
      </c>
      <c r="U30" s="407">
        <v>0</v>
      </c>
      <c r="V30" s="407">
        <v>0</v>
      </c>
      <c r="W30" s="407">
        <v>0</v>
      </c>
      <c r="X30" s="407">
        <v>0</v>
      </c>
      <c r="Y30" s="407">
        <v>0</v>
      </c>
      <c r="Z30" s="407">
        <v>0</v>
      </c>
      <c r="AA30" s="407">
        <v>0</v>
      </c>
      <c r="AB30" s="407">
        <v>0</v>
      </c>
      <c r="AC30" s="407">
        <v>0</v>
      </c>
      <c r="AD30" s="407">
        <v>0</v>
      </c>
      <c r="AE30" s="407">
        <v>0</v>
      </c>
      <c r="AF30" s="407">
        <v>0</v>
      </c>
    </row>
    <row r="31" spans="1:32">
      <c r="A31" s="406" t="s">
        <v>807</v>
      </c>
      <c r="B31" s="407">
        <v>0</v>
      </c>
      <c r="C31" s="407">
        <v>0</v>
      </c>
      <c r="D31" s="407">
        <v>0</v>
      </c>
      <c r="E31" s="407">
        <v>0</v>
      </c>
      <c r="F31" s="407">
        <v>0</v>
      </c>
      <c r="G31" s="407">
        <v>0</v>
      </c>
      <c r="H31" s="407">
        <v>0</v>
      </c>
      <c r="I31" s="407">
        <v>0</v>
      </c>
      <c r="J31" s="407">
        <v>0</v>
      </c>
      <c r="K31" s="407">
        <v>0</v>
      </c>
      <c r="L31" s="407">
        <v>0</v>
      </c>
      <c r="M31" s="407">
        <v>0</v>
      </c>
      <c r="N31" s="407">
        <v>0</v>
      </c>
      <c r="O31" s="407">
        <v>0</v>
      </c>
      <c r="Q31" s="407">
        <v>0</v>
      </c>
      <c r="R31" s="407">
        <v>0</v>
      </c>
      <c r="S31" s="407">
        <v>0</v>
      </c>
      <c r="T31" s="407">
        <v>0</v>
      </c>
      <c r="U31" s="407">
        <v>0</v>
      </c>
      <c r="V31" s="407">
        <v>0</v>
      </c>
      <c r="W31" s="407">
        <v>0</v>
      </c>
      <c r="X31" s="407">
        <v>0</v>
      </c>
      <c r="Y31" s="407">
        <v>0</v>
      </c>
      <c r="Z31" s="407">
        <v>0</v>
      </c>
      <c r="AA31" s="407">
        <v>0</v>
      </c>
      <c r="AB31" s="407">
        <v>0</v>
      </c>
      <c r="AC31" s="407">
        <v>0</v>
      </c>
      <c r="AD31" s="407">
        <v>0</v>
      </c>
      <c r="AE31" s="407">
        <v>0</v>
      </c>
      <c r="AF31" s="407">
        <v>0</v>
      </c>
    </row>
    <row r="32" spans="1:32">
      <c r="A32" s="406" t="s">
        <v>808</v>
      </c>
      <c r="B32" s="407">
        <v>0</v>
      </c>
      <c r="C32" s="407">
        <v>0</v>
      </c>
      <c r="D32" s="407">
        <v>0</v>
      </c>
      <c r="E32" s="407">
        <v>0</v>
      </c>
      <c r="F32" s="407">
        <v>0</v>
      </c>
      <c r="G32" s="407">
        <v>0</v>
      </c>
      <c r="H32" s="407">
        <v>0</v>
      </c>
      <c r="I32" s="407">
        <v>0</v>
      </c>
      <c r="J32" s="407">
        <v>0</v>
      </c>
      <c r="K32" s="407">
        <v>0</v>
      </c>
      <c r="L32" s="407">
        <v>0</v>
      </c>
      <c r="M32" s="407">
        <v>0</v>
      </c>
      <c r="N32" s="407">
        <v>0</v>
      </c>
      <c r="O32" s="407">
        <v>0</v>
      </c>
      <c r="Q32" s="407">
        <v>0</v>
      </c>
      <c r="R32" s="407">
        <v>0</v>
      </c>
      <c r="S32" s="407">
        <v>0</v>
      </c>
      <c r="T32" s="407">
        <v>0</v>
      </c>
      <c r="U32" s="407">
        <v>0</v>
      </c>
      <c r="V32" s="407">
        <v>0</v>
      </c>
      <c r="W32" s="407">
        <v>0</v>
      </c>
      <c r="X32" s="407">
        <v>0</v>
      </c>
      <c r="Y32" s="407">
        <v>0</v>
      </c>
      <c r="Z32" s="407">
        <v>0</v>
      </c>
      <c r="AA32" s="407">
        <v>0</v>
      </c>
      <c r="AB32" s="407">
        <v>0</v>
      </c>
      <c r="AC32" s="407">
        <v>0</v>
      </c>
      <c r="AD32" s="407">
        <v>0</v>
      </c>
      <c r="AE32" s="407">
        <v>0</v>
      </c>
      <c r="AF32" s="407">
        <v>0</v>
      </c>
    </row>
    <row r="33" spans="1:32">
      <c r="A33" s="406" t="s">
        <v>809</v>
      </c>
      <c r="B33" s="407">
        <v>0</v>
      </c>
      <c r="C33" s="407">
        <v>0</v>
      </c>
      <c r="D33" s="407">
        <v>0</v>
      </c>
      <c r="E33" s="407">
        <v>0</v>
      </c>
      <c r="F33" s="407">
        <v>0</v>
      </c>
      <c r="G33" s="407">
        <v>0</v>
      </c>
      <c r="H33" s="407">
        <v>0</v>
      </c>
      <c r="I33" s="407">
        <v>0</v>
      </c>
      <c r="J33" s="407">
        <v>0</v>
      </c>
      <c r="K33" s="407">
        <v>0</v>
      </c>
      <c r="L33" s="407">
        <v>0</v>
      </c>
      <c r="M33" s="407">
        <v>0</v>
      </c>
      <c r="N33" s="407">
        <v>0</v>
      </c>
      <c r="O33" s="407">
        <v>0</v>
      </c>
      <c r="Q33" s="407">
        <v>0</v>
      </c>
      <c r="R33" s="407">
        <v>0</v>
      </c>
      <c r="S33" s="407">
        <v>0</v>
      </c>
      <c r="T33" s="407">
        <v>0</v>
      </c>
      <c r="U33" s="407">
        <v>0</v>
      </c>
      <c r="V33" s="407">
        <v>0</v>
      </c>
      <c r="W33" s="407">
        <v>0</v>
      </c>
      <c r="X33" s="407">
        <v>0</v>
      </c>
      <c r="Y33" s="407">
        <v>0</v>
      </c>
      <c r="Z33" s="407">
        <v>0</v>
      </c>
      <c r="AA33" s="407">
        <v>0</v>
      </c>
      <c r="AB33" s="407">
        <v>0</v>
      </c>
      <c r="AC33" s="407">
        <v>0</v>
      </c>
      <c r="AD33" s="407">
        <v>0</v>
      </c>
      <c r="AE33" s="407">
        <v>0</v>
      </c>
      <c r="AF33" s="407">
        <v>0</v>
      </c>
    </row>
    <row r="34" spans="1:32">
      <c r="A34" s="406" t="s">
        <v>810</v>
      </c>
      <c r="B34" s="407">
        <v>1024.4200599999999</v>
      </c>
      <c r="C34" s="407">
        <v>922.24415999999997</v>
      </c>
      <c r="D34" s="407">
        <v>829.09085000000005</v>
      </c>
      <c r="E34" s="407">
        <v>674.12921999999901</v>
      </c>
      <c r="F34" s="407">
        <v>752.42902000000004</v>
      </c>
      <c r="G34" s="407">
        <v>670.29458999999997</v>
      </c>
      <c r="H34" s="407">
        <v>663.87536</v>
      </c>
      <c r="I34" s="407">
        <v>657.41296999999997</v>
      </c>
      <c r="J34" s="407">
        <v>590.82084171339602</v>
      </c>
      <c r="K34" s="407">
        <v>794.42385091080905</v>
      </c>
      <c r="L34" s="407">
        <v>799.94431711374295</v>
      </c>
      <c r="M34" s="407">
        <v>799.42411606947496</v>
      </c>
      <c r="N34" s="407">
        <v>759.535573003992</v>
      </c>
      <c r="O34" s="407">
        <v>655.11567187945195</v>
      </c>
      <c r="Q34" s="407">
        <v>555.17631596040303</v>
      </c>
      <c r="R34" s="407">
        <v>450.84092040848998</v>
      </c>
      <c r="S34" s="407">
        <v>419.76572188972898</v>
      </c>
      <c r="T34" s="407">
        <v>413.01370835778101</v>
      </c>
      <c r="U34" s="407">
        <v>435.64963679859801</v>
      </c>
      <c r="V34" s="407">
        <v>438.57316250888101</v>
      </c>
      <c r="W34" s="407">
        <v>473.68447611162298</v>
      </c>
      <c r="X34" s="407">
        <v>689.30592308618202</v>
      </c>
      <c r="Y34" s="407">
        <v>856.85733902313598</v>
      </c>
      <c r="Z34" s="407">
        <v>832.45895247316696</v>
      </c>
      <c r="AA34" s="407">
        <v>765.65954868348797</v>
      </c>
      <c r="AB34" s="407">
        <v>658.43694896554996</v>
      </c>
      <c r="AC34" s="407">
        <v>558.13749550106502</v>
      </c>
      <c r="AD34" s="407">
        <v>453.29251960823899</v>
      </c>
      <c r="AE34" s="407">
        <v>420.31566496037402</v>
      </c>
      <c r="AF34" s="407">
        <v>412.61954911007501</v>
      </c>
    </row>
    <row r="35" spans="1:32">
      <c r="A35" s="406" t="s">
        <v>811</v>
      </c>
      <c r="B35" s="407">
        <v>37.067689999999999</v>
      </c>
      <c r="C35" s="407">
        <v>36.527009999999997</v>
      </c>
      <c r="D35" s="407">
        <v>33.142099999999999</v>
      </c>
      <c r="E35" s="407">
        <v>29.355540000000001</v>
      </c>
      <c r="F35" s="407">
        <v>62.642189999999999</v>
      </c>
      <c r="G35" s="407">
        <v>42.880499999999998</v>
      </c>
      <c r="H35" s="407">
        <v>38.159409999999902</v>
      </c>
      <c r="I35" s="407">
        <v>37.575779999999902</v>
      </c>
      <c r="J35" s="407">
        <v>42.474513733333303</v>
      </c>
      <c r="K35" s="407">
        <v>42.474513733333303</v>
      </c>
      <c r="L35" s="407">
        <v>42.474513733333303</v>
      </c>
      <c r="M35" s="407">
        <v>42.474513733333303</v>
      </c>
      <c r="N35" s="407">
        <v>39.4911839166666</v>
      </c>
      <c r="O35" s="407">
        <v>39.4911839166666</v>
      </c>
      <c r="Q35" s="407">
        <v>39.4911839166666</v>
      </c>
      <c r="R35" s="407">
        <v>39.4911839166666</v>
      </c>
      <c r="S35" s="407">
        <v>39.4911839166666</v>
      </c>
      <c r="T35" s="407">
        <v>39.4911839166666</v>
      </c>
      <c r="U35" s="407">
        <v>39.4911839166666</v>
      </c>
      <c r="V35" s="407">
        <v>39.4911839166666</v>
      </c>
      <c r="W35" s="407">
        <v>39.4911839166666</v>
      </c>
      <c r="X35" s="407">
        <v>39.4911839166666</v>
      </c>
      <c r="Y35" s="407">
        <v>39.4911839166666</v>
      </c>
      <c r="Z35" s="407">
        <v>39.4911839166666</v>
      </c>
      <c r="AA35" s="407">
        <v>40.086297594999998</v>
      </c>
      <c r="AB35" s="407">
        <v>40.086297594999998</v>
      </c>
      <c r="AC35" s="407">
        <v>40.086297594999998</v>
      </c>
      <c r="AD35" s="407">
        <v>40.086297594999998</v>
      </c>
      <c r="AE35" s="407">
        <v>40.086297594999998</v>
      </c>
      <c r="AF35" s="407">
        <v>40.086297594999998</v>
      </c>
    </row>
    <row r="36" spans="1:32">
      <c r="A36" s="406" t="s">
        <v>812</v>
      </c>
      <c r="B36" s="407">
        <v>1182.8105</v>
      </c>
      <c r="C36" s="407">
        <v>1137.86007</v>
      </c>
      <c r="D36" s="407">
        <v>1025.3726799999999</v>
      </c>
      <c r="E36" s="407">
        <v>790.02154999999902</v>
      </c>
      <c r="F36" s="407">
        <v>880.58960999999999</v>
      </c>
      <c r="G36" s="407">
        <v>773.90097000000003</v>
      </c>
      <c r="H36" s="407">
        <v>758.68088999999998</v>
      </c>
      <c r="I36" s="407">
        <v>764.63530000000003</v>
      </c>
      <c r="J36" s="407">
        <v>740.16250729673004</v>
      </c>
      <c r="K36" s="407">
        <v>943.76551649414296</v>
      </c>
      <c r="L36" s="407">
        <v>949.28598269707697</v>
      </c>
      <c r="M36" s="407">
        <v>948.76578165280796</v>
      </c>
      <c r="N36" s="407">
        <v>895.47846578732504</v>
      </c>
      <c r="O36" s="407">
        <v>791.05856466278499</v>
      </c>
      <c r="Q36" s="407">
        <v>691.11920874373698</v>
      </c>
      <c r="R36" s="407">
        <v>586.78381319182301</v>
      </c>
      <c r="S36" s="407">
        <v>555.70861467306202</v>
      </c>
      <c r="T36" s="407">
        <v>548.95660114111502</v>
      </c>
      <c r="U36" s="407">
        <v>571.59252958193099</v>
      </c>
      <c r="V36" s="407">
        <v>574.51605529221501</v>
      </c>
      <c r="W36" s="407">
        <v>609.62736889495704</v>
      </c>
      <c r="X36" s="407">
        <v>825.24881586951597</v>
      </c>
      <c r="Y36" s="407">
        <v>992.80023180646901</v>
      </c>
      <c r="Z36" s="407">
        <v>968.40184525650102</v>
      </c>
      <c r="AA36" s="407">
        <v>904.12658932248803</v>
      </c>
      <c r="AB36" s="407">
        <v>796.90398960455002</v>
      </c>
      <c r="AC36" s="407">
        <v>696.60453614006497</v>
      </c>
      <c r="AD36" s="407">
        <v>591.75956024723905</v>
      </c>
      <c r="AE36" s="407">
        <v>558.78270559937403</v>
      </c>
      <c r="AF36" s="407">
        <v>551.08658974907496</v>
      </c>
    </row>
    <row r="37" spans="1:32" s="367" customFormat="1">
      <c r="A37" s="408"/>
      <c r="B37" s="405"/>
      <c r="C37" s="405"/>
      <c r="D37" s="405"/>
      <c r="E37" s="405"/>
      <c r="F37" s="405"/>
      <c r="G37" s="405"/>
      <c r="H37" s="405"/>
      <c r="I37" s="405"/>
      <c r="J37" s="405"/>
      <c r="K37" s="405"/>
      <c r="L37" s="405"/>
      <c r="M37" s="405"/>
      <c r="N37" s="405"/>
      <c r="O37" s="405"/>
      <c r="Q37" s="405"/>
      <c r="R37" s="405"/>
      <c r="S37" s="405"/>
      <c r="T37" s="405"/>
      <c r="U37" s="405"/>
      <c r="V37" s="405"/>
      <c r="W37" s="405"/>
      <c r="X37" s="405"/>
      <c r="Y37" s="405"/>
      <c r="Z37" s="405"/>
      <c r="AA37" s="405"/>
      <c r="AB37" s="405"/>
      <c r="AC37" s="405"/>
      <c r="AD37" s="405"/>
      <c r="AE37" s="405"/>
      <c r="AF37" s="405"/>
    </row>
    <row r="38" spans="1:32">
      <c r="A38" s="406" t="s">
        <v>813</v>
      </c>
      <c r="B38" s="407">
        <v>48735.51122</v>
      </c>
      <c r="C38" s="407">
        <v>38325.28456</v>
      </c>
      <c r="D38" s="407">
        <v>24913.087619999998</v>
      </c>
      <c r="E38" s="407">
        <v>19578.284339999998</v>
      </c>
      <c r="F38" s="407">
        <v>15194.40776</v>
      </c>
      <c r="G38" s="407">
        <v>12938.747799999999</v>
      </c>
      <c r="H38" s="407">
        <v>12512.677669999999</v>
      </c>
      <c r="I38" s="407">
        <v>13153.477709999999</v>
      </c>
      <c r="J38" s="407">
        <v>13408.8804608338</v>
      </c>
      <c r="K38" s="407">
        <v>17834.442920036199</v>
      </c>
      <c r="L38" s="407">
        <v>30074.918321244699</v>
      </c>
      <c r="M38" s="407">
        <v>47743.093357697901</v>
      </c>
      <c r="N38" s="407">
        <v>54675.256239412403</v>
      </c>
      <c r="O38" s="407">
        <v>49821.381621572698</v>
      </c>
      <c r="Q38" s="407">
        <v>40033.6322241737</v>
      </c>
      <c r="R38" s="407">
        <v>24366.1276064925</v>
      </c>
      <c r="S38" s="407">
        <v>17974.592593572401</v>
      </c>
      <c r="T38" s="407">
        <v>14155.6398251582</v>
      </c>
      <c r="U38" s="407">
        <v>13179.8098714189</v>
      </c>
      <c r="V38" s="407">
        <v>13085.2041512181</v>
      </c>
      <c r="W38" s="407">
        <v>13573.2806023755</v>
      </c>
      <c r="X38" s="407">
        <v>16341.5699146319</v>
      </c>
      <c r="Y38" s="407">
        <v>27390.079495980099</v>
      </c>
      <c r="Z38" s="407">
        <v>43174.847429923699</v>
      </c>
      <c r="AA38" s="407">
        <v>54967.052471821597</v>
      </c>
      <c r="AB38" s="407">
        <v>50255.792995835</v>
      </c>
      <c r="AC38" s="407">
        <v>40393.364973627802</v>
      </c>
      <c r="AD38" s="407">
        <v>24526.834562451098</v>
      </c>
      <c r="AE38" s="407">
        <v>18205.553363036499</v>
      </c>
      <c r="AF38" s="407">
        <v>14454.5768215273</v>
      </c>
    </row>
    <row r="40" spans="1:32">
      <c r="A40" s="406" t="s">
        <v>814</v>
      </c>
    </row>
    <row r="42" spans="1:32">
      <c r="A42" s="406" t="s">
        <v>815</v>
      </c>
    </row>
    <row r="43" spans="1:32">
      <c r="A43" s="406" t="s">
        <v>816</v>
      </c>
      <c r="B43" s="407">
        <v>0</v>
      </c>
      <c r="C43" s="407">
        <v>0</v>
      </c>
      <c r="D43" s="407">
        <v>0</v>
      </c>
      <c r="E43" s="407">
        <v>0</v>
      </c>
      <c r="F43" s="407">
        <v>0</v>
      </c>
      <c r="G43" s="407">
        <v>0</v>
      </c>
      <c r="H43" s="407">
        <v>0</v>
      </c>
      <c r="I43" s="407">
        <v>0</v>
      </c>
      <c r="J43" s="407">
        <v>0</v>
      </c>
      <c r="K43" s="407">
        <v>0</v>
      </c>
      <c r="L43" s="407">
        <v>0</v>
      </c>
      <c r="M43" s="407">
        <v>0</v>
      </c>
      <c r="N43" s="407">
        <v>0</v>
      </c>
      <c r="O43" s="407">
        <v>0</v>
      </c>
      <c r="Q43" s="407">
        <v>0</v>
      </c>
      <c r="R43" s="407">
        <v>0</v>
      </c>
      <c r="S43" s="407">
        <v>0</v>
      </c>
      <c r="T43" s="407">
        <v>0</v>
      </c>
      <c r="U43" s="407">
        <v>0</v>
      </c>
      <c r="V43" s="407">
        <v>0</v>
      </c>
      <c r="W43" s="407">
        <v>0</v>
      </c>
      <c r="X43" s="407">
        <v>0</v>
      </c>
      <c r="Y43" s="407">
        <v>0</v>
      </c>
      <c r="Z43" s="407">
        <v>0</v>
      </c>
      <c r="AA43" s="407">
        <v>0</v>
      </c>
      <c r="AB43" s="407">
        <v>0</v>
      </c>
      <c r="AC43" s="407">
        <v>0</v>
      </c>
      <c r="AD43" s="407">
        <v>0</v>
      </c>
      <c r="AE43" s="407">
        <v>0</v>
      </c>
      <c r="AF43" s="407">
        <v>0</v>
      </c>
    </row>
    <row r="44" spans="1:32">
      <c r="A44" s="406" t="s">
        <v>817</v>
      </c>
      <c r="B44" s="407">
        <v>0</v>
      </c>
      <c r="C44" s="407">
        <v>0</v>
      </c>
      <c r="D44" s="407">
        <v>0</v>
      </c>
      <c r="E44" s="407">
        <v>0</v>
      </c>
      <c r="F44" s="407">
        <v>0</v>
      </c>
      <c r="G44" s="407">
        <v>0</v>
      </c>
      <c r="H44" s="407">
        <v>0</v>
      </c>
      <c r="I44" s="407">
        <v>0</v>
      </c>
      <c r="J44" s="407">
        <v>0</v>
      </c>
      <c r="K44" s="407">
        <v>0</v>
      </c>
      <c r="L44" s="407">
        <v>0</v>
      </c>
      <c r="M44" s="407">
        <v>0</v>
      </c>
      <c r="N44" s="407">
        <v>0</v>
      </c>
      <c r="O44" s="407">
        <v>0</v>
      </c>
      <c r="Q44" s="407">
        <v>0</v>
      </c>
      <c r="R44" s="407">
        <v>0</v>
      </c>
      <c r="S44" s="407">
        <v>0</v>
      </c>
      <c r="T44" s="407">
        <v>0</v>
      </c>
      <c r="U44" s="407">
        <v>0</v>
      </c>
      <c r="V44" s="407">
        <v>0</v>
      </c>
      <c r="W44" s="407">
        <v>0</v>
      </c>
      <c r="X44" s="407">
        <v>0</v>
      </c>
      <c r="Y44" s="407">
        <v>0</v>
      </c>
      <c r="Z44" s="407">
        <v>0</v>
      </c>
      <c r="AA44" s="407">
        <v>0</v>
      </c>
      <c r="AB44" s="407">
        <v>0</v>
      </c>
      <c r="AC44" s="407">
        <v>0</v>
      </c>
      <c r="AD44" s="407">
        <v>0</v>
      </c>
      <c r="AE44" s="407">
        <v>0</v>
      </c>
      <c r="AF44" s="407">
        <v>0</v>
      </c>
    </row>
    <row r="45" spans="1:32">
      <c r="A45" s="406" t="s">
        <v>818</v>
      </c>
      <c r="B45" s="407">
        <v>0</v>
      </c>
      <c r="C45" s="407">
        <v>0</v>
      </c>
      <c r="D45" s="407">
        <v>0</v>
      </c>
      <c r="E45" s="407">
        <v>0</v>
      </c>
      <c r="F45" s="407">
        <v>0</v>
      </c>
      <c r="G45" s="407">
        <v>0</v>
      </c>
      <c r="H45" s="407">
        <v>0</v>
      </c>
      <c r="I45" s="407">
        <v>0</v>
      </c>
      <c r="J45" s="407">
        <v>0</v>
      </c>
      <c r="K45" s="407">
        <v>0</v>
      </c>
      <c r="L45" s="407">
        <v>0</v>
      </c>
      <c r="M45" s="407">
        <v>0</v>
      </c>
      <c r="N45" s="407">
        <v>0</v>
      </c>
      <c r="O45" s="407">
        <v>0</v>
      </c>
      <c r="Q45" s="407">
        <v>0</v>
      </c>
      <c r="R45" s="407">
        <v>0</v>
      </c>
      <c r="S45" s="407">
        <v>0</v>
      </c>
      <c r="T45" s="407">
        <v>0</v>
      </c>
      <c r="U45" s="407">
        <v>0</v>
      </c>
      <c r="V45" s="407">
        <v>0</v>
      </c>
      <c r="W45" s="407">
        <v>0</v>
      </c>
      <c r="X45" s="407">
        <v>0</v>
      </c>
      <c r="Y45" s="407">
        <v>0</v>
      </c>
      <c r="Z45" s="407">
        <v>0</v>
      </c>
      <c r="AA45" s="407">
        <v>0</v>
      </c>
      <c r="AB45" s="407">
        <v>0</v>
      </c>
      <c r="AC45" s="407">
        <v>0</v>
      </c>
      <c r="AD45" s="407">
        <v>0</v>
      </c>
      <c r="AE45" s="407">
        <v>0</v>
      </c>
      <c r="AF45" s="407">
        <v>0</v>
      </c>
    </row>
    <row r="46" spans="1:32">
      <c r="A46" s="406" t="s">
        <v>819</v>
      </c>
      <c r="B46" s="407">
        <v>0</v>
      </c>
      <c r="C46" s="407">
        <v>0</v>
      </c>
      <c r="D46" s="407">
        <v>0</v>
      </c>
      <c r="E46" s="407">
        <v>0</v>
      </c>
      <c r="F46" s="407">
        <v>0</v>
      </c>
      <c r="G46" s="407">
        <v>0</v>
      </c>
      <c r="H46" s="407">
        <v>0</v>
      </c>
      <c r="I46" s="407">
        <v>0</v>
      </c>
      <c r="J46" s="407">
        <v>0</v>
      </c>
      <c r="K46" s="407">
        <v>0</v>
      </c>
      <c r="L46" s="407">
        <v>0</v>
      </c>
      <c r="M46" s="407">
        <v>0</v>
      </c>
      <c r="N46" s="407">
        <v>0</v>
      </c>
      <c r="O46" s="407">
        <v>0</v>
      </c>
      <c r="Q46" s="407">
        <v>0</v>
      </c>
      <c r="R46" s="407">
        <v>0</v>
      </c>
      <c r="S46" s="407">
        <v>0</v>
      </c>
      <c r="T46" s="407">
        <v>0</v>
      </c>
      <c r="U46" s="407">
        <v>0</v>
      </c>
      <c r="V46" s="407">
        <v>0</v>
      </c>
      <c r="W46" s="407">
        <v>0</v>
      </c>
      <c r="X46" s="407">
        <v>0</v>
      </c>
      <c r="Y46" s="407">
        <v>0</v>
      </c>
      <c r="Z46" s="407">
        <v>0</v>
      </c>
      <c r="AA46" s="407">
        <v>0</v>
      </c>
      <c r="AB46" s="407">
        <v>0</v>
      </c>
      <c r="AC46" s="407">
        <v>0</v>
      </c>
      <c r="AD46" s="407">
        <v>0</v>
      </c>
      <c r="AE46" s="407">
        <v>0</v>
      </c>
      <c r="AF46" s="407">
        <v>0</v>
      </c>
    </row>
    <row r="47" spans="1:32">
      <c r="A47" s="406" t="s">
        <v>820</v>
      </c>
      <c r="B47" s="407">
        <v>0</v>
      </c>
      <c r="C47" s="407">
        <v>0</v>
      </c>
      <c r="D47" s="407">
        <v>0</v>
      </c>
      <c r="E47" s="407">
        <v>0</v>
      </c>
      <c r="F47" s="407">
        <v>0</v>
      </c>
      <c r="G47" s="407">
        <v>0</v>
      </c>
      <c r="H47" s="407">
        <v>0</v>
      </c>
      <c r="I47" s="407">
        <v>0</v>
      </c>
      <c r="J47" s="407">
        <v>0</v>
      </c>
      <c r="K47" s="407">
        <v>0</v>
      </c>
      <c r="L47" s="407">
        <v>0</v>
      </c>
      <c r="M47" s="407">
        <v>0</v>
      </c>
      <c r="N47" s="407">
        <v>0</v>
      </c>
      <c r="O47" s="407">
        <v>0</v>
      </c>
      <c r="Q47" s="407">
        <v>0</v>
      </c>
      <c r="R47" s="407">
        <v>0</v>
      </c>
      <c r="S47" s="407">
        <v>0</v>
      </c>
      <c r="T47" s="407">
        <v>0</v>
      </c>
      <c r="U47" s="407">
        <v>0</v>
      </c>
      <c r="V47" s="407">
        <v>0</v>
      </c>
      <c r="W47" s="407">
        <v>0</v>
      </c>
      <c r="X47" s="407">
        <v>0</v>
      </c>
      <c r="Y47" s="407">
        <v>0</v>
      </c>
      <c r="Z47" s="407">
        <v>0</v>
      </c>
      <c r="AA47" s="407">
        <v>0</v>
      </c>
      <c r="AB47" s="407">
        <v>0</v>
      </c>
      <c r="AC47" s="407">
        <v>0</v>
      </c>
      <c r="AD47" s="407">
        <v>0</v>
      </c>
      <c r="AE47" s="407">
        <v>0</v>
      </c>
      <c r="AF47" s="407">
        <v>0</v>
      </c>
    </row>
    <row r="48" spans="1:32">
      <c r="A48" s="406" t="s">
        <v>821</v>
      </c>
      <c r="B48" s="407">
        <v>0</v>
      </c>
      <c r="C48" s="407">
        <v>0</v>
      </c>
      <c r="D48" s="407">
        <v>0</v>
      </c>
      <c r="E48" s="407">
        <v>0</v>
      </c>
      <c r="F48" s="407">
        <v>0</v>
      </c>
      <c r="G48" s="407">
        <v>0</v>
      </c>
      <c r="H48" s="407">
        <v>0</v>
      </c>
      <c r="I48" s="407">
        <v>0</v>
      </c>
      <c r="J48" s="407">
        <v>0</v>
      </c>
      <c r="K48" s="407">
        <v>0</v>
      </c>
      <c r="L48" s="407">
        <v>0</v>
      </c>
      <c r="M48" s="407">
        <v>0</v>
      </c>
      <c r="N48" s="407">
        <v>0</v>
      </c>
      <c r="O48" s="407">
        <v>0</v>
      </c>
      <c r="Q48" s="407">
        <v>0</v>
      </c>
      <c r="R48" s="407">
        <v>0</v>
      </c>
      <c r="S48" s="407">
        <v>0</v>
      </c>
      <c r="T48" s="407">
        <v>0</v>
      </c>
      <c r="U48" s="407">
        <v>0</v>
      </c>
      <c r="V48" s="407">
        <v>0</v>
      </c>
      <c r="W48" s="407">
        <v>0</v>
      </c>
      <c r="X48" s="407">
        <v>0</v>
      </c>
      <c r="Y48" s="407">
        <v>0</v>
      </c>
      <c r="Z48" s="407">
        <v>0</v>
      </c>
      <c r="AA48" s="407">
        <v>0</v>
      </c>
      <c r="AB48" s="407">
        <v>0</v>
      </c>
      <c r="AC48" s="407">
        <v>0</v>
      </c>
      <c r="AD48" s="407">
        <v>0</v>
      </c>
      <c r="AE48" s="407">
        <v>0</v>
      </c>
      <c r="AF48" s="407">
        <v>0</v>
      </c>
    </row>
    <row r="49" spans="1:32">
      <c r="A49" s="406" t="s">
        <v>822</v>
      </c>
      <c r="B49" s="407">
        <v>0</v>
      </c>
      <c r="C49" s="407">
        <v>0</v>
      </c>
      <c r="D49" s="407">
        <v>0</v>
      </c>
      <c r="E49" s="407">
        <v>0</v>
      </c>
      <c r="F49" s="407">
        <v>0</v>
      </c>
      <c r="G49" s="407">
        <v>0</v>
      </c>
      <c r="H49" s="407">
        <v>0</v>
      </c>
      <c r="I49" s="407">
        <v>0</v>
      </c>
      <c r="J49" s="407">
        <v>0</v>
      </c>
      <c r="K49" s="407">
        <v>0</v>
      </c>
      <c r="L49" s="407">
        <v>0</v>
      </c>
      <c r="M49" s="407">
        <v>0</v>
      </c>
      <c r="N49" s="407">
        <v>0</v>
      </c>
      <c r="O49" s="407">
        <v>0</v>
      </c>
      <c r="Q49" s="407">
        <v>0</v>
      </c>
      <c r="R49" s="407">
        <v>0</v>
      </c>
      <c r="S49" s="407">
        <v>0</v>
      </c>
      <c r="T49" s="407">
        <v>0</v>
      </c>
      <c r="U49" s="407">
        <v>0</v>
      </c>
      <c r="V49" s="407">
        <v>0</v>
      </c>
      <c r="W49" s="407">
        <v>0</v>
      </c>
      <c r="X49" s="407">
        <v>0</v>
      </c>
      <c r="Y49" s="407">
        <v>0</v>
      </c>
      <c r="Z49" s="407">
        <v>0</v>
      </c>
      <c r="AA49" s="407">
        <v>0</v>
      </c>
      <c r="AB49" s="407">
        <v>0</v>
      </c>
      <c r="AC49" s="407">
        <v>0</v>
      </c>
      <c r="AD49" s="407">
        <v>0</v>
      </c>
      <c r="AE49" s="407">
        <v>0</v>
      </c>
      <c r="AF49" s="407">
        <v>0</v>
      </c>
    </row>
    <row r="50" spans="1:32">
      <c r="A50" s="406" t="s">
        <v>823</v>
      </c>
      <c r="B50" s="407">
        <v>0</v>
      </c>
      <c r="C50" s="407">
        <v>0</v>
      </c>
      <c r="D50" s="407">
        <v>0</v>
      </c>
      <c r="E50" s="407">
        <v>0</v>
      </c>
      <c r="F50" s="407">
        <v>0</v>
      </c>
      <c r="G50" s="407">
        <v>0</v>
      </c>
      <c r="H50" s="407">
        <v>0</v>
      </c>
      <c r="I50" s="407">
        <v>0</v>
      </c>
      <c r="J50" s="407">
        <v>0</v>
      </c>
      <c r="K50" s="407">
        <v>0</v>
      </c>
      <c r="L50" s="407">
        <v>0</v>
      </c>
      <c r="M50" s="407">
        <v>0</v>
      </c>
      <c r="N50" s="407">
        <v>0</v>
      </c>
      <c r="O50" s="407">
        <v>0</v>
      </c>
      <c r="Q50" s="407">
        <v>0</v>
      </c>
      <c r="R50" s="407">
        <v>0</v>
      </c>
      <c r="S50" s="407">
        <v>0</v>
      </c>
      <c r="T50" s="407">
        <v>0</v>
      </c>
      <c r="U50" s="407">
        <v>0</v>
      </c>
      <c r="V50" s="407">
        <v>0</v>
      </c>
      <c r="W50" s="407">
        <v>0</v>
      </c>
      <c r="X50" s="407">
        <v>0</v>
      </c>
      <c r="Y50" s="407">
        <v>0</v>
      </c>
      <c r="Z50" s="407">
        <v>0</v>
      </c>
      <c r="AA50" s="407">
        <v>0</v>
      </c>
      <c r="AB50" s="407">
        <v>0</v>
      </c>
      <c r="AC50" s="407">
        <v>0</v>
      </c>
      <c r="AD50" s="407">
        <v>0</v>
      </c>
      <c r="AE50" s="407">
        <v>0</v>
      </c>
      <c r="AF50" s="407">
        <v>0</v>
      </c>
    </row>
    <row r="51" spans="1:32">
      <c r="A51" s="406" t="s">
        <v>824</v>
      </c>
      <c r="B51" s="407">
        <v>0</v>
      </c>
      <c r="C51" s="407">
        <v>0</v>
      </c>
      <c r="D51" s="407">
        <v>0</v>
      </c>
      <c r="E51" s="407">
        <v>0</v>
      </c>
      <c r="F51" s="407">
        <v>0</v>
      </c>
      <c r="G51" s="407">
        <v>0</v>
      </c>
      <c r="H51" s="407">
        <v>0</v>
      </c>
      <c r="I51" s="407">
        <v>0</v>
      </c>
      <c r="J51" s="407">
        <v>0</v>
      </c>
      <c r="K51" s="407">
        <v>0</v>
      </c>
      <c r="L51" s="407">
        <v>0</v>
      </c>
      <c r="M51" s="407">
        <v>0</v>
      </c>
      <c r="N51" s="407">
        <v>0</v>
      </c>
      <c r="O51" s="407">
        <v>0</v>
      </c>
      <c r="Q51" s="407">
        <v>0</v>
      </c>
      <c r="R51" s="407">
        <v>0</v>
      </c>
      <c r="S51" s="407">
        <v>0</v>
      </c>
      <c r="T51" s="407">
        <v>0</v>
      </c>
      <c r="U51" s="407">
        <v>0</v>
      </c>
      <c r="V51" s="407">
        <v>0</v>
      </c>
      <c r="W51" s="407">
        <v>0</v>
      </c>
      <c r="X51" s="407">
        <v>0</v>
      </c>
      <c r="Y51" s="407">
        <v>0</v>
      </c>
      <c r="Z51" s="407">
        <v>0</v>
      </c>
      <c r="AA51" s="407">
        <v>0</v>
      </c>
      <c r="AB51" s="407">
        <v>0</v>
      </c>
      <c r="AC51" s="407">
        <v>0</v>
      </c>
      <c r="AD51" s="407">
        <v>0</v>
      </c>
      <c r="AE51" s="407">
        <v>0</v>
      </c>
      <c r="AF51" s="407">
        <v>0</v>
      </c>
    </row>
    <row r="52" spans="1:32">
      <c r="A52" s="406" t="s">
        <v>825</v>
      </c>
      <c r="B52" s="407">
        <v>0</v>
      </c>
      <c r="C52" s="407">
        <v>0</v>
      </c>
      <c r="D52" s="407">
        <v>0</v>
      </c>
      <c r="E52" s="407">
        <v>0</v>
      </c>
      <c r="F52" s="407">
        <v>0</v>
      </c>
      <c r="G52" s="407">
        <v>0</v>
      </c>
      <c r="H52" s="407">
        <v>0</v>
      </c>
      <c r="I52" s="407">
        <v>0</v>
      </c>
      <c r="J52" s="407">
        <v>0</v>
      </c>
      <c r="K52" s="407">
        <v>0</v>
      </c>
      <c r="L52" s="407">
        <v>0</v>
      </c>
      <c r="M52" s="407">
        <v>0</v>
      </c>
      <c r="N52" s="407">
        <v>0</v>
      </c>
      <c r="O52" s="407">
        <v>0</v>
      </c>
      <c r="Q52" s="407">
        <v>0</v>
      </c>
      <c r="R52" s="407">
        <v>0</v>
      </c>
      <c r="S52" s="407">
        <v>0</v>
      </c>
      <c r="T52" s="407">
        <v>0</v>
      </c>
      <c r="U52" s="407">
        <v>0</v>
      </c>
      <c r="V52" s="407">
        <v>0</v>
      </c>
      <c r="W52" s="407">
        <v>0</v>
      </c>
      <c r="X52" s="407">
        <v>0</v>
      </c>
      <c r="Y52" s="407">
        <v>0</v>
      </c>
      <c r="Z52" s="407">
        <v>0</v>
      </c>
      <c r="AA52" s="407">
        <v>0</v>
      </c>
      <c r="AB52" s="407">
        <v>0</v>
      </c>
      <c r="AC52" s="407">
        <v>0</v>
      </c>
      <c r="AD52" s="407">
        <v>0</v>
      </c>
      <c r="AE52" s="407">
        <v>0</v>
      </c>
      <c r="AF52" s="407">
        <v>0</v>
      </c>
    </row>
    <row r="54" spans="1:32">
      <c r="A54" s="406" t="s">
        <v>826</v>
      </c>
      <c r="B54" s="407">
        <v>0</v>
      </c>
      <c r="C54" s="407">
        <v>0</v>
      </c>
      <c r="D54" s="407">
        <v>0</v>
      </c>
      <c r="E54" s="407">
        <v>0</v>
      </c>
      <c r="F54" s="407">
        <v>0</v>
      </c>
      <c r="G54" s="407">
        <v>0</v>
      </c>
      <c r="H54" s="407">
        <v>0</v>
      </c>
      <c r="I54" s="407">
        <v>0</v>
      </c>
      <c r="J54" s="407">
        <v>0</v>
      </c>
      <c r="K54" s="407">
        <v>0</v>
      </c>
      <c r="L54" s="407">
        <v>0</v>
      </c>
      <c r="M54" s="407">
        <v>0</v>
      </c>
      <c r="N54" s="407">
        <v>0</v>
      </c>
      <c r="O54" s="407">
        <v>0</v>
      </c>
      <c r="Q54" s="407">
        <v>0</v>
      </c>
      <c r="R54" s="407">
        <v>0</v>
      </c>
      <c r="S54" s="407">
        <v>0</v>
      </c>
      <c r="T54" s="407">
        <v>0</v>
      </c>
      <c r="U54" s="407">
        <v>0</v>
      </c>
      <c r="V54" s="407">
        <v>0</v>
      </c>
      <c r="W54" s="407">
        <v>0</v>
      </c>
      <c r="X54" s="407">
        <v>0</v>
      </c>
      <c r="Y54" s="407">
        <v>0</v>
      </c>
      <c r="Z54" s="407">
        <v>0</v>
      </c>
      <c r="AA54" s="407">
        <v>0</v>
      </c>
      <c r="AB54" s="407">
        <v>0</v>
      </c>
      <c r="AC54" s="407">
        <v>0</v>
      </c>
      <c r="AD54" s="407">
        <v>0</v>
      </c>
      <c r="AE54" s="407">
        <v>0</v>
      </c>
      <c r="AF54" s="407">
        <v>0</v>
      </c>
    </row>
    <row r="55" spans="1:32">
      <c r="A55" s="406" t="s">
        <v>827</v>
      </c>
      <c r="B55" s="407">
        <v>0</v>
      </c>
      <c r="C55" s="407">
        <v>0</v>
      </c>
      <c r="D55" s="407">
        <v>0</v>
      </c>
      <c r="E55" s="407">
        <v>0</v>
      </c>
      <c r="F55" s="407">
        <v>0</v>
      </c>
      <c r="G55" s="407">
        <v>0</v>
      </c>
      <c r="H55" s="407">
        <v>0</v>
      </c>
      <c r="I55" s="407">
        <v>0</v>
      </c>
      <c r="J55" s="407">
        <v>0</v>
      </c>
      <c r="K55" s="407">
        <v>0</v>
      </c>
      <c r="L55" s="407">
        <v>0</v>
      </c>
      <c r="M55" s="407">
        <v>0</v>
      </c>
      <c r="N55" s="407">
        <v>0</v>
      </c>
      <c r="O55" s="407">
        <v>0</v>
      </c>
      <c r="Q55" s="407">
        <v>0</v>
      </c>
      <c r="R55" s="407">
        <v>0</v>
      </c>
      <c r="S55" s="407">
        <v>0</v>
      </c>
      <c r="T55" s="407">
        <v>0</v>
      </c>
      <c r="U55" s="407">
        <v>0</v>
      </c>
      <c r="V55" s="407">
        <v>0</v>
      </c>
      <c r="W55" s="407">
        <v>0</v>
      </c>
      <c r="X55" s="407">
        <v>0</v>
      </c>
      <c r="Y55" s="407">
        <v>0</v>
      </c>
      <c r="Z55" s="407">
        <v>0</v>
      </c>
      <c r="AA55" s="407">
        <v>0</v>
      </c>
      <c r="AB55" s="407">
        <v>0</v>
      </c>
      <c r="AC55" s="407">
        <v>0</v>
      </c>
      <c r="AD55" s="407">
        <v>0</v>
      </c>
      <c r="AE55" s="407">
        <v>0</v>
      </c>
      <c r="AF55" s="407">
        <v>0</v>
      </c>
    </row>
    <row r="56" spans="1:32">
      <c r="A56" s="406" t="s">
        <v>828</v>
      </c>
      <c r="B56" s="407">
        <v>0</v>
      </c>
      <c r="C56" s="407">
        <v>0</v>
      </c>
      <c r="D56" s="407">
        <v>0</v>
      </c>
      <c r="E56" s="407">
        <v>0</v>
      </c>
      <c r="F56" s="407">
        <v>0</v>
      </c>
      <c r="G56" s="407">
        <v>0</v>
      </c>
      <c r="H56" s="407">
        <v>0</v>
      </c>
      <c r="I56" s="407">
        <v>0</v>
      </c>
      <c r="J56" s="407">
        <v>0</v>
      </c>
      <c r="K56" s="407">
        <v>0</v>
      </c>
      <c r="L56" s="407">
        <v>0</v>
      </c>
      <c r="M56" s="407">
        <v>0</v>
      </c>
      <c r="N56" s="407">
        <v>0</v>
      </c>
      <c r="O56" s="407">
        <v>0</v>
      </c>
      <c r="Q56" s="407">
        <v>0</v>
      </c>
      <c r="R56" s="407">
        <v>0</v>
      </c>
      <c r="S56" s="407">
        <v>0</v>
      </c>
      <c r="T56" s="407">
        <v>0</v>
      </c>
      <c r="U56" s="407">
        <v>0</v>
      </c>
      <c r="V56" s="407">
        <v>0</v>
      </c>
      <c r="W56" s="407">
        <v>0</v>
      </c>
      <c r="X56" s="407">
        <v>0</v>
      </c>
      <c r="Y56" s="407">
        <v>0</v>
      </c>
      <c r="Z56" s="407">
        <v>0</v>
      </c>
      <c r="AA56" s="407">
        <v>0</v>
      </c>
      <c r="AB56" s="407">
        <v>0</v>
      </c>
      <c r="AC56" s="407">
        <v>0</v>
      </c>
      <c r="AD56" s="407">
        <v>0</v>
      </c>
      <c r="AE56" s="407">
        <v>0</v>
      </c>
      <c r="AF56" s="407">
        <v>0</v>
      </c>
    </row>
    <row r="57" spans="1:32">
      <c r="A57" s="406" t="s">
        <v>829</v>
      </c>
      <c r="B57" s="407">
        <v>0</v>
      </c>
      <c r="C57" s="407">
        <v>0</v>
      </c>
      <c r="D57" s="407">
        <v>0</v>
      </c>
      <c r="E57" s="407">
        <v>0</v>
      </c>
      <c r="F57" s="407">
        <v>0</v>
      </c>
      <c r="G57" s="407">
        <v>0</v>
      </c>
      <c r="H57" s="407">
        <v>0</v>
      </c>
      <c r="I57" s="407">
        <v>0</v>
      </c>
      <c r="J57" s="407">
        <v>0</v>
      </c>
      <c r="K57" s="407">
        <v>0</v>
      </c>
      <c r="L57" s="407">
        <v>0</v>
      </c>
      <c r="M57" s="407">
        <v>0</v>
      </c>
      <c r="N57" s="407">
        <v>0</v>
      </c>
      <c r="O57" s="407">
        <v>0</v>
      </c>
      <c r="Q57" s="407">
        <v>0</v>
      </c>
      <c r="R57" s="407">
        <v>0</v>
      </c>
      <c r="S57" s="407">
        <v>0</v>
      </c>
      <c r="T57" s="407">
        <v>0</v>
      </c>
      <c r="U57" s="407">
        <v>0</v>
      </c>
      <c r="V57" s="407">
        <v>0</v>
      </c>
      <c r="W57" s="407">
        <v>0</v>
      </c>
      <c r="X57" s="407">
        <v>0</v>
      </c>
      <c r="Y57" s="407">
        <v>0</v>
      </c>
      <c r="Z57" s="407">
        <v>0</v>
      </c>
      <c r="AA57" s="407">
        <v>0</v>
      </c>
      <c r="AB57" s="407">
        <v>0</v>
      </c>
      <c r="AC57" s="407">
        <v>0</v>
      </c>
      <c r="AD57" s="407">
        <v>0</v>
      </c>
      <c r="AE57" s="407">
        <v>0</v>
      </c>
      <c r="AF57" s="407">
        <v>0</v>
      </c>
    </row>
    <row r="58" spans="1:32">
      <c r="A58" s="406" t="s">
        <v>830</v>
      </c>
      <c r="B58" s="407">
        <v>0</v>
      </c>
      <c r="C58" s="407">
        <v>0</v>
      </c>
      <c r="D58" s="407">
        <v>0</v>
      </c>
      <c r="E58" s="407">
        <v>0</v>
      </c>
      <c r="F58" s="407">
        <v>0</v>
      </c>
      <c r="G58" s="407">
        <v>0</v>
      </c>
      <c r="H58" s="407">
        <v>0</v>
      </c>
      <c r="I58" s="407">
        <v>0</v>
      </c>
      <c r="J58" s="407">
        <v>0</v>
      </c>
      <c r="K58" s="407">
        <v>0</v>
      </c>
      <c r="L58" s="407">
        <v>0</v>
      </c>
      <c r="M58" s="407">
        <v>0</v>
      </c>
      <c r="N58" s="407">
        <v>0</v>
      </c>
      <c r="O58" s="407">
        <v>0</v>
      </c>
      <c r="Q58" s="407">
        <v>0</v>
      </c>
      <c r="R58" s="407">
        <v>0</v>
      </c>
      <c r="S58" s="407">
        <v>0</v>
      </c>
      <c r="T58" s="407">
        <v>0</v>
      </c>
      <c r="U58" s="407">
        <v>0</v>
      </c>
      <c r="V58" s="407">
        <v>0</v>
      </c>
      <c r="W58" s="407">
        <v>0</v>
      </c>
      <c r="X58" s="407">
        <v>0</v>
      </c>
      <c r="Y58" s="407">
        <v>0</v>
      </c>
      <c r="Z58" s="407">
        <v>0</v>
      </c>
      <c r="AA58" s="407">
        <v>0</v>
      </c>
      <c r="AB58" s="407">
        <v>0</v>
      </c>
      <c r="AC58" s="407">
        <v>0</v>
      </c>
      <c r="AD58" s="407">
        <v>0</v>
      </c>
      <c r="AE58" s="407">
        <v>0</v>
      </c>
      <c r="AF58" s="407">
        <v>0</v>
      </c>
    </row>
    <row r="59" spans="1:32">
      <c r="A59" s="406" t="s">
        <v>831</v>
      </c>
      <c r="B59" s="407">
        <v>0</v>
      </c>
      <c r="C59" s="407">
        <v>0</v>
      </c>
      <c r="D59" s="407">
        <v>0</v>
      </c>
      <c r="E59" s="407">
        <v>0</v>
      </c>
      <c r="F59" s="407">
        <v>0</v>
      </c>
      <c r="G59" s="407">
        <v>0</v>
      </c>
      <c r="H59" s="407">
        <v>0</v>
      </c>
      <c r="I59" s="407">
        <v>0</v>
      </c>
      <c r="J59" s="407">
        <v>0</v>
      </c>
      <c r="K59" s="407">
        <v>0</v>
      </c>
      <c r="L59" s="407">
        <v>0</v>
      </c>
      <c r="M59" s="407">
        <v>0</v>
      </c>
      <c r="N59" s="407">
        <v>0</v>
      </c>
      <c r="O59" s="407">
        <v>0</v>
      </c>
      <c r="Q59" s="407">
        <v>0</v>
      </c>
      <c r="R59" s="407">
        <v>0</v>
      </c>
      <c r="S59" s="407">
        <v>0</v>
      </c>
      <c r="T59" s="407">
        <v>0</v>
      </c>
      <c r="U59" s="407">
        <v>0</v>
      </c>
      <c r="V59" s="407">
        <v>0</v>
      </c>
      <c r="W59" s="407">
        <v>0</v>
      </c>
      <c r="X59" s="407">
        <v>0</v>
      </c>
      <c r="Y59" s="407">
        <v>0</v>
      </c>
      <c r="Z59" s="407">
        <v>0</v>
      </c>
      <c r="AA59" s="407">
        <v>0</v>
      </c>
      <c r="AB59" s="407">
        <v>0</v>
      </c>
      <c r="AC59" s="407">
        <v>0</v>
      </c>
      <c r="AD59" s="407">
        <v>0</v>
      </c>
      <c r="AE59" s="407">
        <v>0</v>
      </c>
      <c r="AF59" s="407">
        <v>0</v>
      </c>
    </row>
    <row r="61" spans="1:32">
      <c r="A61" s="406" t="s">
        <v>832</v>
      </c>
      <c r="B61" s="407">
        <v>0</v>
      </c>
      <c r="C61" s="407">
        <v>0</v>
      </c>
      <c r="D61" s="407">
        <v>0</v>
      </c>
      <c r="E61" s="407">
        <v>0</v>
      </c>
      <c r="F61" s="407">
        <v>0</v>
      </c>
      <c r="G61" s="407">
        <v>0</v>
      </c>
      <c r="H61" s="407">
        <v>0</v>
      </c>
      <c r="I61" s="407">
        <v>0</v>
      </c>
      <c r="J61" s="407">
        <v>0</v>
      </c>
      <c r="K61" s="407">
        <v>0</v>
      </c>
      <c r="L61" s="407">
        <v>0</v>
      </c>
      <c r="M61" s="407">
        <v>0</v>
      </c>
      <c r="N61" s="407">
        <v>0</v>
      </c>
      <c r="O61" s="407">
        <v>0</v>
      </c>
      <c r="Q61" s="407">
        <v>0</v>
      </c>
      <c r="R61" s="407">
        <v>0</v>
      </c>
      <c r="S61" s="407">
        <v>0</v>
      </c>
      <c r="T61" s="407">
        <v>0</v>
      </c>
      <c r="U61" s="407">
        <v>0</v>
      </c>
      <c r="V61" s="407">
        <v>0</v>
      </c>
      <c r="W61" s="407">
        <v>0</v>
      </c>
      <c r="X61" s="407">
        <v>0</v>
      </c>
      <c r="Y61" s="407">
        <v>0</v>
      </c>
      <c r="Z61" s="407">
        <v>0</v>
      </c>
      <c r="AA61" s="407">
        <v>0</v>
      </c>
      <c r="AB61" s="407">
        <v>0</v>
      </c>
      <c r="AC61" s="407">
        <v>0</v>
      </c>
      <c r="AD61" s="407">
        <v>0</v>
      </c>
      <c r="AE61" s="407">
        <v>0</v>
      </c>
      <c r="AF61" s="407">
        <v>0</v>
      </c>
    </row>
    <row r="63" spans="1:32">
      <c r="A63" s="406" t="s">
        <v>833</v>
      </c>
    </row>
    <row r="64" spans="1:32">
      <c r="A64" s="406" t="s">
        <v>834</v>
      </c>
      <c r="B64" s="407">
        <v>0</v>
      </c>
      <c r="C64" s="407">
        <v>0</v>
      </c>
      <c r="D64" s="407">
        <v>0</v>
      </c>
      <c r="E64" s="407">
        <v>0</v>
      </c>
      <c r="F64" s="407">
        <v>0</v>
      </c>
      <c r="G64" s="407">
        <v>0</v>
      </c>
      <c r="H64" s="407">
        <v>0</v>
      </c>
      <c r="I64" s="407">
        <v>0</v>
      </c>
      <c r="J64" s="407">
        <v>0</v>
      </c>
      <c r="K64" s="407">
        <v>0</v>
      </c>
      <c r="L64" s="407">
        <v>0</v>
      </c>
      <c r="M64" s="407">
        <v>0</v>
      </c>
      <c r="N64" s="407">
        <v>0</v>
      </c>
      <c r="O64" s="407">
        <v>0</v>
      </c>
      <c r="Q64" s="407">
        <v>0</v>
      </c>
      <c r="R64" s="407">
        <v>0</v>
      </c>
      <c r="S64" s="407">
        <v>0</v>
      </c>
      <c r="T64" s="407">
        <v>0</v>
      </c>
      <c r="U64" s="407">
        <v>0</v>
      </c>
      <c r="V64" s="407">
        <v>0</v>
      </c>
      <c r="W64" s="407">
        <v>0</v>
      </c>
      <c r="X64" s="407">
        <v>0</v>
      </c>
      <c r="Y64" s="407">
        <v>0</v>
      </c>
      <c r="Z64" s="407">
        <v>0</v>
      </c>
      <c r="AA64" s="407">
        <v>0</v>
      </c>
      <c r="AB64" s="407">
        <v>0</v>
      </c>
      <c r="AC64" s="407">
        <v>0</v>
      </c>
      <c r="AD64" s="407">
        <v>0</v>
      </c>
      <c r="AE64" s="407">
        <v>0</v>
      </c>
      <c r="AF64" s="407">
        <v>0</v>
      </c>
    </row>
    <row r="65" spans="1:32">
      <c r="A65" s="406" t="s">
        <v>835</v>
      </c>
      <c r="B65" s="407">
        <v>0</v>
      </c>
      <c r="C65" s="407">
        <v>0</v>
      </c>
      <c r="D65" s="407">
        <v>0</v>
      </c>
      <c r="E65" s="407">
        <v>0</v>
      </c>
      <c r="F65" s="407">
        <v>0</v>
      </c>
      <c r="G65" s="407">
        <v>0</v>
      </c>
      <c r="H65" s="407">
        <v>0</v>
      </c>
      <c r="I65" s="407">
        <v>0</v>
      </c>
      <c r="J65" s="407">
        <v>0</v>
      </c>
      <c r="K65" s="407">
        <v>0</v>
      </c>
      <c r="L65" s="407">
        <v>0</v>
      </c>
      <c r="M65" s="407">
        <v>0</v>
      </c>
      <c r="N65" s="407">
        <v>0</v>
      </c>
      <c r="O65" s="407">
        <v>0</v>
      </c>
      <c r="Q65" s="407">
        <v>0</v>
      </c>
      <c r="R65" s="407">
        <v>0</v>
      </c>
      <c r="S65" s="407">
        <v>0</v>
      </c>
      <c r="T65" s="407">
        <v>0</v>
      </c>
      <c r="U65" s="407">
        <v>0</v>
      </c>
      <c r="V65" s="407">
        <v>0</v>
      </c>
      <c r="W65" s="407">
        <v>0</v>
      </c>
      <c r="X65" s="407">
        <v>0</v>
      </c>
      <c r="Y65" s="407">
        <v>0</v>
      </c>
      <c r="Z65" s="407">
        <v>0</v>
      </c>
      <c r="AA65" s="407">
        <v>0</v>
      </c>
      <c r="AB65" s="407">
        <v>0</v>
      </c>
      <c r="AC65" s="407">
        <v>0</v>
      </c>
      <c r="AD65" s="407">
        <v>0</v>
      </c>
      <c r="AE65" s="407">
        <v>0</v>
      </c>
      <c r="AF65" s="407">
        <v>0</v>
      </c>
    </row>
    <row r="66" spans="1:32">
      <c r="A66" s="406" t="s">
        <v>836</v>
      </c>
      <c r="B66" s="407">
        <v>0</v>
      </c>
      <c r="C66" s="407">
        <v>0</v>
      </c>
      <c r="D66" s="407">
        <v>0</v>
      </c>
      <c r="E66" s="407">
        <v>0</v>
      </c>
      <c r="F66" s="407">
        <v>0</v>
      </c>
      <c r="G66" s="407">
        <v>0</v>
      </c>
      <c r="H66" s="407">
        <v>0</v>
      </c>
      <c r="I66" s="407">
        <v>0</v>
      </c>
      <c r="J66" s="407">
        <v>0</v>
      </c>
      <c r="K66" s="407">
        <v>0</v>
      </c>
      <c r="L66" s="407">
        <v>0</v>
      </c>
      <c r="M66" s="407">
        <v>0</v>
      </c>
      <c r="N66" s="407">
        <v>0</v>
      </c>
      <c r="O66" s="407">
        <v>0</v>
      </c>
      <c r="Q66" s="407">
        <v>0</v>
      </c>
      <c r="R66" s="407">
        <v>0</v>
      </c>
      <c r="S66" s="407">
        <v>0</v>
      </c>
      <c r="T66" s="407">
        <v>0</v>
      </c>
      <c r="U66" s="407">
        <v>0</v>
      </c>
      <c r="V66" s="407">
        <v>0</v>
      </c>
      <c r="W66" s="407">
        <v>0</v>
      </c>
      <c r="X66" s="407">
        <v>0</v>
      </c>
      <c r="Y66" s="407">
        <v>0</v>
      </c>
      <c r="Z66" s="407">
        <v>0</v>
      </c>
      <c r="AA66" s="407">
        <v>0</v>
      </c>
      <c r="AB66" s="407">
        <v>0</v>
      </c>
      <c r="AC66" s="407">
        <v>0</v>
      </c>
      <c r="AD66" s="407">
        <v>0</v>
      </c>
      <c r="AE66" s="407">
        <v>0</v>
      </c>
      <c r="AF66" s="407">
        <v>0</v>
      </c>
    </row>
    <row r="67" spans="1:32">
      <c r="A67" s="406" t="s">
        <v>837</v>
      </c>
      <c r="B67" s="407">
        <v>0</v>
      </c>
      <c r="C67" s="407">
        <v>0</v>
      </c>
      <c r="D67" s="407">
        <v>0</v>
      </c>
      <c r="E67" s="407">
        <v>0</v>
      </c>
      <c r="F67" s="407">
        <v>0</v>
      </c>
      <c r="G67" s="407">
        <v>0</v>
      </c>
      <c r="H67" s="407">
        <v>0</v>
      </c>
      <c r="I67" s="407">
        <v>0</v>
      </c>
      <c r="J67" s="407">
        <v>0</v>
      </c>
      <c r="K67" s="407">
        <v>0</v>
      </c>
      <c r="L67" s="407">
        <v>0</v>
      </c>
      <c r="M67" s="407">
        <v>0</v>
      </c>
      <c r="N67" s="407">
        <v>0</v>
      </c>
      <c r="O67" s="407">
        <v>0</v>
      </c>
      <c r="Q67" s="407">
        <v>0</v>
      </c>
      <c r="R67" s="407">
        <v>0</v>
      </c>
      <c r="S67" s="407">
        <v>0</v>
      </c>
      <c r="T67" s="407">
        <v>0</v>
      </c>
      <c r="U67" s="407">
        <v>0</v>
      </c>
      <c r="V67" s="407">
        <v>0</v>
      </c>
      <c r="W67" s="407">
        <v>0</v>
      </c>
      <c r="X67" s="407">
        <v>0</v>
      </c>
      <c r="Y67" s="407">
        <v>0</v>
      </c>
      <c r="Z67" s="407">
        <v>0</v>
      </c>
      <c r="AA67" s="407">
        <v>0</v>
      </c>
      <c r="AB67" s="407">
        <v>0</v>
      </c>
      <c r="AC67" s="407">
        <v>0</v>
      </c>
      <c r="AD67" s="407">
        <v>0</v>
      </c>
      <c r="AE67" s="407">
        <v>0</v>
      </c>
      <c r="AF67" s="407">
        <v>0</v>
      </c>
    </row>
    <row r="68" spans="1:32">
      <c r="A68" s="406" t="s">
        <v>838</v>
      </c>
      <c r="B68" s="407">
        <v>0</v>
      </c>
      <c r="C68" s="407">
        <v>0</v>
      </c>
      <c r="D68" s="407">
        <v>0</v>
      </c>
      <c r="E68" s="407">
        <v>0</v>
      </c>
      <c r="F68" s="407">
        <v>0</v>
      </c>
      <c r="G68" s="407">
        <v>0</v>
      </c>
      <c r="H68" s="407">
        <v>0</v>
      </c>
      <c r="I68" s="407">
        <v>0</v>
      </c>
      <c r="J68" s="407">
        <v>0</v>
      </c>
      <c r="K68" s="407">
        <v>0</v>
      </c>
      <c r="L68" s="407">
        <v>0</v>
      </c>
      <c r="M68" s="407">
        <v>0</v>
      </c>
      <c r="N68" s="407">
        <v>0</v>
      </c>
      <c r="O68" s="407">
        <v>0</v>
      </c>
      <c r="Q68" s="407">
        <v>0</v>
      </c>
      <c r="R68" s="407">
        <v>0</v>
      </c>
      <c r="S68" s="407">
        <v>0</v>
      </c>
      <c r="T68" s="407">
        <v>0</v>
      </c>
      <c r="U68" s="407">
        <v>0</v>
      </c>
      <c r="V68" s="407">
        <v>0</v>
      </c>
      <c r="W68" s="407">
        <v>0</v>
      </c>
      <c r="X68" s="407">
        <v>0</v>
      </c>
      <c r="Y68" s="407">
        <v>0</v>
      </c>
      <c r="Z68" s="407">
        <v>0</v>
      </c>
      <c r="AA68" s="407">
        <v>0</v>
      </c>
      <c r="AB68" s="407">
        <v>0</v>
      </c>
      <c r="AC68" s="407">
        <v>0</v>
      </c>
      <c r="AD68" s="407">
        <v>0</v>
      </c>
      <c r="AE68" s="407">
        <v>0</v>
      </c>
      <c r="AF68" s="407">
        <v>0</v>
      </c>
    </row>
    <row r="69" spans="1:32">
      <c r="A69" s="406" t="s">
        <v>839</v>
      </c>
      <c r="B69" s="407">
        <v>0</v>
      </c>
      <c r="C69" s="407">
        <v>0</v>
      </c>
      <c r="D69" s="407">
        <v>0</v>
      </c>
      <c r="E69" s="407">
        <v>0</v>
      </c>
      <c r="F69" s="407">
        <v>0</v>
      </c>
      <c r="G69" s="407">
        <v>0</v>
      </c>
      <c r="H69" s="407">
        <v>0</v>
      </c>
      <c r="I69" s="407">
        <v>0</v>
      </c>
      <c r="J69" s="407">
        <v>0</v>
      </c>
      <c r="K69" s="407">
        <v>0</v>
      </c>
      <c r="L69" s="407">
        <v>0</v>
      </c>
      <c r="M69" s="407">
        <v>0</v>
      </c>
      <c r="N69" s="407">
        <v>0</v>
      </c>
      <c r="O69" s="407">
        <v>0</v>
      </c>
      <c r="Q69" s="407">
        <v>0</v>
      </c>
      <c r="R69" s="407">
        <v>0</v>
      </c>
      <c r="S69" s="407">
        <v>0</v>
      </c>
      <c r="T69" s="407">
        <v>0</v>
      </c>
      <c r="U69" s="407">
        <v>0</v>
      </c>
      <c r="V69" s="407">
        <v>0</v>
      </c>
      <c r="W69" s="407">
        <v>0</v>
      </c>
      <c r="X69" s="407">
        <v>0</v>
      </c>
      <c r="Y69" s="407">
        <v>0</v>
      </c>
      <c r="Z69" s="407">
        <v>0</v>
      </c>
      <c r="AA69" s="407">
        <v>0</v>
      </c>
      <c r="AB69" s="407">
        <v>0</v>
      </c>
      <c r="AC69" s="407">
        <v>0</v>
      </c>
      <c r="AD69" s="407">
        <v>0</v>
      </c>
      <c r="AE69" s="407">
        <v>0</v>
      </c>
      <c r="AF69" s="407">
        <v>0</v>
      </c>
    </row>
    <row r="71" spans="1:32">
      <c r="A71" s="406" t="s">
        <v>840</v>
      </c>
      <c r="B71" s="407">
        <v>0</v>
      </c>
      <c r="C71" s="407">
        <v>0</v>
      </c>
      <c r="D71" s="407">
        <v>0</v>
      </c>
      <c r="E71" s="407">
        <v>0</v>
      </c>
      <c r="F71" s="407">
        <v>0</v>
      </c>
      <c r="G71" s="407">
        <v>0</v>
      </c>
      <c r="H71" s="407">
        <v>0</v>
      </c>
      <c r="I71" s="407">
        <v>0</v>
      </c>
      <c r="J71" s="407">
        <v>0</v>
      </c>
      <c r="K71" s="407">
        <v>0</v>
      </c>
      <c r="L71" s="407">
        <v>0</v>
      </c>
      <c r="M71" s="407">
        <v>0</v>
      </c>
      <c r="N71" s="407">
        <v>0</v>
      </c>
      <c r="O71" s="407">
        <v>0</v>
      </c>
      <c r="Q71" s="407">
        <v>0</v>
      </c>
      <c r="R71" s="407">
        <v>0</v>
      </c>
      <c r="S71" s="407">
        <v>0</v>
      </c>
      <c r="T71" s="407">
        <v>0</v>
      </c>
      <c r="U71" s="407">
        <v>0</v>
      </c>
      <c r="V71" s="407">
        <v>0</v>
      </c>
      <c r="W71" s="407">
        <v>0</v>
      </c>
      <c r="X71" s="407">
        <v>0</v>
      </c>
      <c r="Y71" s="407">
        <v>0</v>
      </c>
      <c r="Z71" s="407">
        <v>0</v>
      </c>
      <c r="AA71" s="407">
        <v>0</v>
      </c>
      <c r="AB71" s="407">
        <v>0</v>
      </c>
      <c r="AC71" s="407">
        <v>0</v>
      </c>
      <c r="AD71" s="407">
        <v>0</v>
      </c>
      <c r="AE71" s="407">
        <v>0</v>
      </c>
      <c r="AF71" s="407">
        <v>0</v>
      </c>
    </row>
    <row r="72" spans="1:32">
      <c r="A72" s="406" t="s">
        <v>841</v>
      </c>
      <c r="B72" s="407">
        <v>0</v>
      </c>
      <c r="C72" s="407">
        <v>0</v>
      </c>
      <c r="D72" s="407">
        <v>0</v>
      </c>
      <c r="E72" s="407">
        <v>0</v>
      </c>
      <c r="F72" s="407">
        <v>0</v>
      </c>
      <c r="G72" s="407">
        <v>0</v>
      </c>
      <c r="H72" s="407">
        <v>0</v>
      </c>
      <c r="I72" s="407">
        <v>0</v>
      </c>
      <c r="J72" s="407">
        <v>0</v>
      </c>
      <c r="K72" s="407">
        <v>0</v>
      </c>
      <c r="L72" s="407">
        <v>0</v>
      </c>
      <c r="M72" s="407">
        <v>0</v>
      </c>
      <c r="N72" s="407">
        <v>0</v>
      </c>
      <c r="O72" s="407">
        <v>0</v>
      </c>
      <c r="Q72" s="407">
        <v>0</v>
      </c>
      <c r="R72" s="407">
        <v>0</v>
      </c>
      <c r="S72" s="407">
        <v>0</v>
      </c>
      <c r="T72" s="407">
        <v>0</v>
      </c>
      <c r="U72" s="407">
        <v>0</v>
      </c>
      <c r="V72" s="407">
        <v>0</v>
      </c>
      <c r="W72" s="407">
        <v>0</v>
      </c>
      <c r="X72" s="407">
        <v>0</v>
      </c>
      <c r="Y72" s="407">
        <v>0</v>
      </c>
      <c r="Z72" s="407">
        <v>0</v>
      </c>
      <c r="AA72" s="407">
        <v>0</v>
      </c>
      <c r="AB72" s="407">
        <v>0</v>
      </c>
      <c r="AC72" s="407">
        <v>0</v>
      </c>
      <c r="AD72" s="407">
        <v>0</v>
      </c>
      <c r="AE72" s="407">
        <v>0</v>
      </c>
      <c r="AF72" s="407">
        <v>0</v>
      </c>
    </row>
    <row r="73" spans="1:32">
      <c r="A73" s="406" t="s">
        <v>842</v>
      </c>
      <c r="B73" s="407">
        <v>0</v>
      </c>
      <c r="C73" s="407">
        <v>0</v>
      </c>
      <c r="D73" s="407">
        <v>0</v>
      </c>
      <c r="E73" s="407">
        <v>0</v>
      </c>
      <c r="F73" s="407">
        <v>0</v>
      </c>
      <c r="G73" s="407">
        <v>0</v>
      </c>
      <c r="H73" s="407">
        <v>0</v>
      </c>
      <c r="I73" s="407">
        <v>0</v>
      </c>
      <c r="J73" s="407">
        <v>0</v>
      </c>
      <c r="K73" s="407">
        <v>0</v>
      </c>
      <c r="L73" s="407">
        <v>0</v>
      </c>
      <c r="M73" s="407">
        <v>0</v>
      </c>
      <c r="N73" s="407">
        <v>0</v>
      </c>
      <c r="O73" s="407">
        <v>0</v>
      </c>
      <c r="Q73" s="407">
        <v>0</v>
      </c>
      <c r="R73" s="407">
        <v>0</v>
      </c>
      <c r="S73" s="407">
        <v>0</v>
      </c>
      <c r="T73" s="407">
        <v>0</v>
      </c>
      <c r="U73" s="407">
        <v>0</v>
      </c>
      <c r="V73" s="407">
        <v>0</v>
      </c>
      <c r="W73" s="407">
        <v>0</v>
      </c>
      <c r="X73" s="407">
        <v>0</v>
      </c>
      <c r="Y73" s="407">
        <v>0</v>
      </c>
      <c r="Z73" s="407">
        <v>0</v>
      </c>
      <c r="AA73" s="407">
        <v>0</v>
      </c>
      <c r="AB73" s="407">
        <v>0</v>
      </c>
      <c r="AC73" s="407">
        <v>0</v>
      </c>
      <c r="AD73" s="407">
        <v>0</v>
      </c>
      <c r="AE73" s="407">
        <v>0</v>
      </c>
      <c r="AF73" s="407">
        <v>0</v>
      </c>
    </row>
    <row r="74" spans="1:32">
      <c r="A74" s="406" t="s">
        <v>843</v>
      </c>
      <c r="B74" s="407">
        <v>0</v>
      </c>
      <c r="C74" s="407">
        <v>0</v>
      </c>
      <c r="D74" s="407">
        <v>0</v>
      </c>
      <c r="E74" s="407">
        <v>0</v>
      </c>
      <c r="F74" s="407">
        <v>0</v>
      </c>
      <c r="G74" s="407">
        <v>0</v>
      </c>
      <c r="H74" s="407">
        <v>0</v>
      </c>
      <c r="I74" s="407">
        <v>0</v>
      </c>
      <c r="J74" s="407">
        <v>0</v>
      </c>
      <c r="K74" s="407">
        <v>0</v>
      </c>
      <c r="L74" s="407">
        <v>0</v>
      </c>
      <c r="M74" s="407">
        <v>0</v>
      </c>
      <c r="N74" s="407">
        <v>0</v>
      </c>
      <c r="O74" s="407">
        <v>0</v>
      </c>
      <c r="Q74" s="407">
        <v>0</v>
      </c>
      <c r="R74" s="407">
        <v>0</v>
      </c>
      <c r="S74" s="407">
        <v>0</v>
      </c>
      <c r="T74" s="407">
        <v>0</v>
      </c>
      <c r="U74" s="407">
        <v>0</v>
      </c>
      <c r="V74" s="407">
        <v>0</v>
      </c>
      <c r="W74" s="407">
        <v>0</v>
      </c>
      <c r="X74" s="407">
        <v>0</v>
      </c>
      <c r="Y74" s="407">
        <v>0</v>
      </c>
      <c r="Z74" s="407">
        <v>0</v>
      </c>
      <c r="AA74" s="407">
        <v>0</v>
      </c>
      <c r="AB74" s="407">
        <v>0</v>
      </c>
      <c r="AC74" s="407">
        <v>0</v>
      </c>
      <c r="AD74" s="407">
        <v>0</v>
      </c>
      <c r="AE74" s="407">
        <v>0</v>
      </c>
      <c r="AF74" s="407">
        <v>0</v>
      </c>
    </row>
    <row r="75" spans="1:32">
      <c r="A75" s="406" t="s">
        <v>844</v>
      </c>
      <c r="B75" s="407">
        <v>0</v>
      </c>
      <c r="C75" s="407">
        <v>0</v>
      </c>
      <c r="D75" s="407">
        <v>0</v>
      </c>
      <c r="E75" s="407">
        <v>0</v>
      </c>
      <c r="F75" s="407">
        <v>0</v>
      </c>
      <c r="G75" s="407">
        <v>0</v>
      </c>
      <c r="H75" s="407">
        <v>0</v>
      </c>
      <c r="I75" s="407">
        <v>0</v>
      </c>
      <c r="J75" s="407">
        <v>0</v>
      </c>
      <c r="K75" s="407">
        <v>0</v>
      </c>
      <c r="L75" s="407">
        <v>0</v>
      </c>
      <c r="M75" s="407">
        <v>0</v>
      </c>
      <c r="N75" s="407">
        <v>0</v>
      </c>
      <c r="O75" s="407">
        <v>0</v>
      </c>
      <c r="Q75" s="407">
        <v>0</v>
      </c>
      <c r="R75" s="407">
        <v>0</v>
      </c>
      <c r="S75" s="407">
        <v>0</v>
      </c>
      <c r="T75" s="407">
        <v>0</v>
      </c>
      <c r="U75" s="407">
        <v>0</v>
      </c>
      <c r="V75" s="407">
        <v>0</v>
      </c>
      <c r="W75" s="407">
        <v>0</v>
      </c>
      <c r="X75" s="407">
        <v>0</v>
      </c>
      <c r="Y75" s="407">
        <v>0</v>
      </c>
      <c r="Z75" s="407">
        <v>0</v>
      </c>
      <c r="AA75" s="407">
        <v>0</v>
      </c>
      <c r="AB75" s="407">
        <v>0</v>
      </c>
      <c r="AC75" s="407">
        <v>0</v>
      </c>
      <c r="AD75" s="407">
        <v>0</v>
      </c>
      <c r="AE75" s="407">
        <v>0</v>
      </c>
      <c r="AF75" s="407">
        <v>0</v>
      </c>
    </row>
    <row r="76" spans="1:32">
      <c r="A76" s="406" t="s">
        <v>845</v>
      </c>
      <c r="B76" s="407">
        <v>0</v>
      </c>
      <c r="C76" s="407">
        <v>0</v>
      </c>
      <c r="D76" s="407">
        <v>0</v>
      </c>
      <c r="E76" s="407">
        <v>0</v>
      </c>
      <c r="F76" s="407">
        <v>0</v>
      </c>
      <c r="G76" s="407">
        <v>0</v>
      </c>
      <c r="H76" s="407">
        <v>0</v>
      </c>
      <c r="I76" s="407">
        <v>0</v>
      </c>
      <c r="J76" s="407">
        <v>0</v>
      </c>
      <c r="K76" s="407">
        <v>0</v>
      </c>
      <c r="L76" s="407">
        <v>0</v>
      </c>
      <c r="M76" s="407">
        <v>0</v>
      </c>
      <c r="N76" s="407">
        <v>0</v>
      </c>
      <c r="O76" s="407">
        <v>0</v>
      </c>
      <c r="Q76" s="407">
        <v>0</v>
      </c>
      <c r="R76" s="407">
        <v>0</v>
      </c>
      <c r="S76" s="407">
        <v>0</v>
      </c>
      <c r="T76" s="407">
        <v>0</v>
      </c>
      <c r="U76" s="407">
        <v>0</v>
      </c>
      <c r="V76" s="407">
        <v>0</v>
      </c>
      <c r="W76" s="407">
        <v>0</v>
      </c>
      <c r="X76" s="407">
        <v>0</v>
      </c>
      <c r="Y76" s="407">
        <v>0</v>
      </c>
      <c r="Z76" s="407">
        <v>0</v>
      </c>
      <c r="AA76" s="407">
        <v>0</v>
      </c>
      <c r="AB76" s="407">
        <v>0</v>
      </c>
      <c r="AC76" s="407">
        <v>0</v>
      </c>
      <c r="AD76" s="407">
        <v>0</v>
      </c>
      <c r="AE76" s="407">
        <v>0</v>
      </c>
      <c r="AF76" s="407">
        <v>0</v>
      </c>
    </row>
    <row r="78" spans="1:32">
      <c r="A78" s="406" t="s">
        <v>846</v>
      </c>
      <c r="B78" s="407">
        <v>0</v>
      </c>
      <c r="C78" s="407">
        <v>0</v>
      </c>
      <c r="D78" s="407">
        <v>0</v>
      </c>
      <c r="E78" s="407">
        <v>0</v>
      </c>
      <c r="F78" s="407">
        <v>0</v>
      </c>
      <c r="G78" s="407">
        <v>0</v>
      </c>
      <c r="H78" s="407">
        <v>0</v>
      </c>
      <c r="I78" s="407">
        <v>0</v>
      </c>
      <c r="J78" s="407">
        <v>0</v>
      </c>
      <c r="K78" s="407">
        <v>0</v>
      </c>
      <c r="L78" s="407">
        <v>0</v>
      </c>
      <c r="M78" s="407">
        <v>0</v>
      </c>
      <c r="N78" s="407">
        <v>0</v>
      </c>
      <c r="O78" s="407">
        <v>0</v>
      </c>
      <c r="Q78" s="407">
        <v>0</v>
      </c>
      <c r="R78" s="407">
        <v>0</v>
      </c>
      <c r="S78" s="407">
        <v>0</v>
      </c>
      <c r="T78" s="407">
        <v>0</v>
      </c>
      <c r="U78" s="407">
        <v>0</v>
      </c>
      <c r="V78" s="407">
        <v>0</v>
      </c>
      <c r="W78" s="407">
        <v>0</v>
      </c>
      <c r="X78" s="407">
        <v>0</v>
      </c>
      <c r="Y78" s="407">
        <v>0</v>
      </c>
      <c r="Z78" s="407">
        <v>0</v>
      </c>
      <c r="AA78" s="407">
        <v>0</v>
      </c>
      <c r="AB78" s="407">
        <v>0</v>
      </c>
      <c r="AC78" s="407">
        <v>0</v>
      </c>
      <c r="AD78" s="407">
        <v>0</v>
      </c>
      <c r="AE78" s="407">
        <v>0</v>
      </c>
      <c r="AF78" s="407">
        <v>0</v>
      </c>
    </row>
    <row r="80" spans="1:32">
      <c r="A80" s="406" t="s">
        <v>847</v>
      </c>
    </row>
    <row r="81" spans="1:32">
      <c r="A81" s="406" t="s">
        <v>848</v>
      </c>
      <c r="B81" s="407">
        <v>0</v>
      </c>
      <c r="C81" s="407">
        <v>0</v>
      </c>
      <c r="D81" s="407">
        <v>0</v>
      </c>
      <c r="E81" s="407">
        <v>0</v>
      </c>
      <c r="F81" s="407">
        <v>0</v>
      </c>
      <c r="G81" s="407">
        <v>0</v>
      </c>
      <c r="H81" s="407">
        <v>0</v>
      </c>
      <c r="I81" s="407">
        <v>0</v>
      </c>
      <c r="J81" s="407">
        <v>0</v>
      </c>
      <c r="K81" s="407">
        <v>0</v>
      </c>
      <c r="L81" s="407">
        <v>0</v>
      </c>
      <c r="M81" s="407">
        <v>0</v>
      </c>
      <c r="N81" s="407">
        <v>0</v>
      </c>
      <c r="O81" s="407">
        <v>0</v>
      </c>
      <c r="Q81" s="407">
        <v>0</v>
      </c>
      <c r="R81" s="407">
        <v>0</v>
      </c>
      <c r="S81" s="407">
        <v>0</v>
      </c>
      <c r="T81" s="407">
        <v>0</v>
      </c>
      <c r="U81" s="407">
        <v>0</v>
      </c>
      <c r="V81" s="407">
        <v>0</v>
      </c>
      <c r="W81" s="407">
        <v>0</v>
      </c>
      <c r="X81" s="407">
        <v>0</v>
      </c>
      <c r="Y81" s="407">
        <v>0</v>
      </c>
      <c r="Z81" s="407">
        <v>0</v>
      </c>
      <c r="AA81" s="407">
        <v>0</v>
      </c>
      <c r="AB81" s="407">
        <v>0</v>
      </c>
      <c r="AC81" s="407">
        <v>0</v>
      </c>
      <c r="AD81" s="407">
        <v>0</v>
      </c>
      <c r="AE81" s="407">
        <v>0</v>
      </c>
      <c r="AF81" s="407">
        <v>0</v>
      </c>
    </row>
    <row r="82" spans="1:32">
      <c r="A82" s="406" t="s">
        <v>849</v>
      </c>
      <c r="B82" s="407">
        <v>0</v>
      </c>
      <c r="C82" s="407">
        <v>0</v>
      </c>
      <c r="D82" s="407">
        <v>0</v>
      </c>
      <c r="E82" s="407">
        <v>0</v>
      </c>
      <c r="F82" s="407">
        <v>0</v>
      </c>
      <c r="G82" s="407">
        <v>0</v>
      </c>
      <c r="H82" s="407">
        <v>0</v>
      </c>
      <c r="I82" s="407">
        <v>0</v>
      </c>
      <c r="J82" s="407">
        <v>0</v>
      </c>
      <c r="K82" s="407">
        <v>0</v>
      </c>
      <c r="L82" s="407">
        <v>0</v>
      </c>
      <c r="M82" s="407">
        <v>0</v>
      </c>
      <c r="N82" s="407">
        <v>0</v>
      </c>
      <c r="O82" s="407">
        <v>0</v>
      </c>
      <c r="Q82" s="407">
        <v>0</v>
      </c>
      <c r="R82" s="407">
        <v>0</v>
      </c>
      <c r="S82" s="407">
        <v>0</v>
      </c>
      <c r="T82" s="407">
        <v>0</v>
      </c>
      <c r="U82" s="407">
        <v>0</v>
      </c>
      <c r="V82" s="407">
        <v>0</v>
      </c>
      <c r="W82" s="407">
        <v>0</v>
      </c>
      <c r="X82" s="407">
        <v>0</v>
      </c>
      <c r="Y82" s="407">
        <v>0</v>
      </c>
      <c r="Z82" s="407">
        <v>0</v>
      </c>
      <c r="AA82" s="407">
        <v>0</v>
      </c>
      <c r="AB82" s="407">
        <v>0</v>
      </c>
      <c r="AC82" s="407">
        <v>0</v>
      </c>
      <c r="AD82" s="407">
        <v>0</v>
      </c>
      <c r="AE82" s="407">
        <v>0</v>
      </c>
      <c r="AF82" s="407">
        <v>0</v>
      </c>
    </row>
    <row r="83" spans="1:32">
      <c r="A83" s="406" t="s">
        <v>850</v>
      </c>
      <c r="B83" s="407">
        <v>0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</row>
    <row r="84" spans="1:32">
      <c r="A84" s="406" t="s">
        <v>851</v>
      </c>
      <c r="B84" s="407">
        <v>0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0</v>
      </c>
      <c r="AC84" s="407">
        <v>0</v>
      </c>
      <c r="AD84" s="407">
        <v>0</v>
      </c>
      <c r="AE84" s="407">
        <v>0</v>
      </c>
      <c r="AF84" s="407">
        <v>0</v>
      </c>
    </row>
    <row r="85" spans="1:32">
      <c r="A85" s="406" t="s">
        <v>852</v>
      </c>
      <c r="B85" s="407">
        <v>0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0</v>
      </c>
      <c r="V85" s="407">
        <v>0</v>
      </c>
      <c r="W85" s="407">
        <v>0</v>
      </c>
      <c r="X85" s="407">
        <v>0</v>
      </c>
      <c r="Y85" s="407">
        <v>0</v>
      </c>
      <c r="Z85" s="407">
        <v>0</v>
      </c>
      <c r="AA85" s="407">
        <v>0</v>
      </c>
      <c r="AB85" s="407">
        <v>0</v>
      </c>
      <c r="AC85" s="407">
        <v>0</v>
      </c>
      <c r="AD85" s="407">
        <v>0</v>
      </c>
      <c r="AE85" s="407">
        <v>0</v>
      </c>
      <c r="AF85" s="407">
        <v>0</v>
      </c>
    </row>
    <row r="86" spans="1:32">
      <c r="A86" s="406" t="s">
        <v>853</v>
      </c>
      <c r="B86" s="407">
        <v>0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Q86" s="407">
        <v>0</v>
      </c>
      <c r="R86" s="407">
        <v>0</v>
      </c>
      <c r="S86" s="407">
        <v>0</v>
      </c>
      <c r="T86" s="407">
        <v>0</v>
      </c>
      <c r="U86" s="407">
        <v>0</v>
      </c>
      <c r="V86" s="407">
        <v>0</v>
      </c>
      <c r="W86" s="407">
        <v>0</v>
      </c>
      <c r="X86" s="407">
        <v>0</v>
      </c>
      <c r="Y86" s="407">
        <v>0</v>
      </c>
      <c r="Z86" s="407">
        <v>0</v>
      </c>
      <c r="AA86" s="407">
        <v>0</v>
      </c>
      <c r="AB86" s="407">
        <v>0</v>
      </c>
      <c r="AC86" s="407">
        <v>0</v>
      </c>
      <c r="AD86" s="407">
        <v>0</v>
      </c>
      <c r="AE86" s="407">
        <v>0</v>
      </c>
      <c r="AF86" s="407">
        <v>0</v>
      </c>
    </row>
    <row r="88" spans="1:32">
      <c r="A88" s="406" t="s">
        <v>854</v>
      </c>
      <c r="B88" s="407">
        <v>0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0</v>
      </c>
      <c r="O88" s="407">
        <v>0</v>
      </c>
      <c r="Q88" s="407">
        <v>0</v>
      </c>
      <c r="R88" s="407">
        <v>0</v>
      </c>
      <c r="S88" s="407">
        <v>0</v>
      </c>
      <c r="T88" s="407">
        <v>0</v>
      </c>
      <c r="U88" s="407">
        <v>0</v>
      </c>
      <c r="V88" s="407">
        <v>0</v>
      </c>
      <c r="W88" s="407">
        <v>0</v>
      </c>
      <c r="X88" s="407">
        <v>0</v>
      </c>
      <c r="Y88" s="407">
        <v>0</v>
      </c>
      <c r="Z88" s="407">
        <v>0</v>
      </c>
      <c r="AA88" s="407">
        <v>0</v>
      </c>
      <c r="AB88" s="407">
        <v>0</v>
      </c>
      <c r="AC88" s="407">
        <v>0</v>
      </c>
      <c r="AD88" s="407">
        <v>0</v>
      </c>
      <c r="AE88" s="407">
        <v>0</v>
      </c>
      <c r="AF88" s="407">
        <v>0</v>
      </c>
    </row>
    <row r="89" spans="1:32">
      <c r="A89" s="406" t="s">
        <v>855</v>
      </c>
      <c r="B89" s="407">
        <v>0</v>
      </c>
      <c r="C89" s="407">
        <v>0</v>
      </c>
      <c r="D89" s="407">
        <v>0</v>
      </c>
      <c r="E89" s="407">
        <v>0</v>
      </c>
      <c r="F89" s="407">
        <v>0</v>
      </c>
      <c r="G89" s="407">
        <v>0</v>
      </c>
      <c r="H89" s="407">
        <v>0</v>
      </c>
      <c r="I89" s="407">
        <v>0</v>
      </c>
      <c r="J89" s="407">
        <v>0</v>
      </c>
      <c r="K89" s="407">
        <v>0</v>
      </c>
      <c r="L89" s="407">
        <v>0</v>
      </c>
      <c r="M89" s="407">
        <v>0</v>
      </c>
      <c r="N89" s="407">
        <v>0</v>
      </c>
      <c r="O89" s="407">
        <v>0</v>
      </c>
      <c r="Q89" s="407">
        <v>0</v>
      </c>
      <c r="R89" s="407">
        <v>0</v>
      </c>
      <c r="S89" s="407">
        <v>0</v>
      </c>
      <c r="T89" s="407">
        <v>0</v>
      </c>
      <c r="U89" s="407">
        <v>0</v>
      </c>
      <c r="V89" s="407">
        <v>0</v>
      </c>
      <c r="W89" s="407">
        <v>0</v>
      </c>
      <c r="X89" s="407">
        <v>0</v>
      </c>
      <c r="Y89" s="407">
        <v>0</v>
      </c>
      <c r="Z89" s="407">
        <v>0</v>
      </c>
      <c r="AA89" s="407">
        <v>0</v>
      </c>
      <c r="AB89" s="407">
        <v>0</v>
      </c>
      <c r="AC89" s="407">
        <v>0</v>
      </c>
      <c r="AD89" s="407">
        <v>0</v>
      </c>
      <c r="AE89" s="407">
        <v>0</v>
      </c>
      <c r="AF89" s="407">
        <v>0</v>
      </c>
    </row>
    <row r="90" spans="1:32">
      <c r="A90" s="406" t="s">
        <v>856</v>
      </c>
      <c r="B90" s="407">
        <v>0</v>
      </c>
      <c r="C90" s="407">
        <v>0</v>
      </c>
      <c r="D90" s="407">
        <v>0</v>
      </c>
      <c r="E90" s="407">
        <v>0</v>
      </c>
      <c r="F90" s="407">
        <v>0</v>
      </c>
      <c r="G90" s="407">
        <v>0</v>
      </c>
      <c r="H90" s="407">
        <v>0</v>
      </c>
      <c r="I90" s="407">
        <v>0</v>
      </c>
      <c r="J90" s="407">
        <v>0</v>
      </c>
      <c r="K90" s="407">
        <v>0</v>
      </c>
      <c r="L90" s="407">
        <v>0</v>
      </c>
      <c r="M90" s="407">
        <v>0</v>
      </c>
      <c r="N90" s="407">
        <v>0</v>
      </c>
      <c r="O90" s="407">
        <v>0</v>
      </c>
      <c r="Q90" s="407">
        <v>0</v>
      </c>
      <c r="R90" s="407">
        <v>0</v>
      </c>
      <c r="S90" s="407">
        <v>0</v>
      </c>
      <c r="T90" s="407">
        <v>0</v>
      </c>
      <c r="U90" s="407">
        <v>0</v>
      </c>
      <c r="V90" s="407">
        <v>0</v>
      </c>
      <c r="W90" s="407">
        <v>0</v>
      </c>
      <c r="X90" s="407">
        <v>0</v>
      </c>
      <c r="Y90" s="407">
        <v>0</v>
      </c>
      <c r="Z90" s="407">
        <v>0</v>
      </c>
      <c r="AA90" s="407">
        <v>0</v>
      </c>
      <c r="AB90" s="407">
        <v>0</v>
      </c>
      <c r="AC90" s="407">
        <v>0</v>
      </c>
      <c r="AD90" s="407">
        <v>0</v>
      </c>
      <c r="AE90" s="407">
        <v>0</v>
      </c>
      <c r="AF90" s="407">
        <v>0</v>
      </c>
    </row>
    <row r="91" spans="1:32">
      <c r="A91" s="406" t="s">
        <v>857</v>
      </c>
      <c r="B91" s="407">
        <v>0</v>
      </c>
      <c r="C91" s="407">
        <v>0</v>
      </c>
      <c r="D91" s="407">
        <v>0</v>
      </c>
      <c r="E91" s="407">
        <v>0</v>
      </c>
      <c r="F91" s="407">
        <v>0</v>
      </c>
      <c r="G91" s="407">
        <v>0</v>
      </c>
      <c r="H91" s="407">
        <v>0</v>
      </c>
      <c r="I91" s="407">
        <v>0</v>
      </c>
      <c r="J91" s="407">
        <v>0</v>
      </c>
      <c r="K91" s="407">
        <v>0</v>
      </c>
      <c r="L91" s="407">
        <v>0</v>
      </c>
      <c r="M91" s="407">
        <v>0</v>
      </c>
      <c r="N91" s="407">
        <v>0</v>
      </c>
      <c r="O91" s="407">
        <v>0</v>
      </c>
      <c r="Q91" s="407">
        <v>0</v>
      </c>
      <c r="R91" s="407">
        <v>0</v>
      </c>
      <c r="S91" s="407">
        <v>0</v>
      </c>
      <c r="T91" s="407">
        <v>0</v>
      </c>
      <c r="U91" s="407">
        <v>0</v>
      </c>
      <c r="V91" s="407">
        <v>0</v>
      </c>
      <c r="W91" s="407">
        <v>0</v>
      </c>
      <c r="X91" s="407">
        <v>0</v>
      </c>
      <c r="Y91" s="407">
        <v>0</v>
      </c>
      <c r="Z91" s="407">
        <v>0</v>
      </c>
      <c r="AA91" s="407">
        <v>0</v>
      </c>
      <c r="AB91" s="407">
        <v>0</v>
      </c>
      <c r="AC91" s="407">
        <v>0</v>
      </c>
      <c r="AD91" s="407">
        <v>0</v>
      </c>
      <c r="AE91" s="407">
        <v>0</v>
      </c>
      <c r="AF91" s="407">
        <v>0</v>
      </c>
    </row>
    <row r="92" spans="1:32">
      <c r="A92" s="406" t="s">
        <v>858</v>
      </c>
      <c r="B92" s="407">
        <v>0</v>
      </c>
      <c r="C92" s="407">
        <v>0</v>
      </c>
      <c r="D92" s="407">
        <v>0</v>
      </c>
      <c r="E92" s="407">
        <v>0</v>
      </c>
      <c r="F92" s="407">
        <v>0</v>
      </c>
      <c r="G92" s="407">
        <v>0</v>
      </c>
      <c r="H92" s="407">
        <v>0</v>
      </c>
      <c r="I92" s="407">
        <v>0</v>
      </c>
      <c r="J92" s="407">
        <v>0</v>
      </c>
      <c r="K92" s="407">
        <v>0</v>
      </c>
      <c r="L92" s="407">
        <v>0</v>
      </c>
      <c r="M92" s="407">
        <v>0</v>
      </c>
      <c r="N92" s="407">
        <v>0</v>
      </c>
      <c r="O92" s="407">
        <v>0</v>
      </c>
      <c r="Q92" s="407">
        <v>0</v>
      </c>
      <c r="R92" s="407">
        <v>0</v>
      </c>
      <c r="S92" s="407">
        <v>0</v>
      </c>
      <c r="T92" s="407">
        <v>0</v>
      </c>
      <c r="U92" s="407">
        <v>0</v>
      </c>
      <c r="V92" s="407">
        <v>0</v>
      </c>
      <c r="W92" s="407">
        <v>0</v>
      </c>
      <c r="X92" s="407">
        <v>0</v>
      </c>
      <c r="Y92" s="407">
        <v>0</v>
      </c>
      <c r="Z92" s="407">
        <v>0</v>
      </c>
      <c r="AA92" s="407">
        <v>0</v>
      </c>
      <c r="AB92" s="407">
        <v>0</v>
      </c>
      <c r="AC92" s="407">
        <v>0</v>
      </c>
      <c r="AD92" s="407">
        <v>0</v>
      </c>
      <c r="AE92" s="407">
        <v>0</v>
      </c>
      <c r="AF92" s="407">
        <v>0</v>
      </c>
    </row>
    <row r="94" spans="1:32">
      <c r="A94" s="406" t="s">
        <v>859</v>
      </c>
      <c r="B94" s="407">
        <v>0</v>
      </c>
      <c r="C94" s="407">
        <v>0</v>
      </c>
      <c r="D94" s="407">
        <v>0</v>
      </c>
      <c r="E94" s="407">
        <v>0</v>
      </c>
      <c r="F94" s="407">
        <v>0</v>
      </c>
      <c r="G94" s="407">
        <v>0</v>
      </c>
      <c r="H94" s="407">
        <v>0</v>
      </c>
      <c r="I94" s="407">
        <v>0</v>
      </c>
      <c r="J94" s="407">
        <v>0</v>
      </c>
      <c r="K94" s="407">
        <v>0</v>
      </c>
      <c r="L94" s="407">
        <v>0</v>
      </c>
      <c r="M94" s="407">
        <v>0</v>
      </c>
      <c r="N94" s="407">
        <v>0</v>
      </c>
      <c r="O94" s="407">
        <v>0</v>
      </c>
      <c r="Q94" s="407">
        <v>0</v>
      </c>
      <c r="R94" s="407">
        <v>0</v>
      </c>
      <c r="S94" s="407">
        <v>0</v>
      </c>
      <c r="T94" s="407">
        <v>0</v>
      </c>
      <c r="U94" s="407">
        <v>0</v>
      </c>
      <c r="V94" s="407">
        <v>0</v>
      </c>
      <c r="W94" s="407">
        <v>0</v>
      </c>
      <c r="X94" s="407">
        <v>0</v>
      </c>
      <c r="Y94" s="407">
        <v>0</v>
      </c>
      <c r="Z94" s="407">
        <v>0</v>
      </c>
      <c r="AA94" s="407">
        <v>0</v>
      </c>
      <c r="AB94" s="407">
        <v>0</v>
      </c>
      <c r="AC94" s="407">
        <v>0</v>
      </c>
      <c r="AD94" s="407">
        <v>0</v>
      </c>
      <c r="AE94" s="407">
        <v>0</v>
      </c>
      <c r="AF94" s="407">
        <v>0</v>
      </c>
    </row>
    <row r="96" spans="1:32">
      <c r="A96" s="406" t="s">
        <v>860</v>
      </c>
    </row>
    <row r="97" spans="1:32">
      <c r="A97" s="406" t="s">
        <v>861</v>
      </c>
      <c r="B97" s="407">
        <v>0</v>
      </c>
      <c r="C97" s="407">
        <v>0</v>
      </c>
      <c r="D97" s="407">
        <v>0</v>
      </c>
      <c r="E97" s="407">
        <v>0</v>
      </c>
      <c r="F97" s="407">
        <v>0</v>
      </c>
      <c r="G97" s="407">
        <v>0</v>
      </c>
      <c r="H97" s="407">
        <v>0</v>
      </c>
      <c r="I97" s="407">
        <v>0</v>
      </c>
      <c r="J97" s="407">
        <v>0</v>
      </c>
      <c r="K97" s="407">
        <v>0</v>
      </c>
      <c r="L97" s="407">
        <v>0</v>
      </c>
      <c r="M97" s="407">
        <v>0</v>
      </c>
      <c r="N97" s="407">
        <v>0</v>
      </c>
      <c r="O97" s="407">
        <v>0</v>
      </c>
      <c r="Q97" s="407">
        <v>0</v>
      </c>
      <c r="R97" s="407">
        <v>0</v>
      </c>
      <c r="S97" s="407">
        <v>0</v>
      </c>
      <c r="T97" s="407">
        <v>0</v>
      </c>
      <c r="U97" s="407">
        <v>0</v>
      </c>
      <c r="V97" s="407">
        <v>0</v>
      </c>
      <c r="W97" s="407">
        <v>0</v>
      </c>
      <c r="X97" s="407">
        <v>0</v>
      </c>
      <c r="Y97" s="407">
        <v>0</v>
      </c>
      <c r="Z97" s="407">
        <v>0</v>
      </c>
      <c r="AA97" s="407">
        <v>0</v>
      </c>
      <c r="AB97" s="407">
        <v>0</v>
      </c>
      <c r="AC97" s="407">
        <v>0</v>
      </c>
      <c r="AD97" s="407">
        <v>0</v>
      </c>
      <c r="AE97" s="407">
        <v>0</v>
      </c>
      <c r="AF97" s="407">
        <v>0</v>
      </c>
    </row>
    <row r="98" spans="1:32">
      <c r="A98" s="406" t="s">
        <v>862</v>
      </c>
      <c r="B98" s="407">
        <v>0</v>
      </c>
      <c r="C98" s="407">
        <v>0</v>
      </c>
      <c r="D98" s="407">
        <v>0</v>
      </c>
      <c r="E98" s="407">
        <v>0</v>
      </c>
      <c r="F98" s="407">
        <v>0</v>
      </c>
      <c r="G98" s="407">
        <v>0</v>
      </c>
      <c r="H98" s="407">
        <v>0</v>
      </c>
      <c r="I98" s="407">
        <v>0</v>
      </c>
      <c r="J98" s="407">
        <v>0</v>
      </c>
      <c r="K98" s="407">
        <v>0</v>
      </c>
      <c r="L98" s="407">
        <v>0</v>
      </c>
      <c r="M98" s="407">
        <v>0</v>
      </c>
      <c r="N98" s="407">
        <v>0</v>
      </c>
      <c r="O98" s="407">
        <v>0</v>
      </c>
      <c r="Q98" s="407">
        <v>0</v>
      </c>
      <c r="R98" s="407">
        <v>0</v>
      </c>
      <c r="S98" s="407">
        <v>0</v>
      </c>
      <c r="T98" s="407">
        <v>0</v>
      </c>
      <c r="U98" s="407">
        <v>0</v>
      </c>
      <c r="V98" s="407">
        <v>0</v>
      </c>
      <c r="W98" s="407">
        <v>0</v>
      </c>
      <c r="X98" s="407">
        <v>0</v>
      </c>
      <c r="Y98" s="407">
        <v>0</v>
      </c>
      <c r="Z98" s="407">
        <v>0</v>
      </c>
      <c r="AA98" s="407">
        <v>0</v>
      </c>
      <c r="AB98" s="407">
        <v>0</v>
      </c>
      <c r="AC98" s="407">
        <v>0</v>
      </c>
      <c r="AD98" s="407">
        <v>0</v>
      </c>
      <c r="AE98" s="407">
        <v>0</v>
      </c>
      <c r="AF98" s="407">
        <v>0</v>
      </c>
    </row>
    <row r="99" spans="1:32">
      <c r="A99" s="406" t="s">
        <v>863</v>
      </c>
      <c r="B99" s="407">
        <v>0</v>
      </c>
      <c r="C99" s="407">
        <v>0</v>
      </c>
      <c r="D99" s="407">
        <v>0</v>
      </c>
      <c r="E99" s="407">
        <v>0</v>
      </c>
      <c r="F99" s="407">
        <v>0</v>
      </c>
      <c r="G99" s="407">
        <v>0</v>
      </c>
      <c r="H99" s="407">
        <v>0</v>
      </c>
      <c r="I99" s="407">
        <v>0</v>
      </c>
      <c r="J99" s="407">
        <v>0</v>
      </c>
      <c r="K99" s="407">
        <v>0</v>
      </c>
      <c r="L99" s="407">
        <v>0</v>
      </c>
      <c r="M99" s="407">
        <v>0</v>
      </c>
      <c r="N99" s="407">
        <v>0</v>
      </c>
      <c r="O99" s="407">
        <v>0</v>
      </c>
      <c r="Q99" s="407">
        <v>0</v>
      </c>
      <c r="R99" s="407">
        <v>0</v>
      </c>
      <c r="S99" s="407">
        <v>0</v>
      </c>
      <c r="T99" s="407">
        <v>0</v>
      </c>
      <c r="U99" s="407">
        <v>0</v>
      </c>
      <c r="V99" s="407">
        <v>0</v>
      </c>
      <c r="W99" s="407">
        <v>0</v>
      </c>
      <c r="X99" s="407">
        <v>0</v>
      </c>
      <c r="Y99" s="407">
        <v>0</v>
      </c>
      <c r="Z99" s="407">
        <v>0</v>
      </c>
      <c r="AA99" s="407">
        <v>0</v>
      </c>
      <c r="AB99" s="407">
        <v>0</v>
      </c>
      <c r="AC99" s="407">
        <v>0</v>
      </c>
      <c r="AD99" s="407">
        <v>0</v>
      </c>
      <c r="AE99" s="407">
        <v>0</v>
      </c>
      <c r="AF99" s="407">
        <v>0</v>
      </c>
    </row>
    <row r="101" spans="1:32">
      <c r="A101" s="406" t="s">
        <v>864</v>
      </c>
      <c r="B101" s="407">
        <v>0</v>
      </c>
      <c r="C101" s="407">
        <v>0</v>
      </c>
      <c r="D101" s="407">
        <v>0</v>
      </c>
      <c r="E101" s="407">
        <v>0</v>
      </c>
      <c r="F101" s="407">
        <v>0</v>
      </c>
      <c r="G101" s="407">
        <v>0</v>
      </c>
      <c r="H101" s="407">
        <v>0</v>
      </c>
      <c r="I101" s="407">
        <v>0</v>
      </c>
      <c r="J101" s="407">
        <v>0</v>
      </c>
      <c r="K101" s="407">
        <v>0</v>
      </c>
      <c r="L101" s="407">
        <v>0</v>
      </c>
      <c r="M101" s="407">
        <v>0</v>
      </c>
      <c r="N101" s="407">
        <v>0</v>
      </c>
      <c r="O101" s="407">
        <v>0</v>
      </c>
      <c r="Q101" s="407">
        <v>0</v>
      </c>
      <c r="R101" s="407">
        <v>0</v>
      </c>
      <c r="S101" s="407">
        <v>0</v>
      </c>
      <c r="T101" s="407">
        <v>0</v>
      </c>
      <c r="U101" s="407">
        <v>0</v>
      </c>
      <c r="V101" s="407">
        <v>0</v>
      </c>
      <c r="W101" s="407">
        <v>0</v>
      </c>
      <c r="X101" s="407">
        <v>0</v>
      </c>
      <c r="Y101" s="407">
        <v>0</v>
      </c>
      <c r="Z101" s="407">
        <v>0</v>
      </c>
      <c r="AA101" s="407">
        <v>0</v>
      </c>
      <c r="AB101" s="407">
        <v>0</v>
      </c>
      <c r="AC101" s="407">
        <v>0</v>
      </c>
      <c r="AD101" s="407">
        <v>0</v>
      </c>
      <c r="AE101" s="407">
        <v>0</v>
      </c>
      <c r="AF101" s="407">
        <v>0</v>
      </c>
    </row>
    <row r="102" spans="1:32">
      <c r="A102" s="406" t="s">
        <v>865</v>
      </c>
      <c r="B102" s="407">
        <v>0</v>
      </c>
      <c r="C102" s="407">
        <v>0</v>
      </c>
      <c r="D102" s="407">
        <v>0</v>
      </c>
      <c r="E102" s="407">
        <v>0</v>
      </c>
      <c r="F102" s="407">
        <v>0</v>
      </c>
      <c r="G102" s="407">
        <v>0</v>
      </c>
      <c r="H102" s="407">
        <v>0</v>
      </c>
      <c r="I102" s="407">
        <v>0</v>
      </c>
      <c r="J102" s="407">
        <v>0</v>
      </c>
      <c r="K102" s="407">
        <v>0</v>
      </c>
      <c r="L102" s="407">
        <v>0</v>
      </c>
      <c r="M102" s="407">
        <v>0</v>
      </c>
      <c r="N102" s="407">
        <v>0</v>
      </c>
      <c r="O102" s="407">
        <v>0</v>
      </c>
      <c r="Q102" s="407">
        <v>0</v>
      </c>
      <c r="R102" s="407">
        <v>0</v>
      </c>
      <c r="S102" s="407">
        <v>0</v>
      </c>
      <c r="T102" s="407">
        <v>0</v>
      </c>
      <c r="U102" s="407">
        <v>0</v>
      </c>
      <c r="V102" s="407">
        <v>0</v>
      </c>
      <c r="W102" s="407">
        <v>0</v>
      </c>
      <c r="X102" s="407">
        <v>0</v>
      </c>
      <c r="Y102" s="407">
        <v>0</v>
      </c>
      <c r="Z102" s="407">
        <v>0</v>
      </c>
      <c r="AA102" s="407">
        <v>0</v>
      </c>
      <c r="AB102" s="407">
        <v>0</v>
      </c>
      <c r="AC102" s="407">
        <v>0</v>
      </c>
      <c r="AD102" s="407">
        <v>0</v>
      </c>
      <c r="AE102" s="407">
        <v>0</v>
      </c>
      <c r="AF102" s="407">
        <v>0</v>
      </c>
    </row>
    <row r="104" spans="1:32">
      <c r="A104" s="406" t="s">
        <v>866</v>
      </c>
      <c r="B104" s="407">
        <v>0</v>
      </c>
      <c r="C104" s="407">
        <v>0</v>
      </c>
      <c r="D104" s="407">
        <v>0</v>
      </c>
      <c r="E104" s="407">
        <v>0</v>
      </c>
      <c r="F104" s="407">
        <v>0</v>
      </c>
      <c r="G104" s="407">
        <v>0</v>
      </c>
      <c r="H104" s="407">
        <v>0</v>
      </c>
      <c r="I104" s="407">
        <v>0</v>
      </c>
      <c r="J104" s="407">
        <v>0</v>
      </c>
      <c r="K104" s="407">
        <v>0</v>
      </c>
      <c r="L104" s="407">
        <v>0</v>
      </c>
      <c r="M104" s="407">
        <v>0</v>
      </c>
      <c r="N104" s="407">
        <v>0</v>
      </c>
      <c r="O104" s="407">
        <v>0</v>
      </c>
      <c r="Q104" s="407">
        <v>0</v>
      </c>
      <c r="R104" s="407">
        <v>0</v>
      </c>
      <c r="S104" s="407">
        <v>0</v>
      </c>
      <c r="T104" s="407">
        <v>0</v>
      </c>
      <c r="U104" s="407">
        <v>0</v>
      </c>
      <c r="V104" s="407">
        <v>0</v>
      </c>
      <c r="W104" s="407">
        <v>0</v>
      </c>
      <c r="X104" s="407">
        <v>0</v>
      </c>
      <c r="Y104" s="407">
        <v>0</v>
      </c>
      <c r="Z104" s="407">
        <v>0</v>
      </c>
      <c r="AA104" s="407">
        <v>0</v>
      </c>
      <c r="AB104" s="407">
        <v>0</v>
      </c>
      <c r="AC104" s="407">
        <v>0</v>
      </c>
      <c r="AD104" s="407">
        <v>0</v>
      </c>
      <c r="AE104" s="407">
        <v>0</v>
      </c>
      <c r="AF104" s="407">
        <v>0</v>
      </c>
    </row>
    <row r="106" spans="1:32">
      <c r="A106" s="406" t="s">
        <v>867</v>
      </c>
    </row>
    <row r="107" spans="1:32">
      <c r="A107" s="406" t="s">
        <v>868</v>
      </c>
      <c r="B107" s="407">
        <v>0</v>
      </c>
      <c r="C107" s="407">
        <v>0</v>
      </c>
      <c r="D107" s="407">
        <v>0</v>
      </c>
      <c r="E107" s="407">
        <v>0</v>
      </c>
      <c r="F107" s="407">
        <v>0</v>
      </c>
      <c r="G107" s="407">
        <v>0</v>
      </c>
      <c r="H107" s="407">
        <v>0</v>
      </c>
      <c r="I107" s="407">
        <v>0</v>
      </c>
      <c r="J107" s="407">
        <v>0</v>
      </c>
      <c r="K107" s="407">
        <v>0</v>
      </c>
      <c r="L107" s="407">
        <v>0</v>
      </c>
      <c r="M107" s="407">
        <v>0</v>
      </c>
      <c r="N107" s="407">
        <v>0</v>
      </c>
      <c r="O107" s="407">
        <v>0</v>
      </c>
      <c r="Q107" s="407">
        <v>0</v>
      </c>
      <c r="R107" s="407">
        <v>0</v>
      </c>
      <c r="S107" s="407">
        <v>0</v>
      </c>
      <c r="T107" s="407">
        <v>0</v>
      </c>
      <c r="U107" s="407">
        <v>0</v>
      </c>
      <c r="V107" s="407">
        <v>0</v>
      </c>
      <c r="W107" s="407">
        <v>0</v>
      </c>
      <c r="X107" s="407">
        <v>0</v>
      </c>
      <c r="Y107" s="407">
        <v>0</v>
      </c>
      <c r="Z107" s="407">
        <v>0</v>
      </c>
      <c r="AA107" s="407">
        <v>0</v>
      </c>
      <c r="AB107" s="407">
        <v>0</v>
      </c>
      <c r="AC107" s="407">
        <v>0</v>
      </c>
      <c r="AD107" s="407">
        <v>0</v>
      </c>
      <c r="AE107" s="407">
        <v>0</v>
      </c>
      <c r="AF107" s="407">
        <v>0</v>
      </c>
    </row>
    <row r="108" spans="1:32">
      <c r="A108" s="406" t="s">
        <v>869</v>
      </c>
      <c r="B108" s="407">
        <v>0</v>
      </c>
      <c r="C108" s="407">
        <v>0</v>
      </c>
      <c r="D108" s="407">
        <v>0</v>
      </c>
      <c r="E108" s="407">
        <v>0</v>
      </c>
      <c r="F108" s="407">
        <v>0</v>
      </c>
      <c r="G108" s="407">
        <v>0</v>
      </c>
      <c r="H108" s="407">
        <v>0</v>
      </c>
      <c r="I108" s="407">
        <v>0</v>
      </c>
      <c r="J108" s="407">
        <v>0</v>
      </c>
      <c r="K108" s="407">
        <v>0</v>
      </c>
      <c r="L108" s="407">
        <v>0</v>
      </c>
      <c r="M108" s="407">
        <v>0</v>
      </c>
      <c r="N108" s="407">
        <v>0</v>
      </c>
      <c r="O108" s="407">
        <v>0</v>
      </c>
      <c r="Q108" s="407">
        <v>0</v>
      </c>
      <c r="R108" s="407">
        <v>0</v>
      </c>
      <c r="S108" s="407">
        <v>0</v>
      </c>
      <c r="T108" s="407">
        <v>0</v>
      </c>
      <c r="U108" s="407">
        <v>0</v>
      </c>
      <c r="V108" s="407">
        <v>0</v>
      </c>
      <c r="W108" s="407">
        <v>0</v>
      </c>
      <c r="X108" s="407">
        <v>0</v>
      </c>
      <c r="Y108" s="407">
        <v>0</v>
      </c>
      <c r="Z108" s="407">
        <v>0</v>
      </c>
      <c r="AA108" s="407">
        <v>0</v>
      </c>
      <c r="AB108" s="407">
        <v>0</v>
      </c>
      <c r="AC108" s="407">
        <v>0</v>
      </c>
      <c r="AD108" s="407">
        <v>0</v>
      </c>
      <c r="AE108" s="407">
        <v>0</v>
      </c>
      <c r="AF108" s="407">
        <v>0</v>
      </c>
    </row>
    <row r="109" spans="1:32">
      <c r="A109" s="406" t="s">
        <v>870</v>
      </c>
      <c r="B109" s="407">
        <v>0</v>
      </c>
      <c r="C109" s="407">
        <v>0</v>
      </c>
      <c r="D109" s="407">
        <v>0</v>
      </c>
      <c r="E109" s="407">
        <v>0</v>
      </c>
      <c r="F109" s="407">
        <v>0</v>
      </c>
      <c r="G109" s="407">
        <v>0</v>
      </c>
      <c r="H109" s="407">
        <v>0</v>
      </c>
      <c r="I109" s="407">
        <v>0</v>
      </c>
      <c r="J109" s="407">
        <v>0</v>
      </c>
      <c r="K109" s="407">
        <v>0</v>
      </c>
      <c r="L109" s="407">
        <v>0</v>
      </c>
      <c r="M109" s="407">
        <v>0</v>
      </c>
      <c r="N109" s="407">
        <v>0</v>
      </c>
      <c r="O109" s="407">
        <v>0</v>
      </c>
      <c r="Q109" s="407">
        <v>0</v>
      </c>
      <c r="R109" s="407">
        <v>0</v>
      </c>
      <c r="S109" s="407">
        <v>0</v>
      </c>
      <c r="T109" s="407">
        <v>0</v>
      </c>
      <c r="U109" s="407">
        <v>0</v>
      </c>
      <c r="V109" s="407">
        <v>0</v>
      </c>
      <c r="W109" s="407">
        <v>0</v>
      </c>
      <c r="X109" s="407">
        <v>0</v>
      </c>
      <c r="Y109" s="407">
        <v>0</v>
      </c>
      <c r="Z109" s="407">
        <v>0</v>
      </c>
      <c r="AA109" s="407">
        <v>0</v>
      </c>
      <c r="AB109" s="407">
        <v>0</v>
      </c>
      <c r="AC109" s="407">
        <v>0</v>
      </c>
      <c r="AD109" s="407">
        <v>0</v>
      </c>
      <c r="AE109" s="407">
        <v>0</v>
      </c>
      <c r="AF109" s="407">
        <v>0</v>
      </c>
    </row>
    <row r="110" spans="1:32">
      <c r="A110" s="406" t="s">
        <v>871</v>
      </c>
      <c r="B110" s="407">
        <v>0</v>
      </c>
      <c r="C110" s="407">
        <v>0</v>
      </c>
      <c r="D110" s="407">
        <v>0</v>
      </c>
      <c r="E110" s="407">
        <v>0</v>
      </c>
      <c r="F110" s="407">
        <v>0</v>
      </c>
      <c r="G110" s="407">
        <v>0</v>
      </c>
      <c r="H110" s="407">
        <v>0</v>
      </c>
      <c r="I110" s="407">
        <v>0</v>
      </c>
      <c r="J110" s="407">
        <v>0</v>
      </c>
      <c r="K110" s="407">
        <v>0</v>
      </c>
      <c r="L110" s="407">
        <v>0</v>
      </c>
      <c r="M110" s="407">
        <v>0</v>
      </c>
      <c r="N110" s="407">
        <v>0</v>
      </c>
      <c r="O110" s="407">
        <v>0</v>
      </c>
      <c r="Q110" s="407">
        <v>0</v>
      </c>
      <c r="R110" s="407">
        <v>0</v>
      </c>
      <c r="S110" s="407">
        <v>0</v>
      </c>
      <c r="T110" s="407">
        <v>0</v>
      </c>
      <c r="U110" s="407">
        <v>0</v>
      </c>
      <c r="V110" s="407">
        <v>0</v>
      </c>
      <c r="W110" s="407">
        <v>0</v>
      </c>
      <c r="X110" s="407">
        <v>0</v>
      </c>
      <c r="Y110" s="407">
        <v>0</v>
      </c>
      <c r="Z110" s="407">
        <v>0</v>
      </c>
      <c r="AA110" s="407">
        <v>0</v>
      </c>
      <c r="AB110" s="407">
        <v>0</v>
      </c>
      <c r="AC110" s="407">
        <v>0</v>
      </c>
      <c r="AD110" s="407">
        <v>0</v>
      </c>
      <c r="AE110" s="407">
        <v>0</v>
      </c>
      <c r="AF110" s="407">
        <v>0</v>
      </c>
    </row>
    <row r="111" spans="1:32">
      <c r="A111" s="406" t="s">
        <v>872</v>
      </c>
      <c r="B111" s="407">
        <v>0</v>
      </c>
      <c r="C111" s="407">
        <v>0</v>
      </c>
      <c r="D111" s="407">
        <v>0</v>
      </c>
      <c r="E111" s="407">
        <v>0</v>
      </c>
      <c r="F111" s="407">
        <v>0</v>
      </c>
      <c r="G111" s="407">
        <v>0</v>
      </c>
      <c r="H111" s="407">
        <v>0</v>
      </c>
      <c r="I111" s="407">
        <v>0</v>
      </c>
      <c r="J111" s="407">
        <v>0</v>
      </c>
      <c r="K111" s="407">
        <v>0</v>
      </c>
      <c r="L111" s="407">
        <v>0</v>
      </c>
      <c r="M111" s="407">
        <v>0</v>
      </c>
      <c r="N111" s="407">
        <v>0</v>
      </c>
      <c r="O111" s="407">
        <v>0</v>
      </c>
      <c r="Q111" s="407">
        <v>0</v>
      </c>
      <c r="R111" s="407">
        <v>0</v>
      </c>
      <c r="S111" s="407">
        <v>0</v>
      </c>
      <c r="T111" s="407">
        <v>0</v>
      </c>
      <c r="U111" s="407">
        <v>0</v>
      </c>
      <c r="V111" s="407">
        <v>0</v>
      </c>
      <c r="W111" s="407">
        <v>0</v>
      </c>
      <c r="X111" s="407">
        <v>0</v>
      </c>
      <c r="Y111" s="407">
        <v>0</v>
      </c>
      <c r="Z111" s="407">
        <v>0</v>
      </c>
      <c r="AA111" s="407">
        <v>0</v>
      </c>
      <c r="AB111" s="407">
        <v>0</v>
      </c>
      <c r="AC111" s="407">
        <v>0</v>
      </c>
      <c r="AD111" s="407">
        <v>0</v>
      </c>
      <c r="AE111" s="407">
        <v>0</v>
      </c>
      <c r="AF111" s="407">
        <v>0</v>
      </c>
    </row>
    <row r="112" spans="1:32">
      <c r="A112" s="406" t="s">
        <v>873</v>
      </c>
      <c r="B112" s="407">
        <v>0</v>
      </c>
      <c r="C112" s="407">
        <v>0</v>
      </c>
      <c r="D112" s="407">
        <v>0</v>
      </c>
      <c r="E112" s="407">
        <v>0</v>
      </c>
      <c r="F112" s="407">
        <v>0</v>
      </c>
      <c r="G112" s="407">
        <v>0</v>
      </c>
      <c r="H112" s="407">
        <v>0</v>
      </c>
      <c r="I112" s="407">
        <v>0</v>
      </c>
      <c r="J112" s="407">
        <v>0</v>
      </c>
      <c r="K112" s="407">
        <v>0</v>
      </c>
      <c r="L112" s="407">
        <v>0</v>
      </c>
      <c r="M112" s="407">
        <v>0</v>
      </c>
      <c r="N112" s="407">
        <v>0</v>
      </c>
      <c r="O112" s="407">
        <v>0</v>
      </c>
      <c r="Q112" s="407">
        <v>0</v>
      </c>
      <c r="R112" s="407">
        <v>0</v>
      </c>
      <c r="S112" s="407">
        <v>0</v>
      </c>
      <c r="T112" s="407">
        <v>0</v>
      </c>
      <c r="U112" s="407">
        <v>0</v>
      </c>
      <c r="V112" s="407">
        <v>0</v>
      </c>
      <c r="W112" s="407">
        <v>0</v>
      </c>
      <c r="X112" s="407">
        <v>0</v>
      </c>
      <c r="Y112" s="407">
        <v>0</v>
      </c>
      <c r="Z112" s="407">
        <v>0</v>
      </c>
      <c r="AA112" s="407">
        <v>0</v>
      </c>
      <c r="AB112" s="407">
        <v>0</v>
      </c>
      <c r="AC112" s="407">
        <v>0</v>
      </c>
      <c r="AD112" s="407">
        <v>0</v>
      </c>
      <c r="AE112" s="407">
        <v>0</v>
      </c>
      <c r="AF112" s="407">
        <v>0</v>
      </c>
    </row>
    <row r="113" spans="1:32">
      <c r="A113" s="406" t="s">
        <v>874</v>
      </c>
      <c r="B113" s="407">
        <v>0</v>
      </c>
      <c r="C113" s="407">
        <v>0</v>
      </c>
      <c r="D113" s="407">
        <v>0</v>
      </c>
      <c r="E113" s="407">
        <v>0</v>
      </c>
      <c r="F113" s="407">
        <v>0</v>
      </c>
      <c r="G113" s="407">
        <v>0</v>
      </c>
      <c r="H113" s="407">
        <v>0</v>
      </c>
      <c r="I113" s="407">
        <v>0</v>
      </c>
      <c r="J113" s="407">
        <v>0</v>
      </c>
      <c r="K113" s="407">
        <v>0</v>
      </c>
      <c r="L113" s="407">
        <v>0</v>
      </c>
      <c r="M113" s="407">
        <v>0</v>
      </c>
      <c r="N113" s="407">
        <v>0</v>
      </c>
      <c r="O113" s="407">
        <v>0</v>
      </c>
      <c r="Q113" s="407">
        <v>0</v>
      </c>
      <c r="R113" s="407">
        <v>0</v>
      </c>
      <c r="S113" s="407">
        <v>0</v>
      </c>
      <c r="T113" s="407">
        <v>0</v>
      </c>
      <c r="U113" s="407">
        <v>0</v>
      </c>
      <c r="V113" s="407">
        <v>0</v>
      </c>
      <c r="W113" s="407">
        <v>0</v>
      </c>
      <c r="X113" s="407">
        <v>0</v>
      </c>
      <c r="Y113" s="407">
        <v>0</v>
      </c>
      <c r="Z113" s="407">
        <v>0</v>
      </c>
      <c r="AA113" s="407">
        <v>0</v>
      </c>
      <c r="AB113" s="407">
        <v>0</v>
      </c>
      <c r="AC113" s="407">
        <v>0</v>
      </c>
      <c r="AD113" s="407">
        <v>0</v>
      </c>
      <c r="AE113" s="407">
        <v>0</v>
      </c>
      <c r="AF113" s="407">
        <v>0</v>
      </c>
    </row>
    <row r="114" spans="1:32">
      <c r="A114" s="406" t="s">
        <v>875</v>
      </c>
      <c r="B114" s="407">
        <v>0</v>
      </c>
      <c r="C114" s="407">
        <v>0</v>
      </c>
      <c r="D114" s="407">
        <v>0</v>
      </c>
      <c r="E114" s="407">
        <v>0</v>
      </c>
      <c r="F114" s="407">
        <v>0</v>
      </c>
      <c r="G114" s="407">
        <v>0</v>
      </c>
      <c r="H114" s="407">
        <v>0</v>
      </c>
      <c r="I114" s="407">
        <v>0</v>
      </c>
      <c r="J114" s="407">
        <v>0</v>
      </c>
      <c r="K114" s="407">
        <v>0</v>
      </c>
      <c r="L114" s="407">
        <v>0</v>
      </c>
      <c r="M114" s="407">
        <v>0</v>
      </c>
      <c r="N114" s="407">
        <v>0</v>
      </c>
      <c r="O114" s="407">
        <v>0</v>
      </c>
      <c r="Q114" s="407">
        <v>0</v>
      </c>
      <c r="R114" s="407">
        <v>0</v>
      </c>
      <c r="S114" s="407">
        <v>0</v>
      </c>
      <c r="T114" s="407">
        <v>0</v>
      </c>
      <c r="U114" s="407">
        <v>0</v>
      </c>
      <c r="V114" s="407">
        <v>0</v>
      </c>
      <c r="W114" s="407">
        <v>0</v>
      </c>
      <c r="X114" s="407">
        <v>0</v>
      </c>
      <c r="Y114" s="407">
        <v>0</v>
      </c>
      <c r="Z114" s="407">
        <v>0</v>
      </c>
      <c r="AA114" s="407">
        <v>0</v>
      </c>
      <c r="AB114" s="407">
        <v>0</v>
      </c>
      <c r="AC114" s="407">
        <v>0</v>
      </c>
      <c r="AD114" s="407">
        <v>0</v>
      </c>
      <c r="AE114" s="407">
        <v>0</v>
      </c>
      <c r="AF114" s="407">
        <v>0</v>
      </c>
    </row>
    <row r="115" spans="1:32">
      <c r="A115" s="406" t="s">
        <v>876</v>
      </c>
      <c r="B115" s="407">
        <v>0</v>
      </c>
      <c r="C115" s="407">
        <v>0</v>
      </c>
      <c r="D115" s="407">
        <v>0</v>
      </c>
      <c r="E115" s="407">
        <v>0</v>
      </c>
      <c r="F115" s="407">
        <v>0</v>
      </c>
      <c r="G115" s="407">
        <v>0</v>
      </c>
      <c r="H115" s="407">
        <v>0</v>
      </c>
      <c r="I115" s="407">
        <v>0</v>
      </c>
      <c r="J115" s="407">
        <v>0</v>
      </c>
      <c r="K115" s="407">
        <v>0</v>
      </c>
      <c r="L115" s="407">
        <v>0</v>
      </c>
      <c r="M115" s="407">
        <v>0</v>
      </c>
      <c r="N115" s="407">
        <v>0</v>
      </c>
      <c r="O115" s="407">
        <v>0</v>
      </c>
      <c r="Q115" s="407">
        <v>0</v>
      </c>
      <c r="R115" s="407">
        <v>0</v>
      </c>
      <c r="S115" s="407">
        <v>0</v>
      </c>
      <c r="T115" s="407">
        <v>0</v>
      </c>
      <c r="U115" s="407">
        <v>0</v>
      </c>
      <c r="V115" s="407">
        <v>0</v>
      </c>
      <c r="W115" s="407">
        <v>0</v>
      </c>
      <c r="X115" s="407">
        <v>0</v>
      </c>
      <c r="Y115" s="407">
        <v>0</v>
      </c>
      <c r="Z115" s="407">
        <v>0</v>
      </c>
      <c r="AA115" s="407">
        <v>0</v>
      </c>
      <c r="AB115" s="407">
        <v>0</v>
      </c>
      <c r="AC115" s="407">
        <v>0</v>
      </c>
      <c r="AD115" s="407">
        <v>0</v>
      </c>
      <c r="AE115" s="407">
        <v>0</v>
      </c>
      <c r="AF115" s="407">
        <v>0</v>
      </c>
    </row>
    <row r="116" spans="1:32">
      <c r="A116" s="406" t="s">
        <v>877</v>
      </c>
      <c r="B116" s="407">
        <v>0</v>
      </c>
      <c r="C116" s="407">
        <v>0</v>
      </c>
      <c r="D116" s="407">
        <v>0</v>
      </c>
      <c r="E116" s="407">
        <v>0</v>
      </c>
      <c r="F116" s="407">
        <v>0</v>
      </c>
      <c r="G116" s="407">
        <v>0</v>
      </c>
      <c r="H116" s="407">
        <v>0</v>
      </c>
      <c r="I116" s="407">
        <v>0</v>
      </c>
      <c r="J116" s="407">
        <v>0</v>
      </c>
      <c r="K116" s="407">
        <v>0</v>
      </c>
      <c r="L116" s="407">
        <v>0</v>
      </c>
      <c r="M116" s="407">
        <v>0</v>
      </c>
      <c r="N116" s="407">
        <v>0</v>
      </c>
      <c r="O116" s="407">
        <v>0</v>
      </c>
      <c r="Q116" s="407">
        <v>0</v>
      </c>
      <c r="R116" s="407">
        <v>0</v>
      </c>
      <c r="S116" s="407">
        <v>0</v>
      </c>
      <c r="T116" s="407">
        <v>0</v>
      </c>
      <c r="U116" s="407">
        <v>0</v>
      </c>
      <c r="V116" s="407">
        <v>0</v>
      </c>
      <c r="W116" s="407">
        <v>0</v>
      </c>
      <c r="X116" s="407">
        <v>0</v>
      </c>
      <c r="Y116" s="407">
        <v>0</v>
      </c>
      <c r="Z116" s="407">
        <v>0</v>
      </c>
      <c r="AA116" s="407">
        <v>0</v>
      </c>
      <c r="AB116" s="407">
        <v>0</v>
      </c>
      <c r="AC116" s="407">
        <v>0</v>
      </c>
      <c r="AD116" s="407">
        <v>0</v>
      </c>
      <c r="AE116" s="407">
        <v>0</v>
      </c>
      <c r="AF116" s="407">
        <v>0</v>
      </c>
    </row>
    <row r="118" spans="1:32">
      <c r="A118" s="406" t="s">
        <v>878</v>
      </c>
      <c r="B118" s="407">
        <v>0</v>
      </c>
      <c r="C118" s="407">
        <v>0</v>
      </c>
      <c r="D118" s="407">
        <v>0</v>
      </c>
      <c r="E118" s="407">
        <v>0</v>
      </c>
      <c r="F118" s="407">
        <v>0</v>
      </c>
      <c r="G118" s="407">
        <v>0</v>
      </c>
      <c r="H118" s="407">
        <v>0</v>
      </c>
      <c r="I118" s="407">
        <v>0</v>
      </c>
      <c r="J118" s="407">
        <v>0</v>
      </c>
      <c r="K118" s="407">
        <v>0</v>
      </c>
      <c r="L118" s="407">
        <v>0</v>
      </c>
      <c r="M118" s="407">
        <v>0</v>
      </c>
      <c r="N118" s="407">
        <v>0</v>
      </c>
      <c r="O118" s="407">
        <v>0</v>
      </c>
      <c r="Q118" s="407">
        <v>0</v>
      </c>
      <c r="R118" s="407">
        <v>0</v>
      </c>
      <c r="S118" s="407">
        <v>0</v>
      </c>
      <c r="T118" s="407">
        <v>0</v>
      </c>
      <c r="U118" s="407">
        <v>0</v>
      </c>
      <c r="V118" s="407">
        <v>0</v>
      </c>
      <c r="W118" s="407">
        <v>0</v>
      </c>
      <c r="X118" s="407">
        <v>0</v>
      </c>
      <c r="Y118" s="407">
        <v>0</v>
      </c>
      <c r="Z118" s="407">
        <v>0</v>
      </c>
      <c r="AA118" s="407">
        <v>0</v>
      </c>
      <c r="AB118" s="407">
        <v>0</v>
      </c>
      <c r="AC118" s="407">
        <v>0</v>
      </c>
      <c r="AD118" s="407">
        <v>0</v>
      </c>
      <c r="AE118" s="407">
        <v>0</v>
      </c>
      <c r="AF118" s="407">
        <v>0</v>
      </c>
    </row>
    <row r="119" spans="1:32">
      <c r="A119" s="406" t="s">
        <v>879</v>
      </c>
      <c r="B119" s="407">
        <v>0</v>
      </c>
      <c r="C119" s="407">
        <v>0</v>
      </c>
      <c r="D119" s="407">
        <v>0</v>
      </c>
      <c r="E119" s="407">
        <v>0</v>
      </c>
      <c r="F119" s="407">
        <v>0</v>
      </c>
      <c r="G119" s="407">
        <v>0</v>
      </c>
      <c r="H119" s="407">
        <v>0</v>
      </c>
      <c r="I119" s="407">
        <v>0</v>
      </c>
      <c r="J119" s="407">
        <v>0</v>
      </c>
      <c r="K119" s="407">
        <v>0</v>
      </c>
      <c r="L119" s="407">
        <v>0</v>
      </c>
      <c r="M119" s="407">
        <v>0</v>
      </c>
      <c r="N119" s="407">
        <v>0</v>
      </c>
      <c r="O119" s="407">
        <v>0</v>
      </c>
      <c r="Q119" s="407">
        <v>0</v>
      </c>
      <c r="R119" s="407">
        <v>0</v>
      </c>
      <c r="S119" s="407">
        <v>0</v>
      </c>
      <c r="T119" s="407">
        <v>0</v>
      </c>
      <c r="U119" s="407">
        <v>0</v>
      </c>
      <c r="V119" s="407">
        <v>0</v>
      </c>
      <c r="W119" s="407">
        <v>0</v>
      </c>
      <c r="X119" s="407">
        <v>0</v>
      </c>
      <c r="Y119" s="407">
        <v>0</v>
      </c>
      <c r="Z119" s="407">
        <v>0</v>
      </c>
      <c r="AA119" s="407">
        <v>0</v>
      </c>
      <c r="AB119" s="407">
        <v>0</v>
      </c>
      <c r="AC119" s="407">
        <v>0</v>
      </c>
      <c r="AD119" s="407">
        <v>0</v>
      </c>
      <c r="AE119" s="407">
        <v>0</v>
      </c>
      <c r="AF119" s="407">
        <v>0</v>
      </c>
    </row>
    <row r="120" spans="1:32">
      <c r="A120" s="406" t="s">
        <v>880</v>
      </c>
      <c r="B120" s="407">
        <v>0</v>
      </c>
      <c r="C120" s="407">
        <v>0</v>
      </c>
      <c r="D120" s="407">
        <v>0</v>
      </c>
      <c r="E120" s="407">
        <v>0</v>
      </c>
      <c r="F120" s="407">
        <v>0</v>
      </c>
      <c r="G120" s="407">
        <v>0</v>
      </c>
      <c r="H120" s="407">
        <v>0</v>
      </c>
      <c r="I120" s="407">
        <v>0</v>
      </c>
      <c r="J120" s="407">
        <v>0</v>
      </c>
      <c r="K120" s="407">
        <v>0</v>
      </c>
      <c r="L120" s="407">
        <v>0</v>
      </c>
      <c r="M120" s="407">
        <v>0</v>
      </c>
      <c r="N120" s="407">
        <v>0</v>
      </c>
      <c r="O120" s="407">
        <v>0</v>
      </c>
      <c r="Q120" s="407">
        <v>0</v>
      </c>
      <c r="R120" s="407">
        <v>0</v>
      </c>
      <c r="S120" s="407">
        <v>0</v>
      </c>
      <c r="T120" s="407">
        <v>0</v>
      </c>
      <c r="U120" s="407">
        <v>0</v>
      </c>
      <c r="V120" s="407">
        <v>0</v>
      </c>
      <c r="W120" s="407">
        <v>0</v>
      </c>
      <c r="X120" s="407">
        <v>0</v>
      </c>
      <c r="Y120" s="407">
        <v>0</v>
      </c>
      <c r="Z120" s="407">
        <v>0</v>
      </c>
      <c r="AA120" s="407">
        <v>0</v>
      </c>
      <c r="AB120" s="407">
        <v>0</v>
      </c>
      <c r="AC120" s="407">
        <v>0</v>
      </c>
      <c r="AD120" s="407">
        <v>0</v>
      </c>
      <c r="AE120" s="407">
        <v>0</v>
      </c>
      <c r="AF120" s="407">
        <v>0</v>
      </c>
    </row>
    <row r="121" spans="1:32">
      <c r="A121" s="406" t="s">
        <v>881</v>
      </c>
      <c r="B121" s="407">
        <v>0</v>
      </c>
      <c r="C121" s="407">
        <v>0</v>
      </c>
      <c r="D121" s="407">
        <v>0</v>
      </c>
      <c r="E121" s="407">
        <v>0</v>
      </c>
      <c r="F121" s="407">
        <v>0</v>
      </c>
      <c r="G121" s="407">
        <v>0</v>
      </c>
      <c r="H121" s="407">
        <v>0</v>
      </c>
      <c r="I121" s="407">
        <v>0</v>
      </c>
      <c r="J121" s="407">
        <v>0</v>
      </c>
      <c r="K121" s="407">
        <v>0</v>
      </c>
      <c r="L121" s="407">
        <v>0</v>
      </c>
      <c r="M121" s="407">
        <v>0</v>
      </c>
      <c r="N121" s="407">
        <v>0</v>
      </c>
      <c r="O121" s="407">
        <v>0</v>
      </c>
      <c r="Q121" s="407">
        <v>0</v>
      </c>
      <c r="R121" s="407">
        <v>0</v>
      </c>
      <c r="S121" s="407">
        <v>0</v>
      </c>
      <c r="T121" s="407">
        <v>0</v>
      </c>
      <c r="U121" s="407">
        <v>0</v>
      </c>
      <c r="V121" s="407">
        <v>0</v>
      </c>
      <c r="W121" s="407">
        <v>0</v>
      </c>
      <c r="X121" s="407">
        <v>0</v>
      </c>
      <c r="Y121" s="407">
        <v>0</v>
      </c>
      <c r="Z121" s="407">
        <v>0</v>
      </c>
      <c r="AA121" s="407">
        <v>0</v>
      </c>
      <c r="AB121" s="407">
        <v>0</v>
      </c>
      <c r="AC121" s="407">
        <v>0</v>
      </c>
      <c r="AD121" s="407">
        <v>0</v>
      </c>
      <c r="AE121" s="407">
        <v>0</v>
      </c>
      <c r="AF121" s="407">
        <v>0</v>
      </c>
    </row>
    <row r="122" spans="1:32">
      <c r="A122" s="406" t="s">
        <v>882</v>
      </c>
      <c r="B122" s="407">
        <v>0</v>
      </c>
      <c r="C122" s="407">
        <v>0</v>
      </c>
      <c r="D122" s="407">
        <v>0</v>
      </c>
      <c r="E122" s="407">
        <v>0</v>
      </c>
      <c r="F122" s="407">
        <v>0</v>
      </c>
      <c r="G122" s="407">
        <v>0</v>
      </c>
      <c r="H122" s="407">
        <v>0</v>
      </c>
      <c r="I122" s="407">
        <v>0</v>
      </c>
      <c r="J122" s="407">
        <v>0</v>
      </c>
      <c r="K122" s="407">
        <v>0</v>
      </c>
      <c r="L122" s="407">
        <v>0</v>
      </c>
      <c r="M122" s="407">
        <v>0</v>
      </c>
      <c r="N122" s="407">
        <v>0</v>
      </c>
      <c r="O122" s="407">
        <v>0</v>
      </c>
      <c r="Q122" s="407">
        <v>0</v>
      </c>
      <c r="R122" s="407">
        <v>0</v>
      </c>
      <c r="S122" s="407">
        <v>0</v>
      </c>
      <c r="T122" s="407">
        <v>0</v>
      </c>
      <c r="U122" s="407">
        <v>0</v>
      </c>
      <c r="V122" s="407">
        <v>0</v>
      </c>
      <c r="W122" s="407">
        <v>0</v>
      </c>
      <c r="X122" s="407">
        <v>0</v>
      </c>
      <c r="Y122" s="407">
        <v>0</v>
      </c>
      <c r="Z122" s="407">
        <v>0</v>
      </c>
      <c r="AA122" s="407">
        <v>0</v>
      </c>
      <c r="AB122" s="407">
        <v>0</v>
      </c>
      <c r="AC122" s="407">
        <v>0</v>
      </c>
      <c r="AD122" s="407">
        <v>0</v>
      </c>
      <c r="AE122" s="407">
        <v>0</v>
      </c>
      <c r="AF122" s="407">
        <v>0</v>
      </c>
    </row>
    <row r="123" spans="1:32">
      <c r="A123" s="406" t="s">
        <v>883</v>
      </c>
      <c r="B123" s="407">
        <v>0</v>
      </c>
      <c r="C123" s="407">
        <v>0</v>
      </c>
      <c r="D123" s="407">
        <v>0</v>
      </c>
      <c r="E123" s="407">
        <v>0</v>
      </c>
      <c r="F123" s="407">
        <v>0</v>
      </c>
      <c r="G123" s="407">
        <v>0</v>
      </c>
      <c r="H123" s="407">
        <v>0</v>
      </c>
      <c r="I123" s="407">
        <v>0</v>
      </c>
      <c r="J123" s="407">
        <v>0</v>
      </c>
      <c r="K123" s="407">
        <v>0</v>
      </c>
      <c r="L123" s="407">
        <v>0</v>
      </c>
      <c r="M123" s="407">
        <v>0</v>
      </c>
      <c r="N123" s="407">
        <v>0</v>
      </c>
      <c r="O123" s="407">
        <v>0</v>
      </c>
      <c r="Q123" s="407">
        <v>0</v>
      </c>
      <c r="R123" s="407">
        <v>0</v>
      </c>
      <c r="S123" s="407">
        <v>0</v>
      </c>
      <c r="T123" s="407">
        <v>0</v>
      </c>
      <c r="U123" s="407">
        <v>0</v>
      </c>
      <c r="V123" s="407">
        <v>0</v>
      </c>
      <c r="W123" s="407">
        <v>0</v>
      </c>
      <c r="X123" s="407">
        <v>0</v>
      </c>
      <c r="Y123" s="407">
        <v>0</v>
      </c>
      <c r="Z123" s="407">
        <v>0</v>
      </c>
      <c r="AA123" s="407">
        <v>0</v>
      </c>
      <c r="AB123" s="407">
        <v>0</v>
      </c>
      <c r="AC123" s="407">
        <v>0</v>
      </c>
      <c r="AD123" s="407">
        <v>0</v>
      </c>
      <c r="AE123" s="407">
        <v>0</v>
      </c>
      <c r="AF123" s="407">
        <v>0</v>
      </c>
    </row>
    <row r="124" spans="1:32">
      <c r="A124" s="406" t="s">
        <v>884</v>
      </c>
      <c r="B124" s="407">
        <v>0</v>
      </c>
      <c r="C124" s="407">
        <v>0</v>
      </c>
      <c r="D124" s="407">
        <v>0</v>
      </c>
      <c r="E124" s="407">
        <v>0</v>
      </c>
      <c r="F124" s="407">
        <v>0</v>
      </c>
      <c r="G124" s="407">
        <v>0</v>
      </c>
      <c r="H124" s="407">
        <v>0</v>
      </c>
      <c r="I124" s="407">
        <v>0</v>
      </c>
      <c r="J124" s="407">
        <v>0</v>
      </c>
      <c r="K124" s="407">
        <v>0</v>
      </c>
      <c r="L124" s="407">
        <v>0</v>
      </c>
      <c r="M124" s="407">
        <v>0</v>
      </c>
      <c r="N124" s="407">
        <v>0</v>
      </c>
      <c r="O124" s="407">
        <v>0</v>
      </c>
      <c r="Q124" s="407">
        <v>0</v>
      </c>
      <c r="R124" s="407">
        <v>0</v>
      </c>
      <c r="S124" s="407">
        <v>0</v>
      </c>
      <c r="T124" s="407">
        <v>0</v>
      </c>
      <c r="U124" s="407">
        <v>0</v>
      </c>
      <c r="V124" s="407">
        <v>0</v>
      </c>
      <c r="W124" s="407">
        <v>0</v>
      </c>
      <c r="X124" s="407">
        <v>0</v>
      </c>
      <c r="Y124" s="407">
        <v>0</v>
      </c>
      <c r="Z124" s="407">
        <v>0</v>
      </c>
      <c r="AA124" s="407">
        <v>0</v>
      </c>
      <c r="AB124" s="407">
        <v>0</v>
      </c>
      <c r="AC124" s="407">
        <v>0</v>
      </c>
      <c r="AD124" s="407">
        <v>0</v>
      </c>
      <c r="AE124" s="407">
        <v>0</v>
      </c>
      <c r="AF124" s="407">
        <v>0</v>
      </c>
    </row>
    <row r="126" spans="1:32">
      <c r="A126" s="406" t="s">
        <v>885</v>
      </c>
      <c r="B126" s="407">
        <v>0</v>
      </c>
      <c r="C126" s="407">
        <v>0</v>
      </c>
      <c r="D126" s="407">
        <v>0</v>
      </c>
      <c r="E126" s="407">
        <v>0</v>
      </c>
      <c r="F126" s="407">
        <v>0</v>
      </c>
      <c r="G126" s="407">
        <v>0</v>
      </c>
      <c r="H126" s="407">
        <v>0</v>
      </c>
      <c r="I126" s="407">
        <v>0</v>
      </c>
      <c r="J126" s="407">
        <v>0</v>
      </c>
      <c r="K126" s="407">
        <v>0</v>
      </c>
      <c r="L126" s="407">
        <v>0</v>
      </c>
      <c r="M126" s="407">
        <v>0</v>
      </c>
      <c r="N126" s="407">
        <v>0</v>
      </c>
      <c r="O126" s="407">
        <v>0</v>
      </c>
      <c r="Q126" s="407">
        <v>0</v>
      </c>
      <c r="R126" s="407">
        <v>0</v>
      </c>
      <c r="S126" s="407">
        <v>0</v>
      </c>
      <c r="T126" s="407">
        <v>0</v>
      </c>
      <c r="U126" s="407">
        <v>0</v>
      </c>
      <c r="V126" s="407">
        <v>0</v>
      </c>
      <c r="W126" s="407">
        <v>0</v>
      </c>
      <c r="X126" s="407">
        <v>0</v>
      </c>
      <c r="Y126" s="407">
        <v>0</v>
      </c>
      <c r="Z126" s="407">
        <v>0</v>
      </c>
      <c r="AA126" s="407">
        <v>0</v>
      </c>
      <c r="AB126" s="407">
        <v>0</v>
      </c>
      <c r="AC126" s="407">
        <v>0</v>
      </c>
      <c r="AD126" s="407">
        <v>0</v>
      </c>
      <c r="AE126" s="407">
        <v>0</v>
      </c>
      <c r="AF126" s="407">
        <v>0</v>
      </c>
    </row>
    <row r="127" spans="1:32" s="367" customFormat="1">
      <c r="A127" s="408"/>
      <c r="B127" s="405"/>
      <c r="C127" s="405"/>
      <c r="D127" s="405"/>
      <c r="E127" s="405"/>
      <c r="F127" s="405"/>
      <c r="G127" s="405"/>
      <c r="H127" s="405"/>
      <c r="I127" s="405"/>
      <c r="J127" s="405"/>
      <c r="K127" s="405"/>
      <c r="L127" s="405"/>
      <c r="M127" s="405"/>
      <c r="N127" s="405"/>
      <c r="O127" s="405"/>
      <c r="Q127" s="405"/>
      <c r="R127" s="405"/>
      <c r="S127" s="405"/>
      <c r="T127" s="405"/>
      <c r="U127" s="405"/>
      <c r="V127" s="405"/>
      <c r="W127" s="405"/>
      <c r="X127" s="405"/>
      <c r="Y127" s="405"/>
      <c r="Z127" s="405"/>
      <c r="AA127" s="405"/>
      <c r="AB127" s="405"/>
      <c r="AC127" s="405"/>
      <c r="AD127" s="405"/>
      <c r="AE127" s="405"/>
      <c r="AF127" s="405"/>
    </row>
    <row r="128" spans="1:32">
      <c r="A128" s="406" t="s">
        <v>886</v>
      </c>
    </row>
    <row r="129" spans="1:32">
      <c r="A129" s="406" t="s">
        <v>887</v>
      </c>
      <c r="B129" s="407">
        <v>0</v>
      </c>
      <c r="C129" s="407">
        <v>0</v>
      </c>
      <c r="D129" s="407">
        <v>0</v>
      </c>
      <c r="E129" s="407">
        <v>0</v>
      </c>
      <c r="F129" s="407">
        <v>0</v>
      </c>
      <c r="G129" s="407">
        <v>0</v>
      </c>
      <c r="H129" s="407">
        <v>0</v>
      </c>
      <c r="I129" s="407">
        <v>0</v>
      </c>
      <c r="J129" s="407">
        <v>0</v>
      </c>
      <c r="K129" s="407">
        <v>0</v>
      </c>
      <c r="L129" s="407">
        <v>0</v>
      </c>
      <c r="M129" s="407">
        <v>0</v>
      </c>
      <c r="N129" s="407">
        <v>0</v>
      </c>
      <c r="O129" s="407">
        <v>0</v>
      </c>
      <c r="Q129" s="407">
        <v>0</v>
      </c>
      <c r="R129" s="407">
        <v>0</v>
      </c>
      <c r="S129" s="407">
        <v>0</v>
      </c>
      <c r="T129" s="407">
        <v>0</v>
      </c>
      <c r="U129" s="407">
        <v>0</v>
      </c>
      <c r="V129" s="407">
        <v>0</v>
      </c>
      <c r="W129" s="407">
        <v>0</v>
      </c>
      <c r="X129" s="407">
        <v>0</v>
      </c>
      <c r="Y129" s="407">
        <v>0</v>
      </c>
      <c r="Z129" s="407">
        <v>0</v>
      </c>
      <c r="AA129" s="407">
        <v>0</v>
      </c>
      <c r="AB129" s="407">
        <v>0</v>
      </c>
      <c r="AC129" s="407">
        <v>0</v>
      </c>
      <c r="AD129" s="407">
        <v>0</v>
      </c>
      <c r="AE129" s="407">
        <v>0</v>
      </c>
      <c r="AF129" s="407">
        <v>0</v>
      </c>
    </row>
    <row r="130" spans="1:32">
      <c r="A130" s="406" t="s">
        <v>888</v>
      </c>
      <c r="B130" s="407">
        <v>0</v>
      </c>
      <c r="C130" s="407">
        <v>0</v>
      </c>
      <c r="D130" s="407">
        <v>0</v>
      </c>
      <c r="E130" s="407">
        <v>0</v>
      </c>
      <c r="F130" s="407">
        <v>0</v>
      </c>
      <c r="G130" s="407">
        <v>0</v>
      </c>
      <c r="H130" s="407">
        <v>0</v>
      </c>
      <c r="I130" s="407">
        <v>0</v>
      </c>
      <c r="J130" s="407">
        <v>0</v>
      </c>
      <c r="K130" s="407">
        <v>0</v>
      </c>
      <c r="L130" s="407">
        <v>0</v>
      </c>
      <c r="M130" s="407">
        <v>0</v>
      </c>
      <c r="N130" s="407">
        <v>0</v>
      </c>
      <c r="O130" s="407">
        <v>0</v>
      </c>
      <c r="Q130" s="407">
        <v>0</v>
      </c>
      <c r="R130" s="407">
        <v>0</v>
      </c>
      <c r="S130" s="407">
        <v>0</v>
      </c>
      <c r="T130" s="407">
        <v>0</v>
      </c>
      <c r="U130" s="407">
        <v>0</v>
      </c>
      <c r="V130" s="407">
        <v>0</v>
      </c>
      <c r="W130" s="407">
        <v>0</v>
      </c>
      <c r="X130" s="407">
        <v>0</v>
      </c>
      <c r="Y130" s="407">
        <v>0</v>
      </c>
      <c r="Z130" s="407">
        <v>0</v>
      </c>
      <c r="AA130" s="407">
        <v>0</v>
      </c>
      <c r="AB130" s="407">
        <v>0</v>
      </c>
      <c r="AC130" s="407">
        <v>0</v>
      </c>
      <c r="AD130" s="407">
        <v>0</v>
      </c>
      <c r="AE130" s="407">
        <v>0</v>
      </c>
      <c r="AF130" s="407">
        <v>0</v>
      </c>
    </row>
    <row r="131" spans="1:32">
      <c r="A131" s="406" t="s">
        <v>889</v>
      </c>
      <c r="B131" s="407">
        <v>0</v>
      </c>
      <c r="C131" s="407">
        <v>0</v>
      </c>
      <c r="D131" s="407">
        <v>0</v>
      </c>
      <c r="E131" s="407">
        <v>0</v>
      </c>
      <c r="F131" s="407">
        <v>0</v>
      </c>
      <c r="G131" s="407">
        <v>0</v>
      </c>
      <c r="H131" s="407">
        <v>0</v>
      </c>
      <c r="I131" s="407">
        <v>0</v>
      </c>
      <c r="J131" s="407">
        <v>0</v>
      </c>
      <c r="K131" s="407">
        <v>0</v>
      </c>
      <c r="L131" s="407">
        <v>0</v>
      </c>
      <c r="M131" s="407">
        <v>0</v>
      </c>
      <c r="N131" s="407">
        <v>0</v>
      </c>
      <c r="O131" s="407">
        <v>0</v>
      </c>
      <c r="Q131" s="407">
        <v>0</v>
      </c>
      <c r="R131" s="407">
        <v>0</v>
      </c>
      <c r="S131" s="407">
        <v>0</v>
      </c>
      <c r="T131" s="407">
        <v>0</v>
      </c>
      <c r="U131" s="407">
        <v>0</v>
      </c>
      <c r="V131" s="407">
        <v>0</v>
      </c>
      <c r="W131" s="407">
        <v>0</v>
      </c>
      <c r="X131" s="407">
        <v>0</v>
      </c>
      <c r="Y131" s="407">
        <v>0</v>
      </c>
      <c r="Z131" s="407">
        <v>0</v>
      </c>
      <c r="AA131" s="407">
        <v>0</v>
      </c>
      <c r="AB131" s="407">
        <v>0</v>
      </c>
      <c r="AC131" s="407">
        <v>0</v>
      </c>
      <c r="AD131" s="407">
        <v>0</v>
      </c>
      <c r="AE131" s="407">
        <v>0</v>
      </c>
      <c r="AF131" s="407">
        <v>0</v>
      </c>
    </row>
    <row r="132" spans="1:32">
      <c r="A132" s="406" t="s">
        <v>890</v>
      </c>
      <c r="B132" s="407">
        <v>0</v>
      </c>
      <c r="C132" s="407">
        <v>0</v>
      </c>
      <c r="D132" s="407">
        <v>0</v>
      </c>
      <c r="E132" s="407">
        <v>0</v>
      </c>
      <c r="F132" s="407">
        <v>0</v>
      </c>
      <c r="G132" s="407">
        <v>0</v>
      </c>
      <c r="H132" s="407">
        <v>0</v>
      </c>
      <c r="I132" s="407">
        <v>0</v>
      </c>
      <c r="J132" s="407">
        <v>0</v>
      </c>
      <c r="K132" s="407">
        <v>0</v>
      </c>
      <c r="L132" s="407">
        <v>0</v>
      </c>
      <c r="M132" s="407">
        <v>0</v>
      </c>
      <c r="N132" s="407">
        <v>0</v>
      </c>
      <c r="O132" s="407">
        <v>0</v>
      </c>
      <c r="Q132" s="407">
        <v>0</v>
      </c>
      <c r="R132" s="407">
        <v>0</v>
      </c>
      <c r="S132" s="407">
        <v>0</v>
      </c>
      <c r="T132" s="407">
        <v>0</v>
      </c>
      <c r="U132" s="407">
        <v>0</v>
      </c>
      <c r="V132" s="407">
        <v>0</v>
      </c>
      <c r="W132" s="407">
        <v>0</v>
      </c>
      <c r="X132" s="407">
        <v>0</v>
      </c>
      <c r="Y132" s="407">
        <v>0</v>
      </c>
      <c r="Z132" s="407">
        <v>0</v>
      </c>
      <c r="AA132" s="407">
        <v>0</v>
      </c>
      <c r="AB132" s="407">
        <v>0</v>
      </c>
      <c r="AC132" s="407">
        <v>0</v>
      </c>
      <c r="AD132" s="407">
        <v>0</v>
      </c>
      <c r="AE132" s="407">
        <v>0</v>
      </c>
      <c r="AF132" s="407">
        <v>0</v>
      </c>
    </row>
    <row r="133" spans="1:32">
      <c r="A133" s="406" t="s">
        <v>891</v>
      </c>
      <c r="B133" s="407">
        <v>0</v>
      </c>
      <c r="C133" s="407">
        <v>0</v>
      </c>
      <c r="D133" s="407">
        <v>0</v>
      </c>
      <c r="E133" s="407">
        <v>0</v>
      </c>
      <c r="F133" s="407">
        <v>0</v>
      </c>
      <c r="G133" s="407">
        <v>0</v>
      </c>
      <c r="H133" s="407">
        <v>0</v>
      </c>
      <c r="I133" s="407">
        <v>0</v>
      </c>
      <c r="J133" s="407">
        <v>0</v>
      </c>
      <c r="K133" s="407">
        <v>0</v>
      </c>
      <c r="L133" s="407">
        <v>0</v>
      </c>
      <c r="M133" s="407">
        <v>0</v>
      </c>
      <c r="N133" s="407">
        <v>0</v>
      </c>
      <c r="O133" s="407">
        <v>0</v>
      </c>
      <c r="Q133" s="407">
        <v>0</v>
      </c>
      <c r="R133" s="407">
        <v>0</v>
      </c>
      <c r="S133" s="407">
        <v>0</v>
      </c>
      <c r="T133" s="407">
        <v>0</v>
      </c>
      <c r="U133" s="407">
        <v>0</v>
      </c>
      <c r="V133" s="407">
        <v>0</v>
      </c>
      <c r="W133" s="407">
        <v>0</v>
      </c>
      <c r="X133" s="407">
        <v>0</v>
      </c>
      <c r="Y133" s="407">
        <v>0</v>
      </c>
      <c r="Z133" s="407">
        <v>0</v>
      </c>
      <c r="AA133" s="407">
        <v>0</v>
      </c>
      <c r="AB133" s="407">
        <v>0</v>
      </c>
      <c r="AC133" s="407">
        <v>0</v>
      </c>
      <c r="AD133" s="407">
        <v>0</v>
      </c>
      <c r="AE133" s="407">
        <v>0</v>
      </c>
      <c r="AF133" s="407">
        <v>0</v>
      </c>
    </row>
    <row r="134" spans="1:32">
      <c r="A134" s="406" t="s">
        <v>892</v>
      </c>
      <c r="B134" s="407">
        <v>0</v>
      </c>
      <c r="C134" s="407">
        <v>0</v>
      </c>
      <c r="D134" s="407">
        <v>0</v>
      </c>
      <c r="E134" s="407">
        <v>0</v>
      </c>
      <c r="F134" s="407">
        <v>0</v>
      </c>
      <c r="G134" s="407">
        <v>0</v>
      </c>
      <c r="H134" s="407">
        <v>0</v>
      </c>
      <c r="I134" s="407">
        <v>0</v>
      </c>
      <c r="J134" s="407">
        <v>0</v>
      </c>
      <c r="K134" s="407">
        <v>0</v>
      </c>
      <c r="L134" s="407">
        <v>0</v>
      </c>
      <c r="M134" s="407">
        <v>0</v>
      </c>
      <c r="N134" s="407">
        <v>0</v>
      </c>
      <c r="O134" s="407">
        <v>0</v>
      </c>
      <c r="Q134" s="407">
        <v>0</v>
      </c>
      <c r="R134" s="407">
        <v>0</v>
      </c>
      <c r="S134" s="407">
        <v>0</v>
      </c>
      <c r="T134" s="407">
        <v>0</v>
      </c>
      <c r="U134" s="407">
        <v>0</v>
      </c>
      <c r="V134" s="407">
        <v>0</v>
      </c>
      <c r="W134" s="407">
        <v>0</v>
      </c>
      <c r="X134" s="407">
        <v>0</v>
      </c>
      <c r="Y134" s="407">
        <v>0</v>
      </c>
      <c r="Z134" s="407">
        <v>0</v>
      </c>
      <c r="AA134" s="407">
        <v>0</v>
      </c>
      <c r="AB134" s="407">
        <v>0</v>
      </c>
      <c r="AC134" s="407">
        <v>0</v>
      </c>
      <c r="AD134" s="407">
        <v>0</v>
      </c>
      <c r="AE134" s="407">
        <v>0</v>
      </c>
      <c r="AF134" s="407">
        <v>0</v>
      </c>
    </row>
    <row r="135" spans="1:32">
      <c r="A135" s="406" t="s">
        <v>893</v>
      </c>
      <c r="B135" s="407">
        <v>0</v>
      </c>
      <c r="C135" s="407">
        <v>0</v>
      </c>
      <c r="D135" s="407">
        <v>0</v>
      </c>
      <c r="E135" s="407">
        <v>0</v>
      </c>
      <c r="F135" s="407">
        <v>0</v>
      </c>
      <c r="G135" s="407">
        <v>0</v>
      </c>
      <c r="H135" s="407">
        <v>0</v>
      </c>
      <c r="I135" s="407">
        <v>0</v>
      </c>
      <c r="J135" s="407">
        <v>0</v>
      </c>
      <c r="K135" s="407">
        <v>0</v>
      </c>
      <c r="L135" s="407">
        <v>0</v>
      </c>
      <c r="M135" s="407">
        <v>0</v>
      </c>
      <c r="N135" s="407">
        <v>0</v>
      </c>
      <c r="O135" s="407">
        <v>0</v>
      </c>
      <c r="Q135" s="407">
        <v>0</v>
      </c>
      <c r="R135" s="407">
        <v>0</v>
      </c>
      <c r="S135" s="407">
        <v>0</v>
      </c>
      <c r="T135" s="407">
        <v>0</v>
      </c>
      <c r="U135" s="407">
        <v>0</v>
      </c>
      <c r="V135" s="407">
        <v>0</v>
      </c>
      <c r="W135" s="407">
        <v>0</v>
      </c>
      <c r="X135" s="407">
        <v>0</v>
      </c>
      <c r="Y135" s="407">
        <v>0</v>
      </c>
      <c r="Z135" s="407">
        <v>0</v>
      </c>
      <c r="AA135" s="407">
        <v>0</v>
      </c>
      <c r="AB135" s="407">
        <v>0</v>
      </c>
      <c r="AC135" s="407">
        <v>0</v>
      </c>
      <c r="AD135" s="407">
        <v>0</v>
      </c>
      <c r="AE135" s="407">
        <v>0</v>
      </c>
      <c r="AF135" s="407">
        <v>0</v>
      </c>
    </row>
    <row r="136" spans="1:32">
      <c r="A136" s="406" t="s">
        <v>894</v>
      </c>
      <c r="B136" s="407">
        <v>0</v>
      </c>
      <c r="C136" s="407">
        <v>0</v>
      </c>
      <c r="D136" s="407">
        <v>0</v>
      </c>
      <c r="E136" s="407">
        <v>0</v>
      </c>
      <c r="F136" s="407">
        <v>0</v>
      </c>
      <c r="G136" s="407">
        <v>0</v>
      </c>
      <c r="H136" s="407">
        <v>0</v>
      </c>
      <c r="I136" s="407">
        <v>0</v>
      </c>
      <c r="J136" s="407">
        <v>0</v>
      </c>
      <c r="K136" s="407">
        <v>0</v>
      </c>
      <c r="L136" s="407">
        <v>0</v>
      </c>
      <c r="M136" s="407">
        <v>0</v>
      </c>
      <c r="N136" s="407">
        <v>0</v>
      </c>
      <c r="O136" s="407">
        <v>0</v>
      </c>
      <c r="Q136" s="407">
        <v>0</v>
      </c>
      <c r="R136" s="407">
        <v>0</v>
      </c>
      <c r="S136" s="407">
        <v>0</v>
      </c>
      <c r="T136" s="407">
        <v>0</v>
      </c>
      <c r="U136" s="407">
        <v>0</v>
      </c>
      <c r="V136" s="407">
        <v>0</v>
      </c>
      <c r="W136" s="407">
        <v>0</v>
      </c>
      <c r="X136" s="407">
        <v>0</v>
      </c>
      <c r="Y136" s="407">
        <v>0</v>
      </c>
      <c r="Z136" s="407">
        <v>0</v>
      </c>
      <c r="AA136" s="407">
        <v>0</v>
      </c>
      <c r="AB136" s="407">
        <v>0</v>
      </c>
      <c r="AC136" s="407">
        <v>0</v>
      </c>
      <c r="AD136" s="407">
        <v>0</v>
      </c>
      <c r="AE136" s="407">
        <v>0</v>
      </c>
      <c r="AF136" s="407">
        <v>0</v>
      </c>
    </row>
    <row r="137" spans="1:32">
      <c r="A137" s="406" t="s">
        <v>895</v>
      </c>
      <c r="B137" s="407">
        <v>0</v>
      </c>
      <c r="C137" s="407">
        <v>0</v>
      </c>
      <c r="D137" s="407">
        <v>0</v>
      </c>
      <c r="E137" s="407">
        <v>0</v>
      </c>
      <c r="F137" s="407">
        <v>0</v>
      </c>
      <c r="G137" s="407">
        <v>0</v>
      </c>
      <c r="H137" s="407">
        <v>0</v>
      </c>
      <c r="I137" s="407">
        <v>0</v>
      </c>
      <c r="J137" s="407">
        <v>0</v>
      </c>
      <c r="K137" s="407">
        <v>0</v>
      </c>
      <c r="L137" s="407">
        <v>0</v>
      </c>
      <c r="M137" s="407">
        <v>0</v>
      </c>
      <c r="N137" s="407">
        <v>0</v>
      </c>
      <c r="O137" s="407">
        <v>0</v>
      </c>
      <c r="Q137" s="407">
        <v>0</v>
      </c>
      <c r="R137" s="407">
        <v>0</v>
      </c>
      <c r="S137" s="407">
        <v>0</v>
      </c>
      <c r="T137" s="407">
        <v>0</v>
      </c>
      <c r="U137" s="407">
        <v>0</v>
      </c>
      <c r="V137" s="407">
        <v>0</v>
      </c>
      <c r="W137" s="407">
        <v>0</v>
      </c>
      <c r="X137" s="407">
        <v>0</v>
      </c>
      <c r="Y137" s="407">
        <v>0</v>
      </c>
      <c r="Z137" s="407">
        <v>0</v>
      </c>
      <c r="AA137" s="407">
        <v>0</v>
      </c>
      <c r="AB137" s="407">
        <v>0</v>
      </c>
      <c r="AC137" s="407">
        <v>0</v>
      </c>
      <c r="AD137" s="407">
        <v>0</v>
      </c>
      <c r="AE137" s="407">
        <v>0</v>
      </c>
      <c r="AF137" s="407">
        <v>0</v>
      </c>
    </row>
    <row r="138" spans="1:32">
      <c r="A138" s="406" t="s">
        <v>896</v>
      </c>
      <c r="B138" s="407">
        <v>0</v>
      </c>
      <c r="C138" s="407">
        <v>0</v>
      </c>
      <c r="D138" s="407">
        <v>0</v>
      </c>
      <c r="E138" s="407">
        <v>0</v>
      </c>
      <c r="F138" s="407">
        <v>0</v>
      </c>
      <c r="G138" s="407">
        <v>0</v>
      </c>
      <c r="H138" s="407">
        <v>0</v>
      </c>
      <c r="I138" s="407">
        <v>0</v>
      </c>
      <c r="J138" s="407">
        <v>0</v>
      </c>
      <c r="K138" s="407">
        <v>0</v>
      </c>
      <c r="L138" s="407">
        <v>0</v>
      </c>
      <c r="M138" s="407">
        <v>0</v>
      </c>
      <c r="N138" s="407">
        <v>0</v>
      </c>
      <c r="O138" s="407">
        <v>0</v>
      </c>
      <c r="Q138" s="407">
        <v>0</v>
      </c>
      <c r="R138" s="407">
        <v>0</v>
      </c>
      <c r="S138" s="407">
        <v>0</v>
      </c>
      <c r="T138" s="407">
        <v>0</v>
      </c>
      <c r="U138" s="407">
        <v>0</v>
      </c>
      <c r="V138" s="407">
        <v>0</v>
      </c>
      <c r="W138" s="407">
        <v>0</v>
      </c>
      <c r="X138" s="407">
        <v>0</v>
      </c>
      <c r="Y138" s="407">
        <v>0</v>
      </c>
      <c r="Z138" s="407">
        <v>0</v>
      </c>
      <c r="AA138" s="407">
        <v>0</v>
      </c>
      <c r="AB138" s="407">
        <v>0</v>
      </c>
      <c r="AC138" s="407">
        <v>0</v>
      </c>
      <c r="AD138" s="407">
        <v>0</v>
      </c>
      <c r="AE138" s="407">
        <v>0</v>
      </c>
      <c r="AF138" s="407">
        <v>0</v>
      </c>
    </row>
    <row r="139" spans="1:32">
      <c r="A139" s="406" t="s">
        <v>897</v>
      </c>
      <c r="B139" s="407">
        <v>0</v>
      </c>
      <c r="C139" s="407">
        <v>0</v>
      </c>
      <c r="D139" s="407">
        <v>0</v>
      </c>
      <c r="E139" s="407">
        <v>0</v>
      </c>
      <c r="F139" s="407">
        <v>0</v>
      </c>
      <c r="G139" s="407">
        <v>0</v>
      </c>
      <c r="H139" s="407">
        <v>0</v>
      </c>
      <c r="I139" s="407">
        <v>0</v>
      </c>
      <c r="J139" s="407">
        <v>0</v>
      </c>
      <c r="K139" s="407">
        <v>0</v>
      </c>
      <c r="L139" s="407">
        <v>0</v>
      </c>
      <c r="M139" s="407">
        <v>0</v>
      </c>
      <c r="N139" s="407">
        <v>0</v>
      </c>
      <c r="O139" s="407">
        <v>0</v>
      </c>
      <c r="Q139" s="407">
        <v>0</v>
      </c>
      <c r="R139" s="407">
        <v>0</v>
      </c>
      <c r="S139" s="407">
        <v>0</v>
      </c>
      <c r="T139" s="407">
        <v>0</v>
      </c>
      <c r="U139" s="407">
        <v>0</v>
      </c>
      <c r="V139" s="407">
        <v>0</v>
      </c>
      <c r="W139" s="407">
        <v>0</v>
      </c>
      <c r="X139" s="407">
        <v>0</v>
      </c>
      <c r="Y139" s="407">
        <v>0</v>
      </c>
      <c r="Z139" s="407">
        <v>0</v>
      </c>
      <c r="AA139" s="407">
        <v>0</v>
      </c>
      <c r="AB139" s="407">
        <v>0</v>
      </c>
      <c r="AC139" s="407">
        <v>0</v>
      </c>
      <c r="AD139" s="407">
        <v>0</v>
      </c>
      <c r="AE139" s="407">
        <v>0</v>
      </c>
      <c r="AF139" s="407">
        <v>0</v>
      </c>
    </row>
    <row r="141" spans="1:32">
      <c r="A141" s="406" t="s">
        <v>898</v>
      </c>
      <c r="B141" s="407">
        <v>0</v>
      </c>
      <c r="C141" s="407">
        <v>0</v>
      </c>
      <c r="D141" s="407">
        <v>0</v>
      </c>
      <c r="E141" s="407">
        <v>0</v>
      </c>
      <c r="F141" s="407">
        <v>0</v>
      </c>
      <c r="G141" s="407">
        <v>0</v>
      </c>
      <c r="H141" s="407">
        <v>0</v>
      </c>
      <c r="I141" s="407">
        <v>0</v>
      </c>
      <c r="J141" s="407">
        <v>0</v>
      </c>
      <c r="K141" s="407">
        <v>0</v>
      </c>
      <c r="L141" s="407">
        <v>0</v>
      </c>
      <c r="M141" s="407">
        <v>0</v>
      </c>
      <c r="N141" s="407">
        <v>0</v>
      </c>
      <c r="O141" s="407">
        <v>0</v>
      </c>
      <c r="Q141" s="407">
        <v>0</v>
      </c>
      <c r="R141" s="407">
        <v>0</v>
      </c>
      <c r="S141" s="407">
        <v>0</v>
      </c>
      <c r="T141" s="407">
        <v>0</v>
      </c>
      <c r="U141" s="407">
        <v>0</v>
      </c>
      <c r="V141" s="407">
        <v>0</v>
      </c>
      <c r="W141" s="407">
        <v>0</v>
      </c>
      <c r="X141" s="407">
        <v>0</v>
      </c>
      <c r="Y141" s="407">
        <v>0</v>
      </c>
      <c r="Z141" s="407">
        <v>0</v>
      </c>
      <c r="AA141" s="407">
        <v>0</v>
      </c>
      <c r="AB141" s="407">
        <v>0</v>
      </c>
      <c r="AC141" s="407">
        <v>0</v>
      </c>
      <c r="AD141" s="407">
        <v>0</v>
      </c>
      <c r="AE141" s="407">
        <v>0</v>
      </c>
      <c r="AF141" s="407">
        <v>0</v>
      </c>
    </row>
    <row r="142" spans="1:32">
      <c r="A142" s="406" t="s">
        <v>899</v>
      </c>
      <c r="B142" s="407">
        <v>0</v>
      </c>
      <c r="C142" s="407">
        <v>0</v>
      </c>
      <c r="D142" s="407">
        <v>0</v>
      </c>
      <c r="E142" s="407">
        <v>0</v>
      </c>
      <c r="F142" s="407">
        <v>0</v>
      </c>
      <c r="G142" s="407">
        <v>0</v>
      </c>
      <c r="H142" s="407">
        <v>0</v>
      </c>
      <c r="I142" s="407">
        <v>0</v>
      </c>
      <c r="J142" s="407">
        <v>0</v>
      </c>
      <c r="K142" s="407">
        <v>0</v>
      </c>
      <c r="L142" s="407">
        <v>0</v>
      </c>
      <c r="M142" s="407">
        <v>0</v>
      </c>
      <c r="N142" s="407">
        <v>0</v>
      </c>
      <c r="O142" s="407">
        <v>0</v>
      </c>
      <c r="Q142" s="407">
        <v>0</v>
      </c>
      <c r="R142" s="407">
        <v>0</v>
      </c>
      <c r="S142" s="407">
        <v>0</v>
      </c>
      <c r="T142" s="407">
        <v>0</v>
      </c>
      <c r="U142" s="407">
        <v>0</v>
      </c>
      <c r="V142" s="407">
        <v>0</v>
      </c>
      <c r="W142" s="407">
        <v>0</v>
      </c>
      <c r="X142" s="407">
        <v>0</v>
      </c>
      <c r="Y142" s="407">
        <v>0</v>
      </c>
      <c r="Z142" s="407">
        <v>0</v>
      </c>
      <c r="AA142" s="407">
        <v>0</v>
      </c>
      <c r="AB142" s="407">
        <v>0</v>
      </c>
      <c r="AC142" s="407">
        <v>0</v>
      </c>
      <c r="AD142" s="407">
        <v>0</v>
      </c>
      <c r="AE142" s="407">
        <v>0</v>
      </c>
      <c r="AF142" s="407">
        <v>0</v>
      </c>
    </row>
    <row r="143" spans="1:32">
      <c r="A143" s="406" t="s">
        <v>900</v>
      </c>
      <c r="B143" s="407">
        <v>0</v>
      </c>
      <c r="C143" s="407">
        <v>0</v>
      </c>
      <c r="D143" s="407">
        <v>0</v>
      </c>
      <c r="E143" s="407">
        <v>0</v>
      </c>
      <c r="F143" s="407">
        <v>0</v>
      </c>
      <c r="G143" s="407">
        <v>0</v>
      </c>
      <c r="H143" s="407">
        <v>0</v>
      </c>
      <c r="I143" s="407">
        <v>0</v>
      </c>
      <c r="J143" s="407">
        <v>0</v>
      </c>
      <c r="K143" s="407">
        <v>0</v>
      </c>
      <c r="L143" s="407">
        <v>0</v>
      </c>
      <c r="M143" s="407">
        <v>0</v>
      </c>
      <c r="N143" s="407">
        <v>0</v>
      </c>
      <c r="O143" s="407">
        <v>0</v>
      </c>
      <c r="Q143" s="407">
        <v>0</v>
      </c>
      <c r="R143" s="407">
        <v>0</v>
      </c>
      <c r="S143" s="407">
        <v>0</v>
      </c>
      <c r="T143" s="407">
        <v>0</v>
      </c>
      <c r="U143" s="407">
        <v>0</v>
      </c>
      <c r="V143" s="407">
        <v>0</v>
      </c>
      <c r="W143" s="407">
        <v>0</v>
      </c>
      <c r="X143" s="407">
        <v>0</v>
      </c>
      <c r="Y143" s="407">
        <v>0</v>
      </c>
      <c r="Z143" s="407">
        <v>0</v>
      </c>
      <c r="AA143" s="407">
        <v>0</v>
      </c>
      <c r="AB143" s="407">
        <v>0</v>
      </c>
      <c r="AC143" s="407">
        <v>0</v>
      </c>
      <c r="AD143" s="407">
        <v>0</v>
      </c>
      <c r="AE143" s="407">
        <v>0</v>
      </c>
      <c r="AF143" s="407">
        <v>0</v>
      </c>
    </row>
    <row r="144" spans="1:32">
      <c r="A144" s="406" t="s">
        <v>901</v>
      </c>
      <c r="B144" s="407">
        <v>0</v>
      </c>
      <c r="C144" s="407">
        <v>0</v>
      </c>
      <c r="D144" s="407">
        <v>0</v>
      </c>
      <c r="E144" s="407">
        <v>0</v>
      </c>
      <c r="F144" s="407">
        <v>0</v>
      </c>
      <c r="G144" s="407">
        <v>0</v>
      </c>
      <c r="H144" s="407">
        <v>0</v>
      </c>
      <c r="I144" s="407">
        <v>0</v>
      </c>
      <c r="J144" s="407">
        <v>0</v>
      </c>
      <c r="K144" s="407">
        <v>0</v>
      </c>
      <c r="L144" s="407">
        <v>0</v>
      </c>
      <c r="M144" s="407">
        <v>0</v>
      </c>
      <c r="N144" s="407">
        <v>0</v>
      </c>
      <c r="O144" s="407">
        <v>0</v>
      </c>
      <c r="Q144" s="407">
        <v>0</v>
      </c>
      <c r="R144" s="407">
        <v>0</v>
      </c>
      <c r="S144" s="407">
        <v>0</v>
      </c>
      <c r="T144" s="407">
        <v>0</v>
      </c>
      <c r="U144" s="407">
        <v>0</v>
      </c>
      <c r="V144" s="407">
        <v>0</v>
      </c>
      <c r="W144" s="407">
        <v>0</v>
      </c>
      <c r="X144" s="407">
        <v>0</v>
      </c>
      <c r="Y144" s="407">
        <v>0</v>
      </c>
      <c r="Z144" s="407">
        <v>0</v>
      </c>
      <c r="AA144" s="407">
        <v>0</v>
      </c>
      <c r="AB144" s="407">
        <v>0</v>
      </c>
      <c r="AC144" s="407">
        <v>0</v>
      </c>
      <c r="AD144" s="407">
        <v>0</v>
      </c>
      <c r="AE144" s="407">
        <v>0</v>
      </c>
      <c r="AF144" s="407">
        <v>0</v>
      </c>
    </row>
    <row r="145" spans="1:32">
      <c r="A145" s="406" t="s">
        <v>902</v>
      </c>
      <c r="B145" s="407">
        <v>0</v>
      </c>
      <c r="C145" s="407">
        <v>0</v>
      </c>
      <c r="D145" s="407">
        <v>0</v>
      </c>
      <c r="E145" s="407">
        <v>0</v>
      </c>
      <c r="F145" s="407">
        <v>0</v>
      </c>
      <c r="G145" s="407">
        <v>0</v>
      </c>
      <c r="H145" s="407">
        <v>0</v>
      </c>
      <c r="I145" s="407">
        <v>0</v>
      </c>
      <c r="J145" s="407">
        <v>0</v>
      </c>
      <c r="K145" s="407">
        <v>0</v>
      </c>
      <c r="L145" s="407">
        <v>0</v>
      </c>
      <c r="M145" s="407">
        <v>0</v>
      </c>
      <c r="N145" s="407">
        <v>0</v>
      </c>
      <c r="O145" s="407">
        <v>0</v>
      </c>
      <c r="Q145" s="407">
        <v>0</v>
      </c>
      <c r="R145" s="407">
        <v>0</v>
      </c>
      <c r="S145" s="407">
        <v>0</v>
      </c>
      <c r="T145" s="407">
        <v>0</v>
      </c>
      <c r="U145" s="407">
        <v>0</v>
      </c>
      <c r="V145" s="407">
        <v>0</v>
      </c>
      <c r="W145" s="407">
        <v>0</v>
      </c>
      <c r="X145" s="407">
        <v>0</v>
      </c>
      <c r="Y145" s="407">
        <v>0</v>
      </c>
      <c r="Z145" s="407">
        <v>0</v>
      </c>
      <c r="AA145" s="407">
        <v>0</v>
      </c>
      <c r="AB145" s="407">
        <v>0</v>
      </c>
      <c r="AC145" s="407">
        <v>0</v>
      </c>
      <c r="AD145" s="407">
        <v>0</v>
      </c>
      <c r="AE145" s="407">
        <v>0</v>
      </c>
      <c r="AF145" s="407">
        <v>0</v>
      </c>
    </row>
    <row r="146" spans="1:32">
      <c r="A146" s="406" t="s">
        <v>903</v>
      </c>
      <c r="B146" s="407">
        <v>0</v>
      </c>
      <c r="C146" s="407">
        <v>0</v>
      </c>
      <c r="D146" s="407">
        <v>0</v>
      </c>
      <c r="E146" s="407">
        <v>0</v>
      </c>
      <c r="F146" s="407">
        <v>0</v>
      </c>
      <c r="G146" s="407">
        <v>0</v>
      </c>
      <c r="H146" s="407">
        <v>0</v>
      </c>
      <c r="I146" s="407">
        <v>0</v>
      </c>
      <c r="J146" s="407">
        <v>0</v>
      </c>
      <c r="K146" s="407">
        <v>0</v>
      </c>
      <c r="L146" s="407">
        <v>0</v>
      </c>
      <c r="M146" s="407">
        <v>0</v>
      </c>
      <c r="N146" s="407">
        <v>0</v>
      </c>
      <c r="O146" s="407">
        <v>0</v>
      </c>
      <c r="Q146" s="407">
        <v>0</v>
      </c>
      <c r="R146" s="407">
        <v>0</v>
      </c>
      <c r="S146" s="407">
        <v>0</v>
      </c>
      <c r="T146" s="407">
        <v>0</v>
      </c>
      <c r="U146" s="407">
        <v>0</v>
      </c>
      <c r="V146" s="407">
        <v>0</v>
      </c>
      <c r="W146" s="407">
        <v>0</v>
      </c>
      <c r="X146" s="407">
        <v>0</v>
      </c>
      <c r="Y146" s="407">
        <v>0</v>
      </c>
      <c r="Z146" s="407">
        <v>0</v>
      </c>
      <c r="AA146" s="407">
        <v>0</v>
      </c>
      <c r="AB146" s="407">
        <v>0</v>
      </c>
      <c r="AC146" s="407">
        <v>0</v>
      </c>
      <c r="AD146" s="407">
        <v>0</v>
      </c>
      <c r="AE146" s="407">
        <v>0</v>
      </c>
      <c r="AF146" s="407">
        <v>0</v>
      </c>
    </row>
    <row r="147" spans="1:32">
      <c r="A147" s="406" t="s">
        <v>904</v>
      </c>
      <c r="B147" s="407">
        <v>0</v>
      </c>
      <c r="C147" s="407">
        <v>0</v>
      </c>
      <c r="D147" s="407">
        <v>0</v>
      </c>
      <c r="E147" s="407">
        <v>0</v>
      </c>
      <c r="F147" s="407">
        <v>0</v>
      </c>
      <c r="G147" s="407">
        <v>0</v>
      </c>
      <c r="H147" s="407">
        <v>0</v>
      </c>
      <c r="I147" s="407">
        <v>0</v>
      </c>
      <c r="J147" s="407">
        <v>0</v>
      </c>
      <c r="K147" s="407">
        <v>0</v>
      </c>
      <c r="L147" s="407">
        <v>0</v>
      </c>
      <c r="M147" s="407">
        <v>0</v>
      </c>
      <c r="N147" s="407">
        <v>0</v>
      </c>
      <c r="O147" s="407">
        <v>0</v>
      </c>
      <c r="Q147" s="407">
        <v>0</v>
      </c>
      <c r="R147" s="407">
        <v>0</v>
      </c>
      <c r="S147" s="407">
        <v>0</v>
      </c>
      <c r="T147" s="407">
        <v>0</v>
      </c>
      <c r="U147" s="407">
        <v>0</v>
      </c>
      <c r="V147" s="407">
        <v>0</v>
      </c>
      <c r="W147" s="407">
        <v>0</v>
      </c>
      <c r="X147" s="407">
        <v>0</v>
      </c>
      <c r="Y147" s="407">
        <v>0</v>
      </c>
      <c r="Z147" s="407">
        <v>0</v>
      </c>
      <c r="AA147" s="407">
        <v>0</v>
      </c>
      <c r="AB147" s="407">
        <v>0</v>
      </c>
      <c r="AC147" s="407">
        <v>0</v>
      </c>
      <c r="AD147" s="407">
        <v>0</v>
      </c>
      <c r="AE147" s="407">
        <v>0</v>
      </c>
      <c r="AF147" s="407">
        <v>0</v>
      </c>
    </row>
    <row r="148" spans="1:32">
      <c r="A148" s="406" t="s">
        <v>905</v>
      </c>
      <c r="B148" s="407">
        <v>0</v>
      </c>
      <c r="C148" s="407">
        <v>0</v>
      </c>
      <c r="D148" s="407">
        <v>0</v>
      </c>
      <c r="E148" s="407">
        <v>0</v>
      </c>
      <c r="F148" s="407">
        <v>0</v>
      </c>
      <c r="G148" s="407">
        <v>0</v>
      </c>
      <c r="H148" s="407">
        <v>0</v>
      </c>
      <c r="I148" s="407">
        <v>0</v>
      </c>
      <c r="J148" s="407">
        <v>0</v>
      </c>
      <c r="K148" s="407">
        <v>0</v>
      </c>
      <c r="L148" s="407">
        <v>0</v>
      </c>
      <c r="M148" s="407">
        <v>0</v>
      </c>
      <c r="N148" s="407">
        <v>0</v>
      </c>
      <c r="O148" s="407">
        <v>0</v>
      </c>
      <c r="Q148" s="407">
        <v>0</v>
      </c>
      <c r="R148" s="407">
        <v>0</v>
      </c>
      <c r="S148" s="407">
        <v>0</v>
      </c>
      <c r="T148" s="407">
        <v>0</v>
      </c>
      <c r="U148" s="407">
        <v>0</v>
      </c>
      <c r="V148" s="407">
        <v>0</v>
      </c>
      <c r="W148" s="407">
        <v>0</v>
      </c>
      <c r="X148" s="407">
        <v>0</v>
      </c>
      <c r="Y148" s="407">
        <v>0</v>
      </c>
      <c r="Z148" s="407">
        <v>0</v>
      </c>
      <c r="AA148" s="407">
        <v>0</v>
      </c>
      <c r="AB148" s="407">
        <v>0</v>
      </c>
      <c r="AC148" s="407">
        <v>0</v>
      </c>
      <c r="AD148" s="407">
        <v>0</v>
      </c>
      <c r="AE148" s="407">
        <v>0</v>
      </c>
      <c r="AF148" s="407">
        <v>0</v>
      </c>
    </row>
    <row r="149" spans="1:32">
      <c r="A149" s="406" t="s">
        <v>906</v>
      </c>
      <c r="B149" s="407">
        <v>0</v>
      </c>
      <c r="C149" s="407">
        <v>0</v>
      </c>
      <c r="D149" s="407">
        <v>0</v>
      </c>
      <c r="E149" s="407">
        <v>0</v>
      </c>
      <c r="F149" s="407">
        <v>0</v>
      </c>
      <c r="G149" s="407">
        <v>0</v>
      </c>
      <c r="H149" s="407">
        <v>0</v>
      </c>
      <c r="I149" s="407">
        <v>0</v>
      </c>
      <c r="J149" s="407">
        <v>0</v>
      </c>
      <c r="K149" s="407">
        <v>0</v>
      </c>
      <c r="L149" s="407">
        <v>0</v>
      </c>
      <c r="M149" s="407">
        <v>0</v>
      </c>
      <c r="N149" s="407">
        <v>0</v>
      </c>
      <c r="O149" s="407">
        <v>0</v>
      </c>
      <c r="Q149" s="407">
        <v>0</v>
      </c>
      <c r="R149" s="407">
        <v>0</v>
      </c>
      <c r="S149" s="407">
        <v>0</v>
      </c>
      <c r="T149" s="407">
        <v>0</v>
      </c>
      <c r="U149" s="407">
        <v>0</v>
      </c>
      <c r="V149" s="407">
        <v>0</v>
      </c>
      <c r="W149" s="407">
        <v>0</v>
      </c>
      <c r="X149" s="407">
        <v>0</v>
      </c>
      <c r="Y149" s="407">
        <v>0</v>
      </c>
      <c r="Z149" s="407">
        <v>0</v>
      </c>
      <c r="AA149" s="407">
        <v>0</v>
      </c>
      <c r="AB149" s="407">
        <v>0</v>
      </c>
      <c r="AC149" s="407">
        <v>0</v>
      </c>
      <c r="AD149" s="407">
        <v>0</v>
      </c>
      <c r="AE149" s="407">
        <v>0</v>
      </c>
      <c r="AF149" s="407">
        <v>0</v>
      </c>
    </row>
    <row r="150" spans="1:32">
      <c r="A150" s="406" t="s">
        <v>907</v>
      </c>
      <c r="B150" s="407">
        <v>0</v>
      </c>
      <c r="C150" s="407">
        <v>0</v>
      </c>
      <c r="D150" s="407">
        <v>0</v>
      </c>
      <c r="E150" s="407">
        <v>0</v>
      </c>
      <c r="F150" s="407">
        <v>0</v>
      </c>
      <c r="G150" s="407">
        <v>0</v>
      </c>
      <c r="H150" s="407">
        <v>0</v>
      </c>
      <c r="I150" s="407">
        <v>0</v>
      </c>
      <c r="J150" s="407">
        <v>0</v>
      </c>
      <c r="K150" s="407">
        <v>0</v>
      </c>
      <c r="L150" s="407">
        <v>0</v>
      </c>
      <c r="M150" s="407">
        <v>0</v>
      </c>
      <c r="N150" s="407">
        <v>0</v>
      </c>
      <c r="O150" s="407">
        <v>0</v>
      </c>
      <c r="Q150" s="407">
        <v>0</v>
      </c>
      <c r="R150" s="407">
        <v>0</v>
      </c>
      <c r="S150" s="407">
        <v>0</v>
      </c>
      <c r="T150" s="407">
        <v>0</v>
      </c>
      <c r="U150" s="407">
        <v>0</v>
      </c>
      <c r="V150" s="407">
        <v>0</v>
      </c>
      <c r="W150" s="407">
        <v>0</v>
      </c>
      <c r="X150" s="407">
        <v>0</v>
      </c>
      <c r="Y150" s="407">
        <v>0</v>
      </c>
      <c r="Z150" s="407">
        <v>0</v>
      </c>
      <c r="AA150" s="407">
        <v>0</v>
      </c>
      <c r="AB150" s="407">
        <v>0</v>
      </c>
      <c r="AC150" s="407">
        <v>0</v>
      </c>
      <c r="AD150" s="407">
        <v>0</v>
      </c>
      <c r="AE150" s="407">
        <v>0</v>
      </c>
      <c r="AF150" s="407">
        <v>0</v>
      </c>
    </row>
    <row r="152" spans="1:32">
      <c r="A152" s="406" t="s">
        <v>908</v>
      </c>
      <c r="B152" s="407">
        <v>0</v>
      </c>
      <c r="C152" s="407">
        <v>0</v>
      </c>
      <c r="D152" s="407">
        <v>0</v>
      </c>
      <c r="E152" s="407">
        <v>0</v>
      </c>
      <c r="F152" s="407">
        <v>0</v>
      </c>
      <c r="G152" s="407">
        <v>0</v>
      </c>
      <c r="H152" s="407">
        <v>0</v>
      </c>
      <c r="I152" s="407">
        <v>0</v>
      </c>
      <c r="J152" s="407">
        <v>0</v>
      </c>
      <c r="K152" s="407">
        <v>0</v>
      </c>
      <c r="L152" s="407">
        <v>0</v>
      </c>
      <c r="M152" s="407">
        <v>0</v>
      </c>
      <c r="N152" s="407">
        <v>0</v>
      </c>
      <c r="O152" s="407">
        <v>0</v>
      </c>
      <c r="Q152" s="407">
        <v>0</v>
      </c>
      <c r="R152" s="407">
        <v>0</v>
      </c>
      <c r="S152" s="407">
        <v>0</v>
      </c>
      <c r="T152" s="407">
        <v>0</v>
      </c>
      <c r="U152" s="407">
        <v>0</v>
      </c>
      <c r="V152" s="407">
        <v>0</v>
      </c>
      <c r="W152" s="407">
        <v>0</v>
      </c>
      <c r="X152" s="407">
        <v>0</v>
      </c>
      <c r="Y152" s="407">
        <v>0</v>
      </c>
      <c r="Z152" s="407">
        <v>0</v>
      </c>
      <c r="AA152" s="407">
        <v>0</v>
      </c>
      <c r="AB152" s="407">
        <v>0</v>
      </c>
      <c r="AC152" s="407">
        <v>0</v>
      </c>
      <c r="AD152" s="407">
        <v>0</v>
      </c>
      <c r="AE152" s="407">
        <v>0</v>
      </c>
      <c r="AF152" s="407">
        <v>0</v>
      </c>
    </row>
    <row r="154" spans="1:32">
      <c r="A154" s="406" t="s">
        <v>909</v>
      </c>
      <c r="B154" s="407">
        <v>10501.311379999999</v>
      </c>
      <c r="C154" s="407">
        <v>7963.8724599999996</v>
      </c>
      <c r="D154" s="407">
        <v>5688.5836399999998</v>
      </c>
      <c r="E154" s="407">
        <v>3697.6920700000001</v>
      </c>
      <c r="F154" s="407">
        <v>4449.4309899999998</v>
      </c>
      <c r="G154" s="407">
        <v>6471.24334</v>
      </c>
      <c r="H154" s="407">
        <v>11509.882820000001</v>
      </c>
      <c r="I154" s="407">
        <v>12398.339099999999</v>
      </c>
      <c r="J154" s="407">
        <v>12808.491176944701</v>
      </c>
      <c r="K154" s="407">
        <v>13447.246514889701</v>
      </c>
      <c r="L154" s="407">
        <v>13731.922662340099</v>
      </c>
      <c r="M154" s="407">
        <v>17197.524747665499</v>
      </c>
      <c r="N154" s="407">
        <v>16350.781773902399</v>
      </c>
      <c r="O154" s="407">
        <v>15126.036266470001</v>
      </c>
      <c r="Q154" s="407">
        <v>13479.7304914817</v>
      </c>
      <c r="R154" s="407">
        <v>7756.9316019482703</v>
      </c>
      <c r="S154" s="407">
        <v>5648.7482512034303</v>
      </c>
      <c r="T154" s="407">
        <v>8173.4847175499499</v>
      </c>
      <c r="U154" s="407">
        <v>10858.1328026719</v>
      </c>
      <c r="V154" s="407">
        <v>12669.446055316101</v>
      </c>
      <c r="W154" s="407">
        <v>12498.4615836143</v>
      </c>
      <c r="X154" s="407">
        <v>11891.699107319</v>
      </c>
      <c r="Y154" s="407">
        <v>10671.1081679744</v>
      </c>
      <c r="Z154" s="407">
        <v>12536.934320548</v>
      </c>
      <c r="AA154" s="407">
        <v>15952.111754788601</v>
      </c>
      <c r="AB154" s="407">
        <v>14879.9081580601</v>
      </c>
      <c r="AC154" s="407">
        <v>13243.1606402616</v>
      </c>
      <c r="AD154" s="407">
        <v>7423.9572430092103</v>
      </c>
      <c r="AE154" s="407">
        <v>5437.7033833067799</v>
      </c>
      <c r="AF154" s="407">
        <v>7868.4766168793703</v>
      </c>
    </row>
    <row r="155" spans="1:32">
      <c r="A155" s="406" t="s">
        <v>910</v>
      </c>
      <c r="B155" s="407">
        <v>-891.58591999999896</v>
      </c>
      <c r="C155" s="407">
        <v>-2936.4142400000001</v>
      </c>
      <c r="D155" s="407">
        <v>-2025.37266999999</v>
      </c>
      <c r="E155" s="407">
        <v>-1128.06873</v>
      </c>
      <c r="F155" s="407">
        <v>-572.62765999999999</v>
      </c>
      <c r="G155" s="407">
        <v>447.83064999999999</v>
      </c>
      <c r="H155" s="407">
        <v>-327.92522000000002</v>
      </c>
      <c r="I155" s="407">
        <v>473.54692</v>
      </c>
      <c r="J155" s="407">
        <v>0</v>
      </c>
      <c r="K155" s="407">
        <v>0</v>
      </c>
      <c r="L155" s="407">
        <v>0</v>
      </c>
      <c r="M155" s="407">
        <v>0</v>
      </c>
      <c r="N155" s="407">
        <v>0</v>
      </c>
      <c r="O155" s="407">
        <v>0</v>
      </c>
      <c r="Q155" s="407">
        <v>0</v>
      </c>
      <c r="R155" s="407">
        <v>0</v>
      </c>
      <c r="S155" s="407">
        <v>0</v>
      </c>
      <c r="T155" s="407">
        <v>0</v>
      </c>
      <c r="U155" s="407">
        <v>0</v>
      </c>
      <c r="V155" s="407">
        <v>0</v>
      </c>
      <c r="W155" s="407">
        <v>0</v>
      </c>
      <c r="X155" s="407">
        <v>0</v>
      </c>
      <c r="Y155" s="407">
        <v>0</v>
      </c>
      <c r="Z155" s="407">
        <v>0</v>
      </c>
      <c r="AA155" s="407">
        <v>0</v>
      </c>
      <c r="AB155" s="407">
        <v>0</v>
      </c>
      <c r="AC155" s="407">
        <v>0</v>
      </c>
      <c r="AD155" s="407">
        <v>0</v>
      </c>
      <c r="AE155" s="407">
        <v>0</v>
      </c>
      <c r="AF155" s="407">
        <v>0</v>
      </c>
    </row>
    <row r="156" spans="1:32">
      <c r="A156" s="406" t="s">
        <v>911</v>
      </c>
      <c r="B156" s="407">
        <v>1779.70975</v>
      </c>
      <c r="C156" s="407">
        <v>670.40810999999997</v>
      </c>
      <c r="D156" s="407">
        <v>35.085520000000002</v>
      </c>
      <c r="E156" s="407">
        <v>-1445.4696100000001</v>
      </c>
      <c r="F156" s="407">
        <v>-1786.23307</v>
      </c>
      <c r="G156" s="407">
        <v>-432.33969999999999</v>
      </c>
      <c r="H156" s="407">
        <v>-973.03665999999998</v>
      </c>
      <c r="I156" s="407">
        <v>-374.54003999999998</v>
      </c>
      <c r="J156" s="407">
        <v>0</v>
      </c>
      <c r="K156" s="407">
        <v>0</v>
      </c>
      <c r="L156" s="407">
        <v>0</v>
      </c>
      <c r="M156" s="407">
        <v>0</v>
      </c>
      <c r="N156" s="407">
        <v>0</v>
      </c>
      <c r="O156" s="407">
        <v>0</v>
      </c>
      <c r="Q156" s="407">
        <v>0</v>
      </c>
      <c r="R156" s="407">
        <v>0</v>
      </c>
      <c r="S156" s="407">
        <v>0</v>
      </c>
      <c r="T156" s="407">
        <v>0</v>
      </c>
      <c r="U156" s="407">
        <v>0</v>
      </c>
      <c r="V156" s="407">
        <v>0</v>
      </c>
      <c r="W156" s="407">
        <v>0</v>
      </c>
      <c r="X156" s="407">
        <v>0</v>
      </c>
      <c r="Y156" s="407">
        <v>0</v>
      </c>
      <c r="Z156" s="407">
        <v>0</v>
      </c>
      <c r="AA156" s="407">
        <v>0</v>
      </c>
      <c r="AB156" s="407">
        <v>0</v>
      </c>
      <c r="AC156" s="407">
        <v>0</v>
      </c>
      <c r="AD156" s="407">
        <v>0</v>
      </c>
      <c r="AE156" s="407">
        <v>0</v>
      </c>
      <c r="AF156" s="407">
        <v>0</v>
      </c>
    </row>
    <row r="157" spans="1:32">
      <c r="A157" s="406" t="s">
        <v>912</v>
      </c>
      <c r="B157" s="407">
        <v>63.234519999999897</v>
      </c>
      <c r="C157" s="407">
        <v>69.544529999999995</v>
      </c>
      <c r="D157" s="407">
        <v>77.812060000000002</v>
      </c>
      <c r="E157" s="407">
        <v>68.048789999999997</v>
      </c>
      <c r="F157" s="407">
        <v>68.876000000000005</v>
      </c>
      <c r="G157" s="407">
        <v>73.019630000000006</v>
      </c>
      <c r="H157" s="407">
        <v>93.432810000000003</v>
      </c>
      <c r="I157" s="407">
        <v>73.199250000000006</v>
      </c>
      <c r="J157" s="407">
        <v>59.648000000000003</v>
      </c>
      <c r="K157" s="407">
        <v>57.942</v>
      </c>
      <c r="L157" s="407">
        <v>59.646999999999998</v>
      </c>
      <c r="M157" s="407">
        <v>56.6</v>
      </c>
      <c r="N157" s="407">
        <v>71.388999999999996</v>
      </c>
      <c r="O157" s="407">
        <v>63.790999999999997</v>
      </c>
      <c r="Q157" s="407">
        <v>75.188000000000002</v>
      </c>
      <c r="R157" s="407">
        <v>59.991999999999997</v>
      </c>
      <c r="S157" s="407">
        <v>76.655000000000001</v>
      </c>
      <c r="T157" s="407">
        <v>71.59</v>
      </c>
      <c r="U157" s="407">
        <v>67.088999999999999</v>
      </c>
      <c r="V157" s="407">
        <v>82.286000000000001</v>
      </c>
      <c r="W157" s="407">
        <v>68.155000000000001</v>
      </c>
      <c r="X157" s="407">
        <v>73.22</v>
      </c>
      <c r="Y157" s="407">
        <v>66.888000000000005</v>
      </c>
      <c r="Z157" s="407">
        <v>58.024000000000001</v>
      </c>
      <c r="AA157" s="407">
        <v>76.518000000000001</v>
      </c>
      <c r="AB157" s="407">
        <v>65.12</v>
      </c>
      <c r="AC157" s="407">
        <v>73.984999999999999</v>
      </c>
      <c r="AD157" s="407">
        <v>65.12</v>
      </c>
      <c r="AE157" s="407">
        <v>79.251000000000005</v>
      </c>
      <c r="AF157" s="407">
        <v>70.387</v>
      </c>
    </row>
    <row r="158" spans="1:32">
      <c r="A158" s="406" t="s">
        <v>913</v>
      </c>
      <c r="B158" s="407">
        <v>11490.1605</v>
      </c>
      <c r="C158" s="407">
        <v>9700.1118399999996</v>
      </c>
      <c r="D158" s="407">
        <v>4507.4706100000003</v>
      </c>
      <c r="E158" s="407">
        <v>4690.5661899999996</v>
      </c>
      <c r="F158" s="407">
        <v>1629.9211</v>
      </c>
      <c r="G158" s="407">
        <v>-3828.3666899999998</v>
      </c>
      <c r="H158" s="407">
        <v>-7804.8950199999999</v>
      </c>
      <c r="I158" s="407">
        <v>-9647.0389699999996</v>
      </c>
      <c r="J158" s="407">
        <v>-10238.7992089114</v>
      </c>
      <c r="K158" s="407">
        <v>-8117.0911736202897</v>
      </c>
      <c r="L158" s="407">
        <v>-388.2030804515</v>
      </c>
      <c r="M158" s="407">
        <v>7469.7787526380898</v>
      </c>
      <c r="N158" s="407">
        <v>11643.0328885165</v>
      </c>
      <c r="O158" s="407">
        <v>10697.003595833399</v>
      </c>
      <c r="Q158" s="407">
        <v>6894.15108338358</v>
      </c>
      <c r="R158" s="407">
        <v>2677.9355295318601</v>
      </c>
      <c r="S158" s="407">
        <v>251.325917870111</v>
      </c>
      <c r="T158" s="407">
        <v>-5032.49157753903</v>
      </c>
      <c r="U158" s="407">
        <v>-8410.8391655715495</v>
      </c>
      <c r="V158" s="407">
        <v>-10492.1156971075</v>
      </c>
      <c r="W158" s="407">
        <v>-10005.110981366401</v>
      </c>
      <c r="X158" s="407">
        <v>-8507.3603035424894</v>
      </c>
      <c r="Y158" s="407">
        <v>-402.568350864781</v>
      </c>
      <c r="Z158" s="407">
        <v>7688.1351238235802</v>
      </c>
      <c r="AA158" s="407">
        <v>11986.9191318885</v>
      </c>
      <c r="AB158" s="407">
        <v>11010.732719085599</v>
      </c>
      <c r="AC158" s="407">
        <v>7094.2145073027204</v>
      </c>
      <c r="AD158" s="407">
        <v>2753.6938059282202</v>
      </c>
      <c r="AE158" s="407">
        <v>258.203939159909</v>
      </c>
      <c r="AF158" s="407">
        <v>-4859.0326717282396</v>
      </c>
    </row>
    <row r="159" spans="1:32">
      <c r="A159" s="406" t="s">
        <v>914</v>
      </c>
      <c r="B159" s="407">
        <v>-16.570799999999998</v>
      </c>
      <c r="C159" s="407">
        <v>-24.443930000000002</v>
      </c>
      <c r="D159" s="407">
        <v>-15.228759999999999</v>
      </c>
      <c r="E159" s="407">
        <v>-10.848599999999999</v>
      </c>
      <c r="F159" s="407">
        <v>-4.4169599999999898</v>
      </c>
      <c r="G159" s="407">
        <v>-4.4386700000000001</v>
      </c>
      <c r="H159" s="407">
        <v>-2.6743399999999999</v>
      </c>
      <c r="I159" s="407">
        <v>-3.8553199999999999</v>
      </c>
      <c r="J159" s="407">
        <v>0</v>
      </c>
      <c r="K159" s="407">
        <v>0</v>
      </c>
      <c r="L159" s="407">
        <v>0</v>
      </c>
      <c r="M159" s="407">
        <v>0</v>
      </c>
      <c r="N159" s="407">
        <v>0</v>
      </c>
      <c r="O159" s="407">
        <v>0</v>
      </c>
      <c r="Q159" s="407">
        <v>0</v>
      </c>
      <c r="R159" s="407">
        <v>0</v>
      </c>
      <c r="S159" s="407">
        <v>0</v>
      </c>
      <c r="T159" s="407">
        <v>0</v>
      </c>
      <c r="U159" s="407">
        <v>0</v>
      </c>
      <c r="V159" s="407">
        <v>0</v>
      </c>
      <c r="W159" s="407">
        <v>0</v>
      </c>
      <c r="X159" s="407">
        <v>0</v>
      </c>
      <c r="Y159" s="407">
        <v>0</v>
      </c>
      <c r="Z159" s="407">
        <v>0</v>
      </c>
      <c r="AA159" s="407">
        <v>0</v>
      </c>
      <c r="AB159" s="407">
        <v>0</v>
      </c>
      <c r="AC159" s="407">
        <v>0</v>
      </c>
      <c r="AD159" s="407">
        <v>0</v>
      </c>
      <c r="AE159" s="407">
        <v>0</v>
      </c>
      <c r="AF159" s="407">
        <v>0</v>
      </c>
    </row>
    <row r="160" spans="1:32">
      <c r="A160" s="406" t="s">
        <v>915</v>
      </c>
      <c r="B160" s="407">
        <v>0</v>
      </c>
      <c r="C160" s="407">
        <v>0</v>
      </c>
      <c r="D160" s="407">
        <v>0</v>
      </c>
      <c r="E160" s="407">
        <v>0</v>
      </c>
      <c r="F160" s="407">
        <v>0</v>
      </c>
      <c r="G160" s="407">
        <v>0</v>
      </c>
      <c r="H160" s="407">
        <v>0</v>
      </c>
      <c r="I160" s="407">
        <v>0</v>
      </c>
      <c r="J160" s="407">
        <v>0</v>
      </c>
      <c r="K160" s="407">
        <v>0</v>
      </c>
      <c r="L160" s="407">
        <v>0</v>
      </c>
      <c r="M160" s="407">
        <v>0</v>
      </c>
      <c r="N160" s="407">
        <v>0</v>
      </c>
      <c r="O160" s="407">
        <v>0</v>
      </c>
      <c r="Q160" s="407">
        <v>0</v>
      </c>
      <c r="R160" s="407">
        <v>0</v>
      </c>
      <c r="S160" s="407">
        <v>0</v>
      </c>
      <c r="T160" s="407">
        <v>0</v>
      </c>
      <c r="U160" s="407">
        <v>0</v>
      </c>
      <c r="V160" s="407">
        <v>0</v>
      </c>
      <c r="W160" s="407">
        <v>0</v>
      </c>
      <c r="X160" s="407">
        <v>0</v>
      </c>
      <c r="Y160" s="407">
        <v>0</v>
      </c>
      <c r="Z160" s="407">
        <v>0</v>
      </c>
      <c r="AA160" s="407">
        <v>0</v>
      </c>
      <c r="AB160" s="407">
        <v>0</v>
      </c>
      <c r="AC160" s="407">
        <v>0</v>
      </c>
      <c r="AD160" s="407">
        <v>0</v>
      </c>
      <c r="AE160" s="407">
        <v>0</v>
      </c>
      <c r="AF160" s="407">
        <v>0</v>
      </c>
    </row>
    <row r="161" spans="1:33">
      <c r="A161" s="406" t="s">
        <v>916</v>
      </c>
      <c r="B161" s="407">
        <v>0</v>
      </c>
      <c r="C161" s="407">
        <v>0</v>
      </c>
      <c r="D161" s="407">
        <v>0</v>
      </c>
      <c r="E161" s="407">
        <v>0</v>
      </c>
      <c r="F161" s="407">
        <v>0</v>
      </c>
      <c r="G161" s="407">
        <v>0</v>
      </c>
      <c r="H161" s="407">
        <v>0</v>
      </c>
      <c r="I161" s="407">
        <v>0</v>
      </c>
      <c r="J161" s="407">
        <v>0</v>
      </c>
      <c r="K161" s="407">
        <v>0</v>
      </c>
      <c r="L161" s="407">
        <v>0</v>
      </c>
      <c r="M161" s="407">
        <v>0</v>
      </c>
      <c r="N161" s="407">
        <v>0</v>
      </c>
      <c r="O161" s="407">
        <v>0</v>
      </c>
      <c r="Q161" s="407">
        <v>0</v>
      </c>
      <c r="R161" s="407">
        <v>0</v>
      </c>
      <c r="S161" s="407">
        <v>0</v>
      </c>
      <c r="T161" s="407">
        <v>0</v>
      </c>
      <c r="U161" s="407">
        <v>0</v>
      </c>
      <c r="V161" s="407">
        <v>0</v>
      </c>
      <c r="W161" s="407">
        <v>0</v>
      </c>
      <c r="X161" s="407">
        <v>0</v>
      </c>
      <c r="Y161" s="407">
        <v>0</v>
      </c>
      <c r="Z161" s="407">
        <v>0</v>
      </c>
      <c r="AA161" s="407">
        <v>0</v>
      </c>
      <c r="AB161" s="407">
        <v>0</v>
      </c>
      <c r="AC161" s="407">
        <v>0</v>
      </c>
      <c r="AD161" s="407">
        <v>0</v>
      </c>
      <c r="AE161" s="407">
        <v>0</v>
      </c>
      <c r="AF161" s="407">
        <v>0</v>
      </c>
    </row>
    <row r="162" spans="1:33">
      <c r="A162" s="406" t="s">
        <v>917</v>
      </c>
      <c r="B162" s="407">
        <v>22926.259429999998</v>
      </c>
      <c r="C162" s="407">
        <v>15443.07877</v>
      </c>
      <c r="D162" s="407">
        <v>8268.3503999999994</v>
      </c>
      <c r="E162" s="407">
        <v>5871.92011</v>
      </c>
      <c r="F162" s="407">
        <v>3784.9504000000002</v>
      </c>
      <c r="G162" s="407">
        <v>2726.9485599999998</v>
      </c>
      <c r="H162" s="407">
        <v>2494.7843899999998</v>
      </c>
      <c r="I162" s="407">
        <v>2919.65094</v>
      </c>
      <c r="J162" s="407">
        <v>2629.33996803331</v>
      </c>
      <c r="K162" s="407">
        <v>5388.0973412694702</v>
      </c>
      <c r="L162" s="407">
        <v>13403.3665818886</v>
      </c>
      <c r="M162" s="407">
        <v>24723.903500303601</v>
      </c>
      <c r="N162" s="407">
        <v>28065.203662419</v>
      </c>
      <c r="O162" s="407">
        <v>25886.830862303501</v>
      </c>
      <c r="P162" s="118">
        <f>SUM(D162:O162)</f>
        <v>126163.34671621749</v>
      </c>
      <c r="Q162" s="407">
        <v>20449.0695748652</v>
      </c>
      <c r="R162" s="407">
        <v>10494.8591314801</v>
      </c>
      <c r="S162" s="407">
        <v>5976.7291690735401</v>
      </c>
      <c r="T162" s="407">
        <v>3212.58314001091</v>
      </c>
      <c r="U162" s="407">
        <v>2514.3826371004302</v>
      </c>
      <c r="V162" s="407">
        <v>2259.6163582086501</v>
      </c>
      <c r="W162" s="407">
        <v>2561.5056022479198</v>
      </c>
      <c r="X162" s="407">
        <v>3457.5588037765901</v>
      </c>
      <c r="Y162" s="407">
        <v>10335.427817109599</v>
      </c>
      <c r="Z162" s="407">
        <v>20283.0934443716</v>
      </c>
      <c r="AA162" s="407">
        <v>28015.548886677101</v>
      </c>
      <c r="AB162" s="407">
        <v>25955.7608771458</v>
      </c>
      <c r="AC162" s="407">
        <v>20411.360147564301</v>
      </c>
      <c r="AD162" s="407">
        <v>10242.7710489374</v>
      </c>
      <c r="AE162" s="407">
        <v>5775.1583224666902</v>
      </c>
      <c r="AF162" s="407">
        <v>3079.83094515112</v>
      </c>
      <c r="AG162" s="118">
        <f>SUM(U162:AF162)</f>
        <v>134892.01489075721</v>
      </c>
    </row>
    <row r="164" spans="1:33">
      <c r="A164" s="406" t="s">
        <v>918</v>
      </c>
      <c r="B164" s="407">
        <v>54.667180000000002</v>
      </c>
      <c r="C164" s="407">
        <v>70.121309999999994</v>
      </c>
      <c r="D164" s="407">
        <v>64.606819999999999</v>
      </c>
      <c r="E164" s="407">
        <v>60.657379999999897</v>
      </c>
      <c r="F164" s="407">
        <v>75.138369999999995</v>
      </c>
      <c r="G164" s="407">
        <v>63.365220000000001</v>
      </c>
      <c r="H164" s="407">
        <v>74.087519999999998</v>
      </c>
      <c r="I164" s="407">
        <v>74.611159999999998</v>
      </c>
      <c r="J164" s="407">
        <v>92.694999999999993</v>
      </c>
      <c r="K164" s="407">
        <v>95.313000000000002</v>
      </c>
      <c r="L164" s="407">
        <v>82.308000000000007</v>
      </c>
      <c r="M164" s="407">
        <v>79.055000000000007</v>
      </c>
      <c r="N164" s="407">
        <v>58.951999999999998</v>
      </c>
      <c r="O164" s="407">
        <v>56.399000000000001</v>
      </c>
      <c r="Q164" s="407">
        <v>63.316000000000003</v>
      </c>
      <c r="R164" s="407">
        <v>52.444000000000003</v>
      </c>
      <c r="S164" s="407">
        <v>53.899000000000001</v>
      </c>
      <c r="T164" s="407">
        <v>51.933999999999997</v>
      </c>
      <c r="U164" s="407">
        <v>52.954999999999998</v>
      </c>
      <c r="V164" s="407">
        <v>57.750999999999998</v>
      </c>
      <c r="W164" s="407">
        <v>58.161000000000001</v>
      </c>
      <c r="X164" s="407">
        <v>55.966000000000001</v>
      </c>
      <c r="Y164" s="407">
        <v>55.838999999999999</v>
      </c>
      <c r="Z164" s="407">
        <v>51.015999999999998</v>
      </c>
      <c r="AA164" s="407">
        <v>61.951999999999998</v>
      </c>
      <c r="AB164" s="407">
        <v>58.378999999999998</v>
      </c>
      <c r="AC164" s="407">
        <v>59.451000000000001</v>
      </c>
      <c r="AD164" s="407">
        <v>52.459000000000003</v>
      </c>
      <c r="AE164" s="407">
        <v>55.625</v>
      </c>
      <c r="AF164" s="407">
        <v>50.036000000000001</v>
      </c>
    </row>
    <row r="165" spans="1:33">
      <c r="A165" s="406" t="s">
        <v>919</v>
      </c>
      <c r="B165" s="407">
        <v>4.6199500000000002</v>
      </c>
      <c r="C165" s="407">
        <v>4.22743</v>
      </c>
      <c r="D165" s="407">
        <v>7.4044600000000003</v>
      </c>
      <c r="E165" s="407">
        <v>4.1894</v>
      </c>
      <c r="F165" s="407">
        <v>4.9546000000000001</v>
      </c>
      <c r="G165" s="407">
        <v>6.1903499999999996</v>
      </c>
      <c r="H165" s="407">
        <v>5.4218199999999896</v>
      </c>
      <c r="I165" s="407">
        <v>6.2377900000000004</v>
      </c>
      <c r="J165" s="407">
        <v>5.12</v>
      </c>
      <c r="K165" s="407">
        <v>6.12</v>
      </c>
      <c r="L165" s="407">
        <v>6.3920000000000003</v>
      </c>
      <c r="M165" s="407">
        <v>5.12</v>
      </c>
      <c r="N165" s="407">
        <v>2.7549999999999999</v>
      </c>
      <c r="O165" s="407">
        <v>2.7549999999999999</v>
      </c>
      <c r="Q165" s="407">
        <v>2.7549999999999999</v>
      </c>
      <c r="R165" s="407">
        <v>4.9550000000000001</v>
      </c>
      <c r="S165" s="407">
        <v>2.7549999999999999</v>
      </c>
      <c r="T165" s="407">
        <v>2.7549999999999999</v>
      </c>
      <c r="U165" s="407">
        <v>3.7549999999999999</v>
      </c>
      <c r="V165" s="407">
        <v>2.7549999999999999</v>
      </c>
      <c r="W165" s="407">
        <v>2.7549999999999999</v>
      </c>
      <c r="X165" s="407">
        <v>3.7549999999999999</v>
      </c>
      <c r="Y165" s="407">
        <v>3.9550000000000001</v>
      </c>
      <c r="Z165" s="407">
        <v>2.7549999999999999</v>
      </c>
      <c r="AA165" s="407">
        <v>2.7719999999999998</v>
      </c>
      <c r="AB165" s="407">
        <v>2.7719999999999998</v>
      </c>
      <c r="AC165" s="407">
        <v>2.7719999999999998</v>
      </c>
      <c r="AD165" s="407">
        <v>4.9800000000000004</v>
      </c>
      <c r="AE165" s="407">
        <v>2.7719999999999998</v>
      </c>
      <c r="AF165" s="407">
        <v>2.7719999999999998</v>
      </c>
    </row>
    <row r="166" spans="1:33">
      <c r="A166" s="406" t="s">
        <v>920</v>
      </c>
      <c r="B166" s="407">
        <v>35.237819999999999</v>
      </c>
      <c r="C166" s="407">
        <v>37.06015</v>
      </c>
      <c r="D166" s="407">
        <v>31.479869999999998</v>
      </c>
      <c r="E166" s="407">
        <v>29.98807</v>
      </c>
      <c r="F166" s="407">
        <v>51.879599999999897</v>
      </c>
      <c r="G166" s="407">
        <v>47.054279999999999</v>
      </c>
      <c r="H166" s="407">
        <v>32.552050000000001</v>
      </c>
      <c r="I166" s="407">
        <v>18.996839999999999</v>
      </c>
      <c r="J166" s="407">
        <v>83.418999999999997</v>
      </c>
      <c r="K166" s="407">
        <v>49.817</v>
      </c>
      <c r="L166" s="407">
        <v>53.953000000000003</v>
      </c>
      <c r="M166" s="407">
        <v>57.88</v>
      </c>
      <c r="N166" s="407">
        <v>78.177000000000007</v>
      </c>
      <c r="O166" s="407">
        <v>68.637</v>
      </c>
      <c r="Q166" s="407">
        <v>72.558000000000007</v>
      </c>
      <c r="R166" s="407">
        <v>57.686</v>
      </c>
      <c r="S166" s="407">
        <v>65.144999999999996</v>
      </c>
      <c r="T166" s="407">
        <v>78.688999999999993</v>
      </c>
      <c r="U166" s="407">
        <v>86.572999999999993</v>
      </c>
      <c r="V166" s="407">
        <v>100.82899999999999</v>
      </c>
      <c r="W166" s="407">
        <v>79.710999999999999</v>
      </c>
      <c r="X166" s="407">
        <v>77.501999999999995</v>
      </c>
      <c r="Y166" s="407">
        <v>78.082999999999998</v>
      </c>
      <c r="Z166" s="407">
        <v>75.316000000000003</v>
      </c>
      <c r="AA166" s="407">
        <v>80.013000000000005</v>
      </c>
      <c r="AB166" s="407">
        <v>67.25</v>
      </c>
      <c r="AC166" s="407">
        <v>69.590999999999994</v>
      </c>
      <c r="AD166" s="407">
        <v>58.395000000000003</v>
      </c>
      <c r="AE166" s="407">
        <v>60.758000000000003</v>
      </c>
      <c r="AF166" s="407">
        <v>74.338999999999999</v>
      </c>
    </row>
    <row r="167" spans="1:33">
      <c r="A167" s="406" t="s">
        <v>921</v>
      </c>
      <c r="B167" s="407">
        <v>232.02543</v>
      </c>
      <c r="C167" s="407">
        <v>204.38692</v>
      </c>
      <c r="D167" s="407">
        <v>231.09746999999999</v>
      </c>
      <c r="E167" s="407">
        <v>178.16292999999999</v>
      </c>
      <c r="F167" s="407">
        <v>157.70113000000001</v>
      </c>
      <c r="G167" s="407">
        <v>162.74118999999999</v>
      </c>
      <c r="H167" s="407">
        <v>144.55751000000001</v>
      </c>
      <c r="I167" s="407">
        <v>176.09509</v>
      </c>
      <c r="J167" s="407">
        <v>102.381</v>
      </c>
      <c r="K167" s="407">
        <v>108.977</v>
      </c>
      <c r="L167" s="407">
        <v>107.937</v>
      </c>
      <c r="M167" s="407">
        <v>125.45</v>
      </c>
      <c r="N167" s="407">
        <v>294.02699999999999</v>
      </c>
      <c r="O167" s="407">
        <v>280.20800000000003</v>
      </c>
      <c r="Q167" s="407">
        <v>271.90300000000002</v>
      </c>
      <c r="R167" s="407">
        <v>193.364</v>
      </c>
      <c r="S167" s="407">
        <v>213.41399999999999</v>
      </c>
      <c r="T167" s="407">
        <v>281.524</v>
      </c>
      <c r="U167" s="407">
        <v>278.40100000000001</v>
      </c>
      <c r="V167" s="407">
        <v>218.91900000000001</v>
      </c>
      <c r="W167" s="407">
        <v>221.166</v>
      </c>
      <c r="X167" s="407">
        <v>232.33500000000001</v>
      </c>
      <c r="Y167" s="407">
        <v>245.19499999999999</v>
      </c>
      <c r="Z167" s="407">
        <v>276.89400000000001</v>
      </c>
      <c r="AA167" s="407">
        <v>296.19</v>
      </c>
      <c r="AB167" s="407">
        <v>279.517</v>
      </c>
      <c r="AC167" s="407">
        <v>271.59500000000003</v>
      </c>
      <c r="AD167" s="407">
        <v>191.84800000000001</v>
      </c>
      <c r="AE167" s="407">
        <v>235.607</v>
      </c>
      <c r="AF167" s="407">
        <v>334.61500000000001</v>
      </c>
    </row>
    <row r="168" spans="1:33">
      <c r="A168" s="406" t="s">
        <v>922</v>
      </c>
      <c r="B168" s="407">
        <v>125.57119</v>
      </c>
      <c r="C168" s="407">
        <v>122.57428</v>
      </c>
      <c r="D168" s="407">
        <v>73.342299999999994</v>
      </c>
      <c r="E168" s="407">
        <v>37.862780000000001</v>
      </c>
      <c r="F168" s="407">
        <v>4.77827</v>
      </c>
      <c r="G168" s="407">
        <v>1.20146</v>
      </c>
      <c r="H168" s="407">
        <v>0.72723000000000004</v>
      </c>
      <c r="I168" s="407">
        <v>3.3864299999999998</v>
      </c>
      <c r="J168" s="407">
        <v>5</v>
      </c>
      <c r="K168" s="407">
        <v>9</v>
      </c>
      <c r="L168" s="407">
        <v>21</v>
      </c>
      <c r="M168" s="407">
        <v>136</v>
      </c>
      <c r="N168" s="407">
        <v>131</v>
      </c>
      <c r="O168" s="407">
        <v>114</v>
      </c>
      <c r="Q168" s="407">
        <v>101</v>
      </c>
      <c r="R168" s="407">
        <v>30</v>
      </c>
      <c r="S168" s="407">
        <v>16</v>
      </c>
      <c r="T168" s="407">
        <v>7</v>
      </c>
      <c r="U168" s="407">
        <v>7</v>
      </c>
      <c r="V168" s="407">
        <v>7</v>
      </c>
      <c r="W168" s="407">
        <v>7</v>
      </c>
      <c r="X168" s="407">
        <v>11</v>
      </c>
      <c r="Y168" s="407">
        <v>22</v>
      </c>
      <c r="Z168" s="407">
        <v>127</v>
      </c>
      <c r="AA168" s="407">
        <v>148</v>
      </c>
      <c r="AB168" s="407">
        <v>130</v>
      </c>
      <c r="AC168" s="407">
        <v>115</v>
      </c>
      <c r="AD168" s="407">
        <v>33</v>
      </c>
      <c r="AE168" s="407">
        <v>17</v>
      </c>
      <c r="AF168" s="407">
        <v>7</v>
      </c>
    </row>
    <row r="169" spans="1:33">
      <c r="A169" s="406" t="s">
        <v>923</v>
      </c>
      <c r="B169" s="407">
        <v>252.10169999999999</v>
      </c>
      <c r="C169" s="407">
        <v>263.620599999999</v>
      </c>
      <c r="D169" s="407">
        <v>259.80412999999999</v>
      </c>
      <c r="E169" s="407">
        <v>196.13258999999999</v>
      </c>
      <c r="F169" s="407">
        <v>167.55174</v>
      </c>
      <c r="G169" s="407">
        <v>6.6002599999999996</v>
      </c>
      <c r="H169" s="407">
        <v>4.3729100000000001</v>
      </c>
      <c r="I169" s="407">
        <v>3.9274899999999899</v>
      </c>
      <c r="J169" s="407">
        <v>27.834</v>
      </c>
      <c r="K169" s="407">
        <v>27.835000000000001</v>
      </c>
      <c r="L169" s="407">
        <v>90.015000000000001</v>
      </c>
      <c r="M169" s="407">
        <v>220.06800000000001</v>
      </c>
      <c r="N169" s="407">
        <v>234.37899999999999</v>
      </c>
      <c r="O169" s="407">
        <v>230.798</v>
      </c>
      <c r="Q169" s="407">
        <v>192.131</v>
      </c>
      <c r="R169" s="407">
        <v>152.184</v>
      </c>
      <c r="S169" s="407">
        <v>122.675</v>
      </c>
      <c r="T169" s="407">
        <v>14.599</v>
      </c>
      <c r="U169" s="407">
        <v>15.481</v>
      </c>
      <c r="V169" s="407">
        <v>22.768999999999998</v>
      </c>
      <c r="W169" s="407">
        <v>17.684000000000001</v>
      </c>
      <c r="X169" s="407">
        <v>19.227</v>
      </c>
      <c r="Y169" s="407">
        <v>96.221000000000004</v>
      </c>
      <c r="Z169" s="407">
        <v>192.78899999999999</v>
      </c>
      <c r="AA169" s="407">
        <v>236.18</v>
      </c>
      <c r="AB169" s="407">
        <v>244.86699999999999</v>
      </c>
      <c r="AC169" s="407">
        <v>193.60300000000001</v>
      </c>
      <c r="AD169" s="407">
        <v>245.34399999999999</v>
      </c>
      <c r="AE169" s="407">
        <v>139.97399999999999</v>
      </c>
      <c r="AF169" s="407">
        <v>15.513999999999999</v>
      </c>
    </row>
    <row r="170" spans="1:33">
      <c r="A170" s="406" t="s">
        <v>916</v>
      </c>
      <c r="B170" s="407">
        <v>137.77649</v>
      </c>
      <c r="C170" s="407">
        <v>117.43728</v>
      </c>
      <c r="D170" s="407">
        <v>103.44905</v>
      </c>
      <c r="E170" s="407">
        <v>87.677580000000006</v>
      </c>
      <c r="F170" s="407">
        <v>90.221209999999999</v>
      </c>
      <c r="G170" s="407">
        <v>90.182079999999999</v>
      </c>
      <c r="H170" s="407">
        <v>113.56216000000001</v>
      </c>
      <c r="I170" s="407">
        <v>128.11034000000001</v>
      </c>
      <c r="J170" s="407">
        <v>174</v>
      </c>
      <c r="K170" s="407">
        <v>193</v>
      </c>
      <c r="L170" s="407">
        <v>194</v>
      </c>
      <c r="M170" s="407">
        <v>182</v>
      </c>
      <c r="N170" s="407">
        <v>139</v>
      </c>
      <c r="O170" s="407">
        <v>119</v>
      </c>
      <c r="Q170" s="407">
        <v>102</v>
      </c>
      <c r="R170" s="407">
        <v>84</v>
      </c>
      <c r="S170" s="407">
        <v>86</v>
      </c>
      <c r="T170" s="407">
        <v>98</v>
      </c>
      <c r="U170" s="407">
        <v>116</v>
      </c>
      <c r="V170" s="407">
        <v>135</v>
      </c>
      <c r="W170" s="407">
        <v>155</v>
      </c>
      <c r="X170" s="407">
        <v>173</v>
      </c>
      <c r="Y170" s="407">
        <v>173</v>
      </c>
      <c r="Z170" s="407">
        <v>162</v>
      </c>
      <c r="AA170" s="407">
        <v>150</v>
      </c>
      <c r="AB170" s="407">
        <v>129</v>
      </c>
      <c r="AC170" s="407">
        <v>114</v>
      </c>
      <c r="AD170" s="407">
        <v>95</v>
      </c>
      <c r="AE170" s="407">
        <v>96</v>
      </c>
      <c r="AF170" s="407">
        <v>109</v>
      </c>
    </row>
    <row r="171" spans="1:33">
      <c r="A171" s="406" t="s">
        <v>924</v>
      </c>
      <c r="B171" s="407">
        <v>1.6787399999999999</v>
      </c>
      <c r="C171" s="407">
        <v>1.52874</v>
      </c>
      <c r="D171" s="407">
        <v>1.52874</v>
      </c>
      <c r="E171" s="407">
        <v>1.52874</v>
      </c>
      <c r="F171" s="407">
        <v>1.52874</v>
      </c>
      <c r="G171" s="407">
        <v>1.52874</v>
      </c>
      <c r="H171" s="407">
        <v>1.52874</v>
      </c>
      <c r="I171" s="407">
        <v>1.52874</v>
      </c>
      <c r="J171" s="407">
        <v>0</v>
      </c>
      <c r="K171" s="407">
        <v>0</v>
      </c>
      <c r="L171" s="407">
        <v>0</v>
      </c>
      <c r="M171" s="407">
        <v>0</v>
      </c>
      <c r="N171" s="407">
        <v>0</v>
      </c>
      <c r="O171" s="407">
        <v>0</v>
      </c>
      <c r="Q171" s="407">
        <v>0</v>
      </c>
      <c r="R171" s="407">
        <v>0</v>
      </c>
      <c r="S171" s="407">
        <v>0</v>
      </c>
      <c r="T171" s="407">
        <v>0</v>
      </c>
      <c r="U171" s="407">
        <v>0</v>
      </c>
      <c r="V171" s="407">
        <v>0</v>
      </c>
      <c r="W171" s="407">
        <v>0</v>
      </c>
      <c r="X171" s="407">
        <v>0</v>
      </c>
      <c r="Y171" s="407">
        <v>0</v>
      </c>
      <c r="Z171" s="407">
        <v>0</v>
      </c>
      <c r="AA171" s="407">
        <v>0</v>
      </c>
      <c r="AB171" s="407">
        <v>0</v>
      </c>
      <c r="AC171" s="407">
        <v>0</v>
      </c>
      <c r="AD171" s="407">
        <v>0</v>
      </c>
      <c r="AE171" s="407">
        <v>0</v>
      </c>
      <c r="AF171" s="407">
        <v>0</v>
      </c>
    </row>
    <row r="172" spans="1:33">
      <c r="A172" s="406" t="s">
        <v>925</v>
      </c>
      <c r="B172" s="407">
        <v>14.30752</v>
      </c>
      <c r="C172" s="407">
        <v>3.5166900000000001</v>
      </c>
      <c r="D172" s="407">
        <v>17.166119999999999</v>
      </c>
      <c r="E172" s="407">
        <v>32.050449999999998</v>
      </c>
      <c r="F172" s="407">
        <v>5.8789999999999996</v>
      </c>
      <c r="G172" s="407">
        <v>4.2640000000000002</v>
      </c>
      <c r="H172" s="407">
        <v>26.234690000000001</v>
      </c>
      <c r="I172" s="407">
        <v>14.78612</v>
      </c>
      <c r="J172" s="407">
        <v>2.6160000000000001</v>
      </c>
      <c r="K172" s="407">
        <v>6.8739999999999997</v>
      </c>
      <c r="L172" s="407">
        <v>10.787000000000001</v>
      </c>
      <c r="M172" s="407">
        <v>5.0519999999999996</v>
      </c>
      <c r="N172" s="407">
        <v>19.045999999999999</v>
      </c>
      <c r="O172" s="407">
        <v>3.4980000000000002</v>
      </c>
      <c r="Q172" s="407">
        <v>17.437999999999999</v>
      </c>
      <c r="R172" s="407">
        <v>31.606999999999999</v>
      </c>
      <c r="S172" s="407">
        <v>5.4740000000000002</v>
      </c>
      <c r="T172" s="407">
        <v>4.2729999999999997</v>
      </c>
      <c r="U172" s="407">
        <v>16.745999999999999</v>
      </c>
      <c r="V172" s="407">
        <v>11.35</v>
      </c>
      <c r="W172" s="407">
        <v>2.6160000000000001</v>
      </c>
      <c r="X172" s="407">
        <v>8.8469999999999995</v>
      </c>
      <c r="Y172" s="407">
        <v>10.787000000000001</v>
      </c>
      <c r="Z172" s="407">
        <v>5.0529999999999999</v>
      </c>
      <c r="AA172" s="407">
        <v>19.045999999999999</v>
      </c>
      <c r="AB172" s="407">
        <v>3.4980000000000002</v>
      </c>
      <c r="AC172" s="407">
        <v>17.437999999999999</v>
      </c>
      <c r="AD172" s="407">
        <v>31.606999999999999</v>
      </c>
      <c r="AE172" s="407">
        <v>5.4740000000000002</v>
      </c>
      <c r="AF172" s="407">
        <v>4.2729999999999997</v>
      </c>
    </row>
    <row r="173" spans="1:33">
      <c r="A173" s="406" t="s">
        <v>926</v>
      </c>
      <c r="B173" s="407">
        <v>0</v>
      </c>
      <c r="C173" s="407">
        <v>0</v>
      </c>
      <c r="D173" s="407">
        <v>0</v>
      </c>
      <c r="E173" s="407">
        <v>0</v>
      </c>
      <c r="F173" s="407">
        <v>0</v>
      </c>
      <c r="G173" s="407">
        <v>0</v>
      </c>
      <c r="H173" s="407">
        <v>0</v>
      </c>
      <c r="I173" s="407">
        <v>0</v>
      </c>
      <c r="J173" s="407">
        <v>0</v>
      </c>
      <c r="K173" s="407">
        <v>0</v>
      </c>
      <c r="L173" s="407">
        <v>0</v>
      </c>
      <c r="M173" s="407">
        <v>0</v>
      </c>
      <c r="N173" s="407">
        <v>0</v>
      </c>
      <c r="O173" s="407">
        <v>0</v>
      </c>
      <c r="Q173" s="407">
        <v>0</v>
      </c>
      <c r="R173" s="407">
        <v>0</v>
      </c>
      <c r="S173" s="407">
        <v>0</v>
      </c>
      <c r="T173" s="407">
        <v>0</v>
      </c>
      <c r="U173" s="407">
        <v>0</v>
      </c>
      <c r="V173" s="407">
        <v>0</v>
      </c>
      <c r="W173" s="407">
        <v>0</v>
      </c>
      <c r="X173" s="407">
        <v>0</v>
      </c>
      <c r="Y173" s="407">
        <v>0</v>
      </c>
      <c r="Z173" s="407">
        <v>0</v>
      </c>
      <c r="AA173" s="407">
        <v>0</v>
      </c>
      <c r="AB173" s="407">
        <v>0</v>
      </c>
      <c r="AC173" s="407">
        <v>0</v>
      </c>
      <c r="AD173" s="407">
        <v>0</v>
      </c>
      <c r="AE173" s="407">
        <v>0</v>
      </c>
      <c r="AF173" s="407">
        <v>0</v>
      </c>
    </row>
    <row r="174" spans="1:33">
      <c r="A174" s="406" t="s">
        <v>927</v>
      </c>
      <c r="B174" s="407">
        <v>857.98601999999903</v>
      </c>
      <c r="C174" s="407">
        <v>824.47339999999895</v>
      </c>
      <c r="D174" s="407">
        <v>789.87895999999898</v>
      </c>
      <c r="E174" s="407">
        <v>628.24991999999895</v>
      </c>
      <c r="F174" s="407">
        <v>559.63265999999999</v>
      </c>
      <c r="G174" s="407">
        <v>383.12758000000002</v>
      </c>
      <c r="H174" s="407">
        <v>403.04462999999998</v>
      </c>
      <c r="I174" s="407">
        <v>427.68</v>
      </c>
      <c r="J174" s="407">
        <v>493.065</v>
      </c>
      <c r="K174" s="407">
        <v>496.93599999999998</v>
      </c>
      <c r="L174" s="407">
        <v>566.39200000000005</v>
      </c>
      <c r="M174" s="407">
        <v>810.625</v>
      </c>
      <c r="N174" s="407">
        <v>957.33600000000001</v>
      </c>
      <c r="O174" s="407">
        <v>875.29499999999996</v>
      </c>
      <c r="Q174" s="407">
        <v>823.101</v>
      </c>
      <c r="R174" s="407">
        <v>606.24</v>
      </c>
      <c r="S174" s="407">
        <v>565.36199999999997</v>
      </c>
      <c r="T174" s="407">
        <v>538.774</v>
      </c>
      <c r="U174" s="407">
        <v>576.91099999999994</v>
      </c>
      <c r="V174" s="407">
        <v>556.37300000000005</v>
      </c>
      <c r="W174" s="407">
        <v>544.09299999999996</v>
      </c>
      <c r="X174" s="407">
        <v>581.63199999999995</v>
      </c>
      <c r="Y174" s="407">
        <v>685.08</v>
      </c>
      <c r="Z174" s="407">
        <v>892.82299999999998</v>
      </c>
      <c r="AA174" s="407">
        <v>994.15300000000002</v>
      </c>
      <c r="AB174" s="407">
        <v>915.28300000000002</v>
      </c>
      <c r="AC174" s="407">
        <v>843.45</v>
      </c>
      <c r="AD174" s="407">
        <v>712.63300000000004</v>
      </c>
      <c r="AE174" s="407">
        <v>613.21</v>
      </c>
      <c r="AF174" s="407">
        <v>597.54899999999998</v>
      </c>
    </row>
    <row r="176" spans="1:33">
      <c r="A176" s="406" t="s">
        <v>928</v>
      </c>
      <c r="B176" s="407">
        <v>37.901420000000002</v>
      </c>
      <c r="C176" s="407">
        <v>51.971440000000001</v>
      </c>
      <c r="D176" s="407">
        <v>51.3155</v>
      </c>
      <c r="E176" s="407">
        <v>42.855589999999999</v>
      </c>
      <c r="F176" s="407">
        <v>50.374290000000002</v>
      </c>
      <c r="G176" s="407">
        <v>48.453199999999903</v>
      </c>
      <c r="H176" s="407">
        <v>58.442909999999998</v>
      </c>
      <c r="I176" s="407">
        <v>54.726129999999998</v>
      </c>
      <c r="J176" s="407">
        <v>38.640999999999998</v>
      </c>
      <c r="K176" s="407">
        <v>40.256</v>
      </c>
      <c r="L176" s="407">
        <v>37.369999999999997</v>
      </c>
      <c r="M176" s="407">
        <v>38.813000000000002</v>
      </c>
      <c r="N176" s="407">
        <v>42.993000000000002</v>
      </c>
      <c r="O176" s="407">
        <v>40.441000000000003</v>
      </c>
      <c r="Q176" s="407">
        <v>43.375999999999998</v>
      </c>
      <c r="R176" s="407">
        <v>36.484999999999999</v>
      </c>
      <c r="S176" s="407">
        <v>36.613</v>
      </c>
      <c r="T176" s="407">
        <v>35.975000000000001</v>
      </c>
      <c r="U176" s="407">
        <v>36.996000000000002</v>
      </c>
      <c r="V176" s="407">
        <v>43.121000000000002</v>
      </c>
      <c r="W176" s="407">
        <v>39.548000000000002</v>
      </c>
      <c r="X176" s="407">
        <v>41.334000000000003</v>
      </c>
      <c r="Y176" s="407">
        <v>41.207000000000001</v>
      </c>
      <c r="Z176" s="407">
        <v>39.036999999999999</v>
      </c>
      <c r="AA176" s="407">
        <v>45.652999999999999</v>
      </c>
      <c r="AB176" s="407">
        <v>42.08</v>
      </c>
      <c r="AC176" s="407">
        <v>41.825000000000003</v>
      </c>
      <c r="AD176" s="407">
        <v>37.485999999999997</v>
      </c>
      <c r="AE176" s="407">
        <v>37.997</v>
      </c>
      <c r="AF176" s="407">
        <v>35.061999999999998</v>
      </c>
    </row>
    <row r="177" spans="1:32">
      <c r="A177" s="406" t="s">
        <v>929</v>
      </c>
      <c r="B177" s="407">
        <v>6.0223899999999997</v>
      </c>
      <c r="C177" s="407">
        <v>3.1199499999999998</v>
      </c>
      <c r="D177" s="407">
        <v>5.4458799999999998</v>
      </c>
      <c r="E177" s="407">
        <v>4.2183700000000002</v>
      </c>
      <c r="F177" s="407">
        <v>205.82364000000001</v>
      </c>
      <c r="G177" s="407">
        <v>163.36044999999999</v>
      </c>
      <c r="H177" s="407">
        <v>-87.505259999999893</v>
      </c>
      <c r="I177" s="407">
        <v>2.0340600000000002</v>
      </c>
      <c r="J177" s="407">
        <v>28.524000000000001</v>
      </c>
      <c r="K177" s="407">
        <v>26.195</v>
      </c>
      <c r="L177" s="407">
        <v>18.684999999999999</v>
      </c>
      <c r="M177" s="407">
        <v>18.459</v>
      </c>
      <c r="N177" s="407">
        <v>23.698</v>
      </c>
      <c r="O177" s="407">
        <v>18.329999999999998</v>
      </c>
      <c r="Q177" s="407">
        <v>24.655999999999999</v>
      </c>
      <c r="R177" s="407">
        <v>110.241</v>
      </c>
      <c r="S177" s="407">
        <v>117.73</v>
      </c>
      <c r="T177" s="407">
        <v>27.303999999999998</v>
      </c>
      <c r="U177" s="407">
        <v>30.821999999999999</v>
      </c>
      <c r="V177" s="407">
        <v>58.698</v>
      </c>
      <c r="W177" s="407">
        <v>33.435000000000002</v>
      </c>
      <c r="X177" s="407">
        <v>33.866999999999997</v>
      </c>
      <c r="Y177" s="407">
        <v>23.001000000000001</v>
      </c>
      <c r="Z177" s="407">
        <v>24.1</v>
      </c>
      <c r="AA177" s="407">
        <v>30.273</v>
      </c>
      <c r="AB177" s="407">
        <v>21.213000000000001</v>
      </c>
      <c r="AC177" s="407">
        <v>21.99</v>
      </c>
      <c r="AD177" s="407">
        <v>171.80199999999999</v>
      </c>
      <c r="AE177" s="407">
        <v>180.63499999999999</v>
      </c>
      <c r="AF177" s="407">
        <v>25.221</v>
      </c>
    </row>
    <row r="178" spans="1:32">
      <c r="A178" s="406" t="s">
        <v>930</v>
      </c>
      <c r="B178" s="407">
        <v>33.425019999999897</v>
      </c>
      <c r="C178" s="407">
        <v>32.499659999999999</v>
      </c>
      <c r="D178" s="407">
        <v>21.390720000000002</v>
      </c>
      <c r="E178" s="407">
        <v>55.186309999999999</v>
      </c>
      <c r="F178" s="407">
        <v>40.697569999999999</v>
      </c>
      <c r="G178" s="407">
        <v>37.55688</v>
      </c>
      <c r="H178" s="407">
        <v>66.564089999999993</v>
      </c>
      <c r="I178" s="407">
        <v>54.003360000000001</v>
      </c>
      <c r="J178" s="407">
        <v>39.109000000000002</v>
      </c>
      <c r="K178" s="407">
        <v>43.265999999999998</v>
      </c>
      <c r="L178" s="407">
        <v>37.664999999999999</v>
      </c>
      <c r="M178" s="407">
        <v>37.664999999999999</v>
      </c>
      <c r="N178" s="407">
        <v>12.843</v>
      </c>
      <c r="O178" s="407">
        <v>11.087999999999999</v>
      </c>
      <c r="Q178" s="407">
        <v>14.22</v>
      </c>
      <c r="R178" s="407">
        <v>10.087999999999999</v>
      </c>
      <c r="S178" s="407">
        <v>12.465</v>
      </c>
      <c r="T178" s="407">
        <v>14.465</v>
      </c>
      <c r="U178" s="407">
        <v>13.465</v>
      </c>
      <c r="V178" s="407">
        <v>12.087999999999999</v>
      </c>
      <c r="W178" s="407">
        <v>13.087999999999999</v>
      </c>
      <c r="X178" s="407">
        <v>14.843</v>
      </c>
      <c r="Y178" s="407">
        <v>8.7110000000000003</v>
      </c>
      <c r="Z178" s="407">
        <v>9.7110000000000003</v>
      </c>
      <c r="AA178" s="407">
        <v>13.91</v>
      </c>
      <c r="AB178" s="407">
        <v>12.138</v>
      </c>
      <c r="AC178" s="407">
        <v>12.523</v>
      </c>
      <c r="AD178" s="407">
        <v>11.138</v>
      </c>
      <c r="AE178" s="407">
        <v>12.523</v>
      </c>
      <c r="AF178" s="407">
        <v>14.523</v>
      </c>
    </row>
    <row r="179" spans="1:32">
      <c r="A179" s="406" t="s">
        <v>931</v>
      </c>
      <c r="B179" s="407">
        <v>98.89949</v>
      </c>
      <c r="C179" s="407">
        <v>44.191780000000001</v>
      </c>
      <c r="D179" s="407">
        <v>45.564230000000002</v>
      </c>
      <c r="E179" s="407">
        <v>35.047179999999997</v>
      </c>
      <c r="F179" s="407">
        <v>49.854689999999998</v>
      </c>
      <c r="G179" s="407">
        <v>56.780879999999897</v>
      </c>
      <c r="H179" s="407">
        <v>60.6614</v>
      </c>
      <c r="I179" s="407">
        <v>24.833099999999899</v>
      </c>
      <c r="J179" s="407">
        <v>50.09</v>
      </c>
      <c r="K179" s="407">
        <v>50.634</v>
      </c>
      <c r="L179" s="407">
        <v>69.337000000000003</v>
      </c>
      <c r="M179" s="407">
        <v>66.349000000000004</v>
      </c>
      <c r="N179" s="407">
        <v>54.860999999999997</v>
      </c>
      <c r="O179" s="407">
        <v>38.566000000000003</v>
      </c>
      <c r="Q179" s="407">
        <v>45.588999999999999</v>
      </c>
      <c r="R179" s="407">
        <v>29.530999999999999</v>
      </c>
      <c r="S179" s="407">
        <v>31.062000000000001</v>
      </c>
      <c r="T179" s="407">
        <v>30.716000000000001</v>
      </c>
      <c r="U179" s="407">
        <v>27.568999999999999</v>
      </c>
      <c r="V179" s="407">
        <v>38.904000000000003</v>
      </c>
      <c r="W179" s="407">
        <v>31.021000000000001</v>
      </c>
      <c r="X179" s="407">
        <v>53.795000000000002</v>
      </c>
      <c r="Y179" s="407">
        <v>46.308</v>
      </c>
      <c r="Z179" s="407">
        <v>49.384</v>
      </c>
      <c r="AA179" s="407">
        <v>49.231999999999999</v>
      </c>
      <c r="AB179" s="407">
        <v>38.768999999999998</v>
      </c>
      <c r="AC179" s="407">
        <v>52.378999999999998</v>
      </c>
      <c r="AD179" s="407">
        <v>31.588999999999999</v>
      </c>
      <c r="AE179" s="407">
        <v>29.817</v>
      </c>
      <c r="AF179" s="407">
        <v>30.844000000000001</v>
      </c>
    </row>
    <row r="180" spans="1:32">
      <c r="A180" s="406" t="s">
        <v>932</v>
      </c>
      <c r="B180" s="407">
        <v>5.3812800000000003</v>
      </c>
      <c r="C180" s="407">
        <v>7.8334999999999999</v>
      </c>
      <c r="D180" s="407">
        <v>5.3250900000000003</v>
      </c>
      <c r="E180" s="407">
        <v>3.1326700000000001</v>
      </c>
      <c r="F180" s="407">
        <v>1.45434</v>
      </c>
      <c r="G180" s="407">
        <v>7.0427200000000001</v>
      </c>
      <c r="H180" s="407">
        <v>0.45247999999999999</v>
      </c>
      <c r="I180" s="407">
        <v>2.0986199999999999</v>
      </c>
      <c r="J180" s="407">
        <v>1.512</v>
      </c>
      <c r="K180" s="407">
        <v>1.512</v>
      </c>
      <c r="L180" s="407">
        <v>3.0230000000000001</v>
      </c>
      <c r="M180" s="407">
        <v>4.3630000000000004</v>
      </c>
      <c r="N180" s="407">
        <v>4.2089999999999996</v>
      </c>
      <c r="O180" s="407">
        <v>2.9239999999999999</v>
      </c>
      <c r="Q180" s="407">
        <v>2.9239999999999999</v>
      </c>
      <c r="R180" s="407">
        <v>1.462</v>
      </c>
      <c r="S180" s="407">
        <v>1.462</v>
      </c>
      <c r="T180" s="407">
        <v>1.462</v>
      </c>
      <c r="U180" s="407">
        <v>1.462</v>
      </c>
      <c r="V180" s="407">
        <v>1.462</v>
      </c>
      <c r="W180" s="407">
        <v>1.462</v>
      </c>
      <c r="X180" s="407">
        <v>1.462</v>
      </c>
      <c r="Y180" s="407">
        <v>2.9239999999999999</v>
      </c>
      <c r="Z180" s="407">
        <v>4.2089999999999996</v>
      </c>
      <c r="AA180" s="407">
        <v>4.202</v>
      </c>
      <c r="AB180" s="407">
        <v>2.92</v>
      </c>
      <c r="AC180" s="407">
        <v>2.92</v>
      </c>
      <c r="AD180" s="407">
        <v>1.4590000000000001</v>
      </c>
      <c r="AE180" s="407">
        <v>1.4590000000000001</v>
      </c>
      <c r="AF180" s="407">
        <v>1.4590000000000001</v>
      </c>
    </row>
    <row r="181" spans="1:32">
      <c r="A181" s="406" t="s">
        <v>933</v>
      </c>
      <c r="B181" s="407">
        <v>17.001009999999901</v>
      </c>
      <c r="C181" s="407">
        <v>27.643360000000001</v>
      </c>
      <c r="D181" s="407">
        <v>44.628699999999903</v>
      </c>
      <c r="E181" s="407">
        <v>43.905619999999999</v>
      </c>
      <c r="F181" s="407">
        <v>42.494289999999999</v>
      </c>
      <c r="G181" s="407">
        <v>86.953530000000001</v>
      </c>
      <c r="H181" s="407">
        <v>89.596800000000002</v>
      </c>
      <c r="I181" s="407">
        <v>110.26121000000001</v>
      </c>
      <c r="J181" s="407">
        <v>79.536000000000001</v>
      </c>
      <c r="K181" s="407">
        <v>87.31</v>
      </c>
      <c r="L181" s="407">
        <v>101.154</v>
      </c>
      <c r="M181" s="407">
        <v>103.836</v>
      </c>
      <c r="N181" s="407">
        <v>67.902000000000001</v>
      </c>
      <c r="O181" s="407">
        <v>58.39</v>
      </c>
      <c r="Q181" s="407">
        <v>45.316000000000003</v>
      </c>
      <c r="R181" s="407">
        <v>25.655000000000001</v>
      </c>
      <c r="S181" s="407">
        <v>38.155000000000001</v>
      </c>
      <c r="T181" s="407">
        <v>42.469000000000001</v>
      </c>
      <c r="U181" s="407">
        <v>39.145000000000003</v>
      </c>
      <c r="V181" s="407">
        <v>44.625</v>
      </c>
      <c r="W181" s="407">
        <v>54.57</v>
      </c>
      <c r="X181" s="407">
        <v>85.540999999999997</v>
      </c>
      <c r="Y181" s="407">
        <v>82.995999999999995</v>
      </c>
      <c r="Z181" s="407">
        <v>70.347999999999999</v>
      </c>
      <c r="AA181" s="407">
        <v>59.29</v>
      </c>
      <c r="AB181" s="407">
        <v>56.465000000000003</v>
      </c>
      <c r="AC181" s="407">
        <v>39.869999999999997</v>
      </c>
      <c r="AD181" s="407">
        <v>31.414000000000001</v>
      </c>
      <c r="AE181" s="407">
        <v>31.888000000000002</v>
      </c>
      <c r="AF181" s="407">
        <v>46.375999999999998</v>
      </c>
    </row>
    <row r="182" spans="1:32">
      <c r="A182" s="406" t="s">
        <v>934</v>
      </c>
      <c r="B182" s="407">
        <v>6.7820900000000002</v>
      </c>
      <c r="C182" s="407">
        <v>28.374680000000001</v>
      </c>
      <c r="D182" s="407">
        <v>23.32705</v>
      </c>
      <c r="E182" s="407">
        <v>24.945989999999998</v>
      </c>
      <c r="F182" s="407">
        <v>38.872750000000003</v>
      </c>
      <c r="G182" s="407">
        <v>23.489730000000002</v>
      </c>
      <c r="H182" s="407">
        <v>23.140609999999999</v>
      </c>
      <c r="I182" s="407">
        <v>33.029400000000003</v>
      </c>
      <c r="J182" s="407">
        <v>34.904000000000003</v>
      </c>
      <c r="K182" s="407">
        <v>21.576000000000001</v>
      </c>
      <c r="L182" s="407">
        <v>21.062999999999999</v>
      </c>
      <c r="M182" s="407">
        <v>20.541</v>
      </c>
      <c r="N182" s="407">
        <v>26.547000000000001</v>
      </c>
      <c r="O182" s="407">
        <v>24.606999999999999</v>
      </c>
      <c r="Q182" s="407">
        <v>26.161000000000001</v>
      </c>
      <c r="R182" s="407">
        <v>25.7</v>
      </c>
      <c r="S182" s="407">
        <v>24.876000000000001</v>
      </c>
      <c r="T182" s="407">
        <v>32.765000000000001</v>
      </c>
      <c r="U182" s="407">
        <v>39.945</v>
      </c>
      <c r="V182" s="407">
        <v>42.146000000000001</v>
      </c>
      <c r="W182" s="407">
        <v>34.08</v>
      </c>
      <c r="X182" s="407">
        <v>21.396999999999998</v>
      </c>
      <c r="Y182" s="407">
        <v>28.655000000000001</v>
      </c>
      <c r="Z182" s="407">
        <v>16.257000000000001</v>
      </c>
      <c r="AA182" s="407">
        <v>25.363</v>
      </c>
      <c r="AB182" s="407">
        <v>24.771000000000001</v>
      </c>
      <c r="AC182" s="407">
        <v>23.567</v>
      </c>
      <c r="AD182" s="407">
        <v>25.875</v>
      </c>
      <c r="AE182" s="407">
        <v>25.052</v>
      </c>
      <c r="AF182" s="407">
        <v>37.142000000000003</v>
      </c>
    </row>
    <row r="183" spans="1:32">
      <c r="A183" s="406" t="s">
        <v>935</v>
      </c>
      <c r="B183" s="407">
        <v>205.4127</v>
      </c>
      <c r="C183" s="407">
        <v>195.63436999999999</v>
      </c>
      <c r="D183" s="407">
        <v>196.99716999999899</v>
      </c>
      <c r="E183" s="407">
        <v>209.29172999999901</v>
      </c>
      <c r="F183" s="407">
        <v>429.57157000000001</v>
      </c>
      <c r="G183" s="407">
        <v>423.63738999999998</v>
      </c>
      <c r="H183" s="407">
        <v>211.35302999999999</v>
      </c>
      <c r="I183" s="407">
        <v>280.98588000000001</v>
      </c>
      <c r="J183" s="407">
        <v>272.31599999999997</v>
      </c>
      <c r="K183" s="407">
        <v>270.74900000000002</v>
      </c>
      <c r="L183" s="407">
        <v>288.29700000000003</v>
      </c>
      <c r="M183" s="407">
        <v>290.02600000000001</v>
      </c>
      <c r="N183" s="407">
        <v>233.053</v>
      </c>
      <c r="O183" s="407">
        <v>194.346</v>
      </c>
      <c r="Q183" s="407">
        <v>202.24199999999999</v>
      </c>
      <c r="R183" s="407">
        <v>239.16199999999901</v>
      </c>
      <c r="S183" s="407">
        <v>262.363</v>
      </c>
      <c r="T183" s="407">
        <v>185.15600000000001</v>
      </c>
      <c r="U183" s="407">
        <v>189.404</v>
      </c>
      <c r="V183" s="407">
        <v>241.04399999999899</v>
      </c>
      <c r="W183" s="407">
        <v>207.20400000000001</v>
      </c>
      <c r="X183" s="407">
        <v>252.23899999999901</v>
      </c>
      <c r="Y183" s="407">
        <v>233.80199999999999</v>
      </c>
      <c r="Z183" s="407">
        <v>213.04599999999999</v>
      </c>
      <c r="AA183" s="407">
        <v>227.92299999999901</v>
      </c>
      <c r="AB183" s="407">
        <v>198.35599999999999</v>
      </c>
      <c r="AC183" s="407">
        <v>195.07400000000001</v>
      </c>
      <c r="AD183" s="407">
        <v>310.76299999999998</v>
      </c>
      <c r="AE183" s="407">
        <v>319.37099999999998</v>
      </c>
      <c r="AF183" s="407">
        <v>190.62700000000001</v>
      </c>
    </row>
    <row r="185" spans="1:32">
      <c r="A185" s="406" t="s">
        <v>936</v>
      </c>
      <c r="B185" s="407">
        <v>-125.57119</v>
      </c>
      <c r="C185" s="407">
        <v>-122.57428</v>
      </c>
      <c r="D185" s="407">
        <v>-73.342299999999994</v>
      </c>
      <c r="E185" s="407">
        <v>-37.862780000000001</v>
      </c>
      <c r="F185" s="407">
        <v>-4.77827</v>
      </c>
      <c r="G185" s="407">
        <v>-1.20146</v>
      </c>
      <c r="H185" s="407">
        <v>-0.72723000000000004</v>
      </c>
      <c r="I185" s="407">
        <v>-3.3864299999999998</v>
      </c>
      <c r="J185" s="407">
        <v>-3</v>
      </c>
      <c r="K185" s="407">
        <v>-5</v>
      </c>
      <c r="L185" s="407">
        <v>-19</v>
      </c>
      <c r="M185" s="407">
        <v>-118</v>
      </c>
      <c r="N185" s="407">
        <v>-107.295</v>
      </c>
      <c r="O185" s="407">
        <v>-99.227999999999994</v>
      </c>
      <c r="Q185" s="407">
        <v>-77.849999999999994</v>
      </c>
      <c r="R185" s="407">
        <v>-32.671999999999997</v>
      </c>
      <c r="S185" s="407">
        <v>-25.815000000000001</v>
      </c>
      <c r="T185" s="407">
        <v>-2.0169999999999999</v>
      </c>
      <c r="U185" s="407">
        <v>-2.0169999999999999</v>
      </c>
      <c r="V185" s="407">
        <v>-2.0169999999999999</v>
      </c>
      <c r="W185" s="407">
        <v>-2.0169999999999999</v>
      </c>
      <c r="X185" s="407">
        <v>-3.63</v>
      </c>
      <c r="Y185" s="407">
        <v>-14.117000000000001</v>
      </c>
      <c r="Z185" s="407">
        <v>-86.722999999999999</v>
      </c>
      <c r="AA185" s="407">
        <v>-118.02500000000001</v>
      </c>
      <c r="AB185" s="407">
        <v>-109.595</v>
      </c>
      <c r="AC185" s="407">
        <v>-85.99</v>
      </c>
      <c r="AD185" s="407">
        <v>-35.829000000000001</v>
      </c>
      <c r="AE185" s="407">
        <v>-26.977</v>
      </c>
      <c r="AF185" s="407">
        <v>-2.1070000000000002</v>
      </c>
    </row>
    <row r="186" spans="1:32">
      <c r="A186" s="406" t="s">
        <v>937</v>
      </c>
      <c r="B186" s="407">
        <v>31.969899999999999</v>
      </c>
      <c r="C186" s="407">
        <v>37.742989999999999</v>
      </c>
      <c r="D186" s="407">
        <v>39.002719999999997</v>
      </c>
      <c r="E186" s="407">
        <v>36.620609999999999</v>
      </c>
      <c r="F186" s="407">
        <v>35.81962</v>
      </c>
      <c r="G186" s="407">
        <v>101.90179999999999</v>
      </c>
      <c r="H186" s="407">
        <v>43.58858</v>
      </c>
      <c r="I186" s="407">
        <v>162.86681999999999</v>
      </c>
      <c r="J186" s="407">
        <v>112.371</v>
      </c>
      <c r="K186" s="407">
        <v>142.107</v>
      </c>
      <c r="L186" s="407">
        <v>66.114999999999995</v>
      </c>
      <c r="M186" s="407">
        <v>64.293999999999997</v>
      </c>
      <c r="N186" s="407">
        <v>61.372999999999998</v>
      </c>
      <c r="O186" s="407">
        <v>55.390999999999998</v>
      </c>
      <c r="Q186" s="407">
        <v>62.828000000000003</v>
      </c>
      <c r="R186" s="407">
        <v>52.689</v>
      </c>
      <c r="S186" s="407">
        <v>63.109000000000002</v>
      </c>
      <c r="T186" s="407">
        <v>60.835999999999999</v>
      </c>
      <c r="U186" s="407">
        <v>57.88</v>
      </c>
      <c r="V186" s="407">
        <v>95.632999999999996</v>
      </c>
      <c r="W186" s="407">
        <v>58.036000000000001</v>
      </c>
      <c r="X186" s="407">
        <v>64.081000000000003</v>
      </c>
      <c r="Y186" s="407">
        <v>59.615000000000002</v>
      </c>
      <c r="Z186" s="407">
        <v>56.293999999999997</v>
      </c>
      <c r="AA186" s="407">
        <v>63.457999999999998</v>
      </c>
      <c r="AB186" s="407">
        <v>56.536999999999999</v>
      </c>
      <c r="AC186" s="407">
        <v>62.061</v>
      </c>
      <c r="AD186" s="407">
        <v>54.795999999999999</v>
      </c>
      <c r="AE186" s="407">
        <v>64.790999999999997</v>
      </c>
      <c r="AF186" s="407">
        <v>57.325000000000003</v>
      </c>
    </row>
    <row r="187" spans="1:32">
      <c r="A187" s="406" t="s">
        <v>938</v>
      </c>
      <c r="B187" s="407">
        <v>31.868860000000002</v>
      </c>
      <c r="C187" s="407">
        <v>33.067599999999999</v>
      </c>
      <c r="D187" s="407">
        <v>34.816400000000002</v>
      </c>
      <c r="E187" s="407">
        <v>31.33915</v>
      </c>
      <c r="F187" s="407">
        <v>30.976320000000001</v>
      </c>
      <c r="G187" s="407">
        <v>33.078400000000002</v>
      </c>
      <c r="H187" s="407">
        <v>28.293399999999998</v>
      </c>
      <c r="I187" s="407">
        <v>33.853050000000003</v>
      </c>
      <c r="J187" s="407">
        <v>37.366999999999997</v>
      </c>
      <c r="K187" s="407">
        <v>33.841000000000001</v>
      </c>
      <c r="L187" s="407">
        <v>33.578000000000003</v>
      </c>
      <c r="M187" s="407">
        <v>29.788</v>
      </c>
      <c r="N187" s="407">
        <v>37.991</v>
      </c>
      <c r="O187" s="407">
        <v>34.192</v>
      </c>
      <c r="Q187" s="407">
        <v>42.79</v>
      </c>
      <c r="R187" s="407">
        <v>31.658999999999999</v>
      </c>
      <c r="S187" s="407">
        <v>36.723999999999997</v>
      </c>
      <c r="T187" s="407">
        <v>33.924999999999997</v>
      </c>
      <c r="U187" s="407">
        <v>29.126000000000001</v>
      </c>
      <c r="V187" s="407">
        <v>40.524000000000001</v>
      </c>
      <c r="W187" s="407">
        <v>30.126000000000001</v>
      </c>
      <c r="X187" s="407">
        <v>35.457999999999998</v>
      </c>
      <c r="Y187" s="407">
        <v>32.924999999999997</v>
      </c>
      <c r="Z187" s="407">
        <v>32.658999999999999</v>
      </c>
      <c r="AA187" s="407">
        <v>44.323</v>
      </c>
      <c r="AB187" s="407">
        <v>37.991</v>
      </c>
      <c r="AC187" s="407">
        <v>45.323</v>
      </c>
      <c r="AD187" s="407">
        <v>36.723999999999997</v>
      </c>
      <c r="AE187" s="407">
        <v>44.323</v>
      </c>
      <c r="AF187" s="407">
        <v>41.524000000000001</v>
      </c>
    </row>
    <row r="188" spans="1:32">
      <c r="A188" s="406" t="s">
        <v>939</v>
      </c>
      <c r="B188" s="407">
        <v>35.531999999999996</v>
      </c>
      <c r="C188" s="407">
        <v>40.252420000000001</v>
      </c>
      <c r="D188" s="407">
        <v>82.508269999999996</v>
      </c>
      <c r="E188" s="407">
        <v>37.558129999999998</v>
      </c>
      <c r="F188" s="407">
        <v>44.684959999999997</v>
      </c>
      <c r="G188" s="407">
        <v>46.790700000000001</v>
      </c>
      <c r="H188" s="407">
        <v>60.059069999999998</v>
      </c>
      <c r="I188" s="407">
        <v>72.598479999999995</v>
      </c>
      <c r="J188" s="407">
        <v>69.143000000000001</v>
      </c>
      <c r="K188" s="407">
        <v>63.587000000000003</v>
      </c>
      <c r="L188" s="407">
        <v>59.031999999999996</v>
      </c>
      <c r="M188" s="407">
        <v>61.646999999999998</v>
      </c>
      <c r="N188" s="407">
        <v>30.661999999999999</v>
      </c>
      <c r="O188" s="407">
        <v>33.472000000000001</v>
      </c>
      <c r="Q188" s="407">
        <v>56.597000000000001</v>
      </c>
      <c r="R188" s="407">
        <v>38.472000000000001</v>
      </c>
      <c r="S188" s="407">
        <v>40.834000000000003</v>
      </c>
      <c r="T188" s="407">
        <v>69.138000000000005</v>
      </c>
      <c r="U188" s="407">
        <v>71.221000000000004</v>
      </c>
      <c r="V188" s="407">
        <v>70.367000000000004</v>
      </c>
      <c r="W188" s="407">
        <v>73.31</v>
      </c>
      <c r="X188" s="407">
        <v>66.741</v>
      </c>
      <c r="Y188" s="407">
        <v>46.863</v>
      </c>
      <c r="Z188" s="407">
        <v>37.011000000000003</v>
      </c>
      <c r="AA188" s="407">
        <v>33.362000000000002</v>
      </c>
      <c r="AB188" s="407">
        <v>35.509</v>
      </c>
      <c r="AC188" s="407">
        <v>53.985999999999997</v>
      </c>
      <c r="AD188" s="407">
        <v>34.677</v>
      </c>
      <c r="AE188" s="407">
        <v>42.02</v>
      </c>
      <c r="AF188" s="407">
        <v>70.64</v>
      </c>
    </row>
    <row r="189" spans="1:32">
      <c r="A189" s="406" t="s">
        <v>940</v>
      </c>
      <c r="B189" s="407">
        <v>0.87</v>
      </c>
      <c r="C189" s="407">
        <v>5.30518</v>
      </c>
      <c r="D189" s="407">
        <v>0</v>
      </c>
      <c r="E189" s="407">
        <v>5.67</v>
      </c>
      <c r="F189" s="407">
        <v>0.57999999999999996</v>
      </c>
      <c r="G189" s="407">
        <v>0</v>
      </c>
      <c r="H189" s="407">
        <v>0</v>
      </c>
      <c r="I189" s="407">
        <v>1.74153</v>
      </c>
      <c r="J189" s="407">
        <v>5</v>
      </c>
      <c r="K189" s="407">
        <v>1</v>
      </c>
      <c r="L189" s="407">
        <v>-4.681</v>
      </c>
      <c r="M189" s="407">
        <v>-9.2070000000000007</v>
      </c>
      <c r="N189" s="407">
        <v>0</v>
      </c>
      <c r="O189" s="407">
        <v>3.0089999999999999</v>
      </c>
      <c r="Q189" s="407">
        <v>0.30599999999999999</v>
      </c>
      <c r="R189" s="407">
        <v>1.286</v>
      </c>
      <c r="S189" s="407">
        <v>0</v>
      </c>
      <c r="T189" s="407">
        <v>0.60599999999999998</v>
      </c>
      <c r="U189" s="407">
        <v>1.696</v>
      </c>
      <c r="V189" s="407">
        <v>0</v>
      </c>
      <c r="W189" s="407">
        <v>0.624</v>
      </c>
      <c r="X189" s="407">
        <v>0.378</v>
      </c>
      <c r="Y189" s="407">
        <v>0.317</v>
      </c>
      <c r="Z189" s="407">
        <v>0.80800000000000005</v>
      </c>
      <c r="AA189" s="407">
        <v>0</v>
      </c>
      <c r="AB189" s="407">
        <v>3.0089999999999999</v>
      </c>
      <c r="AC189" s="407">
        <v>0.30599999999999999</v>
      </c>
      <c r="AD189" s="407">
        <v>1.286</v>
      </c>
      <c r="AE189" s="407">
        <v>0</v>
      </c>
      <c r="AF189" s="407">
        <v>0.60599999999999998</v>
      </c>
    </row>
    <row r="190" spans="1:32">
      <c r="A190" s="406" t="s">
        <v>941</v>
      </c>
      <c r="B190" s="407">
        <v>-25.33043</v>
      </c>
      <c r="C190" s="407">
        <v>-6.2060899999999899</v>
      </c>
      <c r="D190" s="407">
        <v>82.98509</v>
      </c>
      <c r="E190" s="407">
        <v>73.325109999999995</v>
      </c>
      <c r="F190" s="407">
        <v>107.28263</v>
      </c>
      <c r="G190" s="407">
        <v>180.56943999999999</v>
      </c>
      <c r="H190" s="407">
        <v>131.21382</v>
      </c>
      <c r="I190" s="407">
        <v>267.67345</v>
      </c>
      <c r="J190" s="407">
        <v>220.881</v>
      </c>
      <c r="K190" s="407">
        <v>235.535</v>
      </c>
      <c r="L190" s="407">
        <v>135.04399999999899</v>
      </c>
      <c r="M190" s="407">
        <v>28.521999999999998</v>
      </c>
      <c r="N190" s="407">
        <v>22.731000000000002</v>
      </c>
      <c r="O190" s="407">
        <v>26.835999999999899</v>
      </c>
      <c r="Q190" s="407">
        <v>84.670999999999907</v>
      </c>
      <c r="R190" s="407">
        <v>91.433999999999997</v>
      </c>
      <c r="S190" s="407">
        <v>114.852</v>
      </c>
      <c r="T190" s="407">
        <v>162.488</v>
      </c>
      <c r="U190" s="407">
        <v>157.90600000000001</v>
      </c>
      <c r="V190" s="407">
        <v>204.50700000000001</v>
      </c>
      <c r="W190" s="407">
        <v>160.07899999999901</v>
      </c>
      <c r="X190" s="407">
        <v>163.027999999999</v>
      </c>
      <c r="Y190" s="407">
        <v>125.60299999999999</v>
      </c>
      <c r="Z190" s="407">
        <v>40.048999999999999</v>
      </c>
      <c r="AA190" s="407">
        <v>23.117999999999899</v>
      </c>
      <c r="AB190" s="407">
        <v>23.451000000000001</v>
      </c>
      <c r="AC190" s="407">
        <v>75.686000000000007</v>
      </c>
      <c r="AD190" s="407">
        <v>91.653999999999996</v>
      </c>
      <c r="AE190" s="407">
        <v>124.157</v>
      </c>
      <c r="AF190" s="407">
        <v>167.988</v>
      </c>
    </row>
    <row r="192" spans="1:32">
      <c r="A192" s="406" t="s">
        <v>942</v>
      </c>
      <c r="B192" s="407">
        <v>67.576080000000005</v>
      </c>
      <c r="C192" s="407">
        <v>75.501779999999997</v>
      </c>
      <c r="D192" s="407">
        <v>93.108739999999997</v>
      </c>
      <c r="E192" s="407">
        <v>114.33919</v>
      </c>
      <c r="F192" s="407">
        <v>95.855639999999994</v>
      </c>
      <c r="G192" s="407">
        <v>114.95016</v>
      </c>
      <c r="H192" s="407">
        <v>245.78112999999999</v>
      </c>
      <c r="I192" s="407">
        <v>150.7604</v>
      </c>
      <c r="J192" s="407">
        <v>268.84699999999998</v>
      </c>
      <c r="K192" s="407">
        <v>262.13799999999998</v>
      </c>
      <c r="L192" s="407">
        <v>72.405000000000001</v>
      </c>
      <c r="M192" s="407">
        <v>59.728999999999999</v>
      </c>
      <c r="N192" s="407">
        <v>103.39700000000001</v>
      </c>
      <c r="O192" s="407">
        <v>91.837999999999994</v>
      </c>
      <c r="Q192" s="407">
        <v>112.625</v>
      </c>
      <c r="R192" s="407">
        <v>90.084999999999994</v>
      </c>
      <c r="S192" s="407">
        <v>124.577</v>
      </c>
      <c r="T192" s="407">
        <v>142.215</v>
      </c>
      <c r="U192" s="407">
        <v>166.41499999999999</v>
      </c>
      <c r="V192" s="407">
        <v>455.49200000000002</v>
      </c>
      <c r="W192" s="407">
        <v>147.29400000000001</v>
      </c>
      <c r="X192" s="407">
        <v>223.453</v>
      </c>
      <c r="Y192" s="407">
        <v>119.994</v>
      </c>
      <c r="Z192" s="407">
        <v>122.04</v>
      </c>
      <c r="AA192" s="407">
        <v>120.52</v>
      </c>
      <c r="AB192" s="407">
        <v>115.176</v>
      </c>
      <c r="AC192" s="407">
        <v>126.776</v>
      </c>
      <c r="AD192" s="407">
        <v>111.53400000000001</v>
      </c>
      <c r="AE192" s="407">
        <v>166.75</v>
      </c>
      <c r="AF192" s="407">
        <v>140.90299999999999</v>
      </c>
    </row>
    <row r="193" spans="1:32">
      <c r="A193" s="406" t="s">
        <v>943</v>
      </c>
      <c r="B193" s="407">
        <v>67.576080000000005</v>
      </c>
      <c r="C193" s="407">
        <v>75.501779999999997</v>
      </c>
      <c r="D193" s="407">
        <v>93.108739999999997</v>
      </c>
      <c r="E193" s="407">
        <v>114.33919</v>
      </c>
      <c r="F193" s="407">
        <v>95.855639999999994</v>
      </c>
      <c r="G193" s="407">
        <v>114.95016</v>
      </c>
      <c r="H193" s="407">
        <v>245.78112999999999</v>
      </c>
      <c r="I193" s="407">
        <v>150.7604</v>
      </c>
      <c r="J193" s="407">
        <v>268.84699999999998</v>
      </c>
      <c r="K193" s="407">
        <v>262.13799999999998</v>
      </c>
      <c r="L193" s="407">
        <v>72.405000000000001</v>
      </c>
      <c r="M193" s="407">
        <v>59.728999999999999</v>
      </c>
      <c r="N193" s="407">
        <v>103.39700000000001</v>
      </c>
      <c r="O193" s="407">
        <v>91.837999999999994</v>
      </c>
      <c r="Q193" s="407">
        <v>112.625</v>
      </c>
      <c r="R193" s="407">
        <v>90.084999999999994</v>
      </c>
      <c r="S193" s="407">
        <v>124.577</v>
      </c>
      <c r="T193" s="407">
        <v>142.215</v>
      </c>
      <c r="U193" s="407">
        <v>166.41499999999999</v>
      </c>
      <c r="V193" s="407">
        <v>455.49200000000002</v>
      </c>
      <c r="W193" s="407">
        <v>147.29400000000001</v>
      </c>
      <c r="X193" s="407">
        <v>223.453</v>
      </c>
      <c r="Y193" s="407">
        <v>119.994</v>
      </c>
      <c r="Z193" s="407">
        <v>122.04</v>
      </c>
      <c r="AA193" s="407">
        <v>120.52</v>
      </c>
      <c r="AB193" s="407">
        <v>115.176</v>
      </c>
      <c r="AC193" s="407">
        <v>126.776</v>
      </c>
      <c r="AD193" s="407">
        <v>111.53400000000001</v>
      </c>
      <c r="AE193" s="407">
        <v>166.75</v>
      </c>
      <c r="AF193" s="407">
        <v>140.90299999999999</v>
      </c>
    </row>
    <row r="195" spans="1:32">
      <c r="A195" s="406" t="s">
        <v>944</v>
      </c>
      <c r="B195" s="407">
        <v>46.52919</v>
      </c>
      <c r="C195" s="407">
        <v>51.588679999999997</v>
      </c>
      <c r="D195" s="407">
        <v>53.658079999999998</v>
      </c>
      <c r="E195" s="407">
        <v>44.99568</v>
      </c>
      <c r="F195" s="407">
        <v>45.387250000000002</v>
      </c>
      <c r="G195" s="407">
        <v>47.81953</v>
      </c>
      <c r="H195" s="407">
        <v>41.311039999999998</v>
      </c>
      <c r="I195" s="407">
        <v>52.621029999999998</v>
      </c>
      <c r="J195" s="407">
        <v>60.734999999999999</v>
      </c>
      <c r="K195" s="407">
        <v>62.945</v>
      </c>
      <c r="L195" s="407">
        <v>58.945</v>
      </c>
      <c r="M195" s="407">
        <v>53.212000000000003</v>
      </c>
      <c r="N195" s="407">
        <v>55.453000000000003</v>
      </c>
      <c r="O195" s="407">
        <v>52.654000000000003</v>
      </c>
      <c r="Q195" s="407">
        <v>63.784999999999997</v>
      </c>
      <c r="R195" s="407">
        <v>51.122</v>
      </c>
      <c r="S195" s="407">
        <v>62.985999999999997</v>
      </c>
      <c r="T195" s="407">
        <v>56.186999999999998</v>
      </c>
      <c r="U195" s="407">
        <v>54.323</v>
      </c>
      <c r="V195" s="407">
        <v>84.981999999999999</v>
      </c>
      <c r="W195" s="407">
        <v>74.117000000000004</v>
      </c>
      <c r="X195" s="407">
        <v>71.382999999999996</v>
      </c>
      <c r="Y195" s="407">
        <v>73.915999999999997</v>
      </c>
      <c r="Z195" s="407">
        <v>60.985999999999997</v>
      </c>
      <c r="AA195" s="407">
        <v>82.046999999999997</v>
      </c>
      <c r="AB195" s="407">
        <v>74.183000000000007</v>
      </c>
      <c r="AC195" s="407">
        <v>84.046999999999997</v>
      </c>
      <c r="AD195" s="407">
        <v>77.715000000000003</v>
      </c>
      <c r="AE195" s="407">
        <v>94.644999999999996</v>
      </c>
      <c r="AF195" s="407">
        <v>80.248000000000005</v>
      </c>
    </row>
    <row r="196" spans="1:32">
      <c r="A196" s="406" t="s">
        <v>945</v>
      </c>
      <c r="B196" s="407">
        <v>147.47917999999899</v>
      </c>
      <c r="C196" s="407">
        <v>362.07344000000001</v>
      </c>
      <c r="D196" s="407">
        <v>394.84930999999898</v>
      </c>
      <c r="E196" s="407">
        <v>303.43621000000002</v>
      </c>
      <c r="F196" s="407">
        <v>307.88200999999998</v>
      </c>
      <c r="G196" s="407">
        <v>332.44318999999899</v>
      </c>
      <c r="H196" s="407">
        <v>234.3639</v>
      </c>
      <c r="I196" s="407">
        <v>266.720069999999</v>
      </c>
      <c r="J196" s="407">
        <v>153.36099999999999</v>
      </c>
      <c r="K196" s="407">
        <v>322.45</v>
      </c>
      <c r="L196" s="407">
        <v>231.22300000000001</v>
      </c>
      <c r="M196" s="407">
        <v>192.71899999999999</v>
      </c>
      <c r="N196" s="407">
        <v>260.548</v>
      </c>
      <c r="O196" s="407">
        <v>248.125</v>
      </c>
      <c r="Q196" s="407">
        <v>274.178</v>
      </c>
      <c r="R196" s="407">
        <v>267.90499999999997</v>
      </c>
      <c r="S196" s="407">
        <v>296.90699999999998</v>
      </c>
      <c r="T196" s="407">
        <v>314.11399999999998</v>
      </c>
      <c r="U196" s="407">
        <v>294.29899999999998</v>
      </c>
      <c r="V196" s="407">
        <v>303.04000000000002</v>
      </c>
      <c r="W196" s="407">
        <v>313.911</v>
      </c>
      <c r="X196" s="407">
        <v>384.851</v>
      </c>
      <c r="Y196" s="407">
        <v>293.51400000000001</v>
      </c>
      <c r="Z196" s="407">
        <v>270.62</v>
      </c>
      <c r="AA196" s="407">
        <v>269.42200000000003</v>
      </c>
      <c r="AB196" s="407">
        <v>258.87099999999998</v>
      </c>
      <c r="AC196" s="407">
        <v>278.178</v>
      </c>
      <c r="AD196" s="407">
        <v>289.12</v>
      </c>
      <c r="AE196" s="407">
        <v>315.921999999999</v>
      </c>
      <c r="AF196" s="407">
        <v>323.72299999999899</v>
      </c>
    </row>
    <row r="197" spans="1:32">
      <c r="A197" s="406" t="s">
        <v>946</v>
      </c>
      <c r="B197" s="407">
        <v>62.849460000000001</v>
      </c>
      <c r="C197" s="407">
        <v>62.378570000000003</v>
      </c>
      <c r="D197" s="407">
        <v>66.175560000000004</v>
      </c>
      <c r="E197" s="407">
        <v>98.121139999999997</v>
      </c>
      <c r="F197" s="407">
        <v>36.869790000000002</v>
      </c>
      <c r="G197" s="407">
        <v>99.865110000000001</v>
      </c>
      <c r="H197" s="407">
        <v>104.38195</v>
      </c>
      <c r="I197" s="407">
        <v>137.40600000000001</v>
      </c>
      <c r="J197" s="407">
        <v>126.49299999999999</v>
      </c>
      <c r="K197" s="407">
        <v>116.85299999999999</v>
      </c>
      <c r="L197" s="407">
        <v>100.032</v>
      </c>
      <c r="M197" s="407">
        <v>84.953000000000003</v>
      </c>
      <c r="N197" s="407">
        <v>68.83</v>
      </c>
      <c r="O197" s="407">
        <v>72.33</v>
      </c>
      <c r="Q197" s="407">
        <v>83.852000000000004</v>
      </c>
      <c r="R197" s="407">
        <v>77.28</v>
      </c>
      <c r="S197" s="407">
        <v>112.751</v>
      </c>
      <c r="T197" s="407">
        <v>95.873999999999995</v>
      </c>
      <c r="U197" s="407">
        <v>100.974</v>
      </c>
      <c r="V197" s="407">
        <v>130.86699999999999</v>
      </c>
      <c r="W197" s="407">
        <v>113.57299999999999</v>
      </c>
      <c r="X197" s="407">
        <v>115.535</v>
      </c>
      <c r="Y197" s="407">
        <v>85.228999999999999</v>
      </c>
      <c r="Z197" s="407">
        <v>83.254000000000005</v>
      </c>
      <c r="AA197" s="407">
        <v>80.09</v>
      </c>
      <c r="AB197" s="407">
        <v>77.411000000000001</v>
      </c>
      <c r="AC197" s="407">
        <v>82.207999999999998</v>
      </c>
      <c r="AD197" s="407">
        <v>85.828000000000003</v>
      </c>
      <c r="AE197" s="407">
        <v>114.56399999999999</v>
      </c>
      <c r="AF197" s="407">
        <v>91.974000000000004</v>
      </c>
    </row>
    <row r="198" spans="1:32">
      <c r="A198" s="406" t="s">
        <v>947</v>
      </c>
      <c r="B198" s="407">
        <v>37.185960000000001</v>
      </c>
      <c r="C198" s="407">
        <v>31.986650000000001</v>
      </c>
      <c r="D198" s="407">
        <v>35.872819999999997</v>
      </c>
      <c r="E198" s="407">
        <v>30.194849999999999</v>
      </c>
      <c r="F198" s="407">
        <v>34.093339999999998</v>
      </c>
      <c r="G198" s="407">
        <v>25.610589999999998</v>
      </c>
      <c r="H198" s="407">
        <v>15.65258</v>
      </c>
      <c r="I198" s="407">
        <v>31.229330000000001</v>
      </c>
      <c r="J198" s="407">
        <v>35.167000000000002</v>
      </c>
      <c r="K198" s="407">
        <v>44.338000000000001</v>
      </c>
      <c r="L198" s="407">
        <v>53.366999999999997</v>
      </c>
      <c r="M198" s="407">
        <v>52.936</v>
      </c>
      <c r="N198" s="407">
        <v>58.155000000000001</v>
      </c>
      <c r="O198" s="407">
        <v>58.332000000000001</v>
      </c>
      <c r="Q198" s="407">
        <v>60.762999999999998</v>
      </c>
      <c r="R198" s="407">
        <v>43.024999999999999</v>
      </c>
      <c r="S198" s="407">
        <v>34.44</v>
      </c>
      <c r="T198" s="407">
        <v>28.573</v>
      </c>
      <c r="U198" s="407">
        <v>24.248999999999999</v>
      </c>
      <c r="V198" s="407">
        <v>32.832999999999998</v>
      </c>
      <c r="W198" s="407">
        <v>29.686</v>
      </c>
      <c r="X198" s="407">
        <v>31.338999999999999</v>
      </c>
      <c r="Y198" s="407">
        <v>43.816000000000003</v>
      </c>
      <c r="Z198" s="407">
        <v>46.677</v>
      </c>
      <c r="AA198" s="407">
        <v>57.116</v>
      </c>
      <c r="AB198" s="407">
        <v>58.292999999999999</v>
      </c>
      <c r="AC198" s="407">
        <v>60.722999999999999</v>
      </c>
      <c r="AD198" s="407">
        <v>42.993000000000002</v>
      </c>
      <c r="AE198" s="407">
        <v>34.411999999999999</v>
      </c>
      <c r="AF198" s="407">
        <v>28.544</v>
      </c>
    </row>
    <row r="199" spans="1:32">
      <c r="A199" s="406" t="s">
        <v>948</v>
      </c>
      <c r="B199" s="407">
        <v>14.9238</v>
      </c>
      <c r="C199" s="407">
        <v>34.05547</v>
      </c>
      <c r="D199" s="407">
        <v>24.723299999999998</v>
      </c>
      <c r="E199" s="407">
        <v>10.56386</v>
      </c>
      <c r="F199" s="407">
        <v>12.86816</v>
      </c>
      <c r="G199" s="407">
        <v>8.3986099999999997</v>
      </c>
      <c r="H199" s="407">
        <v>6.7948500000000003</v>
      </c>
      <c r="I199" s="407">
        <v>6.9702099999999998</v>
      </c>
      <c r="J199" s="407">
        <v>18.638000000000002</v>
      </c>
      <c r="K199" s="407">
        <v>15.561</v>
      </c>
      <c r="L199" s="407">
        <v>16.297999999999998</v>
      </c>
      <c r="M199" s="407">
        <v>17.297999999999998</v>
      </c>
      <c r="N199" s="407">
        <v>18.937999999999999</v>
      </c>
      <c r="O199" s="407">
        <v>17.652000000000001</v>
      </c>
      <c r="Q199" s="407">
        <v>23.114000000000001</v>
      </c>
      <c r="R199" s="407">
        <v>17.190999999999999</v>
      </c>
      <c r="S199" s="407">
        <v>24.652000000000001</v>
      </c>
      <c r="T199" s="407">
        <v>20.190999999999999</v>
      </c>
      <c r="U199" s="407">
        <v>22.937999999999999</v>
      </c>
      <c r="V199" s="407">
        <v>23.399000000000001</v>
      </c>
      <c r="W199" s="407">
        <v>22.937999999999999</v>
      </c>
      <c r="X199" s="407">
        <v>20.919</v>
      </c>
      <c r="Y199" s="407">
        <v>21.652000000000001</v>
      </c>
      <c r="Z199" s="407">
        <v>21.652000000000001</v>
      </c>
      <c r="AA199" s="407">
        <v>18.928000000000001</v>
      </c>
      <c r="AB199" s="407">
        <v>18.645</v>
      </c>
      <c r="AC199" s="407">
        <v>23.106000000000002</v>
      </c>
      <c r="AD199" s="407">
        <v>16.184999999999999</v>
      </c>
      <c r="AE199" s="407">
        <v>20.645</v>
      </c>
      <c r="AF199" s="407">
        <v>19.184999999999999</v>
      </c>
    </row>
    <row r="200" spans="1:32">
      <c r="A200" s="406" t="s">
        <v>949</v>
      </c>
      <c r="B200" s="407">
        <v>174.04185999999899</v>
      </c>
      <c r="C200" s="407">
        <v>120.66054</v>
      </c>
      <c r="D200" s="407">
        <v>146.39033000000001</v>
      </c>
      <c r="E200" s="407">
        <v>114.50302000000001</v>
      </c>
      <c r="F200" s="407">
        <v>130.52793</v>
      </c>
      <c r="G200" s="407">
        <v>227.85511</v>
      </c>
      <c r="H200" s="407">
        <v>122.144399999999</v>
      </c>
      <c r="I200" s="407">
        <v>136.10316</v>
      </c>
      <c r="J200" s="407">
        <v>144.40299999999999</v>
      </c>
      <c r="K200" s="407">
        <v>133.626</v>
      </c>
      <c r="L200" s="407">
        <v>163.714</v>
      </c>
      <c r="M200" s="407">
        <v>230.02</v>
      </c>
      <c r="N200" s="407">
        <v>185.17500000000001</v>
      </c>
      <c r="O200" s="407">
        <v>149.137</v>
      </c>
      <c r="Q200" s="407">
        <v>120.122</v>
      </c>
      <c r="R200" s="407">
        <v>120.50700000000001</v>
      </c>
      <c r="S200" s="407">
        <v>123.58799999999999</v>
      </c>
      <c r="T200" s="407">
        <v>119.401</v>
      </c>
      <c r="U200" s="407">
        <v>106.642</v>
      </c>
      <c r="V200" s="407">
        <v>120.149999999999</v>
      </c>
      <c r="W200" s="407">
        <v>106.646999999999</v>
      </c>
      <c r="X200" s="407">
        <v>111.955</v>
      </c>
      <c r="Y200" s="407">
        <v>117.895</v>
      </c>
      <c r="Z200" s="407">
        <v>194.03200000000001</v>
      </c>
      <c r="AA200" s="407">
        <v>194.61099999999999</v>
      </c>
      <c r="AB200" s="407">
        <v>150.25200000000001</v>
      </c>
      <c r="AC200" s="407">
        <v>133.68899999999999</v>
      </c>
      <c r="AD200" s="407">
        <v>138.19999999999999</v>
      </c>
      <c r="AE200" s="407">
        <v>143.80699999999999</v>
      </c>
      <c r="AF200" s="407">
        <v>132.95099999999999</v>
      </c>
    </row>
    <row r="201" spans="1:32">
      <c r="A201" s="406" t="s">
        <v>950</v>
      </c>
      <c r="B201" s="407">
        <v>15.57511</v>
      </c>
      <c r="C201" s="407">
        <v>7.3618100000000002</v>
      </c>
      <c r="D201" s="407">
        <v>13.075579999999899</v>
      </c>
      <c r="E201" s="407">
        <v>10.625689999999899</v>
      </c>
      <c r="F201" s="407">
        <v>12.1780899999999</v>
      </c>
      <c r="G201" s="407">
        <v>13.037369999999999</v>
      </c>
      <c r="H201" s="407">
        <v>6.8503299999999996</v>
      </c>
      <c r="I201" s="407">
        <v>12.3235299999999</v>
      </c>
      <c r="J201" s="407">
        <v>16.033000000000001</v>
      </c>
      <c r="K201" s="407">
        <v>17.087</v>
      </c>
      <c r="L201" s="407">
        <v>18.600999999999999</v>
      </c>
      <c r="M201" s="407">
        <v>18.266999999999999</v>
      </c>
      <c r="N201" s="407">
        <v>9.2880000000000003</v>
      </c>
      <c r="O201" s="407">
        <v>7.9109999999999996</v>
      </c>
      <c r="Q201" s="407">
        <v>7.91</v>
      </c>
      <c r="R201" s="407">
        <v>7.9109999999999996</v>
      </c>
      <c r="S201" s="407">
        <v>9.2880000000000003</v>
      </c>
      <c r="T201" s="407">
        <v>6.5329999999999897</v>
      </c>
      <c r="U201" s="407">
        <v>6.53399999999999</v>
      </c>
      <c r="V201" s="407">
        <v>6.5329999999999897</v>
      </c>
      <c r="W201" s="407">
        <v>6.5330000000000004</v>
      </c>
      <c r="X201" s="407">
        <v>6.5330000000000004</v>
      </c>
      <c r="Y201" s="407">
        <v>7.9109999999999996</v>
      </c>
      <c r="Z201" s="407">
        <v>7.9109999999999996</v>
      </c>
      <c r="AA201" s="407">
        <v>9.3460000000000001</v>
      </c>
      <c r="AB201" s="407">
        <v>7.9610000000000003</v>
      </c>
      <c r="AC201" s="407">
        <v>7.9610000000000003</v>
      </c>
      <c r="AD201" s="407">
        <v>7.9609999999999896</v>
      </c>
      <c r="AE201" s="407">
        <v>6.5749999999999904</v>
      </c>
      <c r="AF201" s="407">
        <v>6.5739999999999998</v>
      </c>
    </row>
    <row r="202" spans="1:32">
      <c r="A202" s="406" t="s">
        <v>951</v>
      </c>
      <c r="B202" s="407">
        <v>334.69718999999998</v>
      </c>
      <c r="C202" s="407">
        <v>319.01838999999899</v>
      </c>
      <c r="D202" s="407">
        <v>325.09751</v>
      </c>
      <c r="E202" s="407">
        <v>278.54730999999998</v>
      </c>
      <c r="F202" s="407">
        <v>357.24439000000001</v>
      </c>
      <c r="G202" s="407">
        <v>293.33933999999999</v>
      </c>
      <c r="H202" s="407">
        <v>316.32597999999899</v>
      </c>
      <c r="I202" s="407">
        <v>236.29583</v>
      </c>
      <c r="J202" s="407">
        <v>307.10399999999998</v>
      </c>
      <c r="K202" s="407">
        <v>301.75799999999998</v>
      </c>
      <c r="L202" s="407">
        <v>338.28099999999898</v>
      </c>
      <c r="M202" s="407">
        <v>348.21199999999999</v>
      </c>
      <c r="N202" s="407">
        <v>305.42899999999997</v>
      </c>
      <c r="O202" s="407">
        <v>294.779</v>
      </c>
      <c r="Q202" s="407">
        <v>338.37</v>
      </c>
      <c r="R202" s="407">
        <v>347.87199999999899</v>
      </c>
      <c r="S202" s="407">
        <v>377.709</v>
      </c>
      <c r="T202" s="407">
        <v>372.445999999999</v>
      </c>
      <c r="U202" s="407">
        <v>363.06700000000001</v>
      </c>
      <c r="V202" s="407">
        <v>405.491999999999</v>
      </c>
      <c r="W202" s="407">
        <v>382.84199999999998</v>
      </c>
      <c r="X202" s="407">
        <v>347.565</v>
      </c>
      <c r="Y202" s="407">
        <v>320.935</v>
      </c>
      <c r="Z202" s="407">
        <v>295.274</v>
      </c>
      <c r="AA202" s="407">
        <v>334.236999999999</v>
      </c>
      <c r="AB202" s="407">
        <v>314.11</v>
      </c>
      <c r="AC202" s="407">
        <v>338.93799999999999</v>
      </c>
      <c r="AD202" s="407">
        <v>323.43700000000001</v>
      </c>
      <c r="AE202" s="407">
        <v>347.83499999999998</v>
      </c>
      <c r="AF202" s="407">
        <v>344.53399999999999</v>
      </c>
    </row>
    <row r="203" spans="1:32">
      <c r="A203" s="406" t="s">
        <v>952</v>
      </c>
      <c r="B203" s="407">
        <v>0</v>
      </c>
      <c r="C203" s="407">
        <v>0</v>
      </c>
      <c r="D203" s="407">
        <v>0</v>
      </c>
      <c r="E203" s="407">
        <v>0</v>
      </c>
      <c r="F203" s="407">
        <v>4.0333300000000003</v>
      </c>
      <c r="G203" s="407">
        <v>0</v>
      </c>
      <c r="H203" s="407">
        <v>0.1</v>
      </c>
      <c r="I203" s="407">
        <v>2.5145599999999999</v>
      </c>
      <c r="J203" s="407">
        <v>0</v>
      </c>
      <c r="K203" s="407">
        <v>0</v>
      </c>
      <c r="L203" s="407">
        <v>0</v>
      </c>
      <c r="M203" s="407">
        <v>0</v>
      </c>
      <c r="N203" s="407">
        <v>0</v>
      </c>
      <c r="O203" s="407">
        <v>0</v>
      </c>
      <c r="Q203" s="407">
        <v>0</v>
      </c>
      <c r="R203" s="407">
        <v>0</v>
      </c>
      <c r="S203" s="407">
        <v>1.2</v>
      </c>
      <c r="T203" s="407">
        <v>4.8559999999999999</v>
      </c>
      <c r="U203" s="407">
        <v>0.69899999999999995</v>
      </c>
      <c r="V203" s="407">
        <v>0</v>
      </c>
      <c r="W203" s="407">
        <v>0</v>
      </c>
      <c r="X203" s="407">
        <v>0</v>
      </c>
      <c r="Y203" s="407">
        <v>0</v>
      </c>
      <c r="Z203" s="407">
        <v>0</v>
      </c>
      <c r="AA203" s="407">
        <v>0</v>
      </c>
      <c r="AB203" s="407">
        <v>0</v>
      </c>
      <c r="AC203" s="407">
        <v>0</v>
      </c>
      <c r="AD203" s="407">
        <v>0</v>
      </c>
      <c r="AE203" s="407">
        <v>1.2</v>
      </c>
      <c r="AF203" s="407">
        <v>4.8559999999999999</v>
      </c>
    </row>
    <row r="204" spans="1:32">
      <c r="A204" s="406" t="s">
        <v>953</v>
      </c>
      <c r="B204" s="407">
        <v>833.28174999999999</v>
      </c>
      <c r="C204" s="407">
        <v>989.123549999999</v>
      </c>
      <c r="D204" s="407">
        <v>1059.84249</v>
      </c>
      <c r="E204" s="407">
        <v>890.98775999999998</v>
      </c>
      <c r="F204" s="407">
        <v>941.08429000000001</v>
      </c>
      <c r="G204" s="407">
        <v>1048.3688499999901</v>
      </c>
      <c r="H204" s="407">
        <v>847.92502999999999</v>
      </c>
      <c r="I204" s="407">
        <v>882.18371999999999</v>
      </c>
      <c r="J204" s="407">
        <v>861.93399999999997</v>
      </c>
      <c r="K204" s="407">
        <v>1014.61799999999</v>
      </c>
      <c r="L204" s="407">
        <v>980.46099999999899</v>
      </c>
      <c r="M204" s="407">
        <v>997.61699999999996</v>
      </c>
      <c r="N204" s="407">
        <v>961.81599999999901</v>
      </c>
      <c r="O204" s="407">
        <v>900.92</v>
      </c>
      <c r="Q204" s="407">
        <v>972.09400000000005</v>
      </c>
      <c r="R204" s="407">
        <v>932.81299999999999</v>
      </c>
      <c r="S204" s="407">
        <v>1043.521</v>
      </c>
      <c r="T204" s="407">
        <v>1018.175</v>
      </c>
      <c r="U204" s="407">
        <v>973.72500000000002</v>
      </c>
      <c r="V204" s="407">
        <v>1107.29599999999</v>
      </c>
      <c r="W204" s="407">
        <v>1050.2470000000001</v>
      </c>
      <c r="X204" s="407">
        <v>1090.08</v>
      </c>
      <c r="Y204" s="407">
        <v>964.86799999999903</v>
      </c>
      <c r="Z204" s="407">
        <v>980.40599999999995</v>
      </c>
      <c r="AA204" s="407">
        <v>1045.797</v>
      </c>
      <c r="AB204" s="407">
        <v>959.726</v>
      </c>
      <c r="AC204" s="407">
        <v>1008.85</v>
      </c>
      <c r="AD204" s="407">
        <v>981.43899999999996</v>
      </c>
      <c r="AE204" s="407">
        <v>1079.605</v>
      </c>
      <c r="AF204" s="407">
        <v>1032.5889999999899</v>
      </c>
    </row>
    <row r="206" spans="1:32">
      <c r="A206" s="406" t="s">
        <v>954</v>
      </c>
      <c r="B206" s="407">
        <v>0</v>
      </c>
      <c r="C206" s="407">
        <v>0</v>
      </c>
      <c r="D206" s="407">
        <v>0</v>
      </c>
      <c r="E206" s="407">
        <v>0</v>
      </c>
      <c r="F206" s="407">
        <v>0</v>
      </c>
      <c r="G206" s="407">
        <v>0</v>
      </c>
      <c r="H206" s="407">
        <v>0</v>
      </c>
      <c r="I206" s="407">
        <v>0</v>
      </c>
      <c r="J206" s="407">
        <v>0</v>
      </c>
      <c r="K206" s="407">
        <v>0</v>
      </c>
      <c r="L206" s="407">
        <v>0</v>
      </c>
      <c r="M206" s="407">
        <v>0</v>
      </c>
      <c r="N206" s="407">
        <v>0</v>
      </c>
      <c r="O206" s="407">
        <v>0</v>
      </c>
      <c r="Q206" s="407">
        <v>0</v>
      </c>
      <c r="R206" s="407">
        <v>0</v>
      </c>
      <c r="S206" s="407">
        <v>0</v>
      </c>
      <c r="T206" s="407">
        <v>0</v>
      </c>
      <c r="U206" s="407">
        <v>0</v>
      </c>
      <c r="V206" s="407">
        <v>0</v>
      </c>
      <c r="W206" s="407">
        <v>0</v>
      </c>
      <c r="X206" s="407">
        <v>0</v>
      </c>
      <c r="Y206" s="407">
        <v>0</v>
      </c>
      <c r="Z206" s="407">
        <v>0</v>
      </c>
      <c r="AA206" s="407">
        <v>0</v>
      </c>
      <c r="AB206" s="407">
        <v>0</v>
      </c>
      <c r="AC206" s="407">
        <v>0</v>
      </c>
      <c r="AD206" s="407">
        <v>0</v>
      </c>
      <c r="AE206" s="407">
        <v>0</v>
      </c>
      <c r="AF206" s="407">
        <v>0</v>
      </c>
    </row>
    <row r="207" spans="1:32">
      <c r="A207" s="406" t="s">
        <v>955</v>
      </c>
      <c r="B207" s="407">
        <v>794.56921999999997</v>
      </c>
      <c r="C207" s="407">
        <v>735.45654999999999</v>
      </c>
      <c r="D207" s="407">
        <v>796.10924999999997</v>
      </c>
      <c r="E207" s="407">
        <v>782.34802999999999</v>
      </c>
      <c r="F207" s="407">
        <v>903.92434000000003</v>
      </c>
      <c r="G207" s="407">
        <v>640.43941999999902</v>
      </c>
      <c r="H207" s="407">
        <v>680.66777000000002</v>
      </c>
      <c r="I207" s="407">
        <v>879.05799999999999</v>
      </c>
      <c r="J207" s="407">
        <v>687.95699999999999</v>
      </c>
      <c r="K207" s="407">
        <v>832.24199999999996</v>
      </c>
      <c r="L207" s="407">
        <v>811.70899999999995</v>
      </c>
      <c r="M207" s="407">
        <v>952.50199999999995</v>
      </c>
      <c r="N207" s="407">
        <v>779.73299999999995</v>
      </c>
      <c r="O207" s="407">
        <v>700.76400000000001</v>
      </c>
      <c r="Q207" s="407">
        <v>807.08</v>
      </c>
      <c r="R207" s="407">
        <v>778.12199999999996</v>
      </c>
      <c r="S207" s="407">
        <v>863.64199999999903</v>
      </c>
      <c r="T207" s="407">
        <v>807.197</v>
      </c>
      <c r="U207" s="407">
        <v>771.20799999999997</v>
      </c>
      <c r="V207" s="407">
        <v>887.48199999999997</v>
      </c>
      <c r="W207" s="407">
        <v>850.16200000000003</v>
      </c>
      <c r="X207" s="407">
        <v>878.07100000000003</v>
      </c>
      <c r="Y207" s="407">
        <v>839.923</v>
      </c>
      <c r="Z207" s="407">
        <v>763.19100000000003</v>
      </c>
      <c r="AA207" s="407">
        <v>827.029</v>
      </c>
      <c r="AB207" s="407">
        <v>729.71799999999996</v>
      </c>
      <c r="AC207" s="407">
        <v>812.17</v>
      </c>
      <c r="AD207" s="407">
        <v>823.66800000000001</v>
      </c>
      <c r="AE207" s="407">
        <v>896.24199999999996</v>
      </c>
      <c r="AF207" s="407">
        <v>847.51799999999901</v>
      </c>
    </row>
    <row r="208" spans="1:32">
      <c r="A208" s="406" t="s">
        <v>956</v>
      </c>
      <c r="B208" s="407">
        <v>7.9554099999999996</v>
      </c>
      <c r="C208" s="407">
        <v>5.0886699999999996</v>
      </c>
      <c r="D208" s="407">
        <v>1.82755</v>
      </c>
      <c r="E208" s="407">
        <v>7.1623999999999999</v>
      </c>
      <c r="F208" s="407">
        <v>5.4169999999999998</v>
      </c>
      <c r="G208" s="407">
        <v>9.7209500000000002</v>
      </c>
      <c r="H208" s="407">
        <v>10.370660000000001</v>
      </c>
      <c r="I208" s="407">
        <v>9.0235099999999999</v>
      </c>
      <c r="J208" s="407">
        <v>18.023</v>
      </c>
      <c r="K208" s="407">
        <v>16.875</v>
      </c>
      <c r="L208" s="407">
        <v>10.651999999999999</v>
      </c>
      <c r="M208" s="407">
        <v>11.089</v>
      </c>
      <c r="N208" s="407">
        <v>12.278</v>
      </c>
      <c r="O208" s="407">
        <v>9.8170000000000002</v>
      </c>
      <c r="Q208" s="407">
        <v>10.532</v>
      </c>
      <c r="R208" s="407">
        <v>10.532</v>
      </c>
      <c r="S208" s="407">
        <v>7.6390000000000002</v>
      </c>
      <c r="T208" s="407">
        <v>18.815999999999999</v>
      </c>
      <c r="U208" s="407">
        <v>26.385999999999999</v>
      </c>
      <c r="V208" s="407">
        <v>26.67</v>
      </c>
      <c r="W208" s="407">
        <v>19.209</v>
      </c>
      <c r="X208" s="407">
        <v>19.670000000000002</v>
      </c>
      <c r="Y208" s="407">
        <v>10.385999999999999</v>
      </c>
      <c r="Z208" s="407">
        <v>10.817</v>
      </c>
      <c r="AA208" s="407">
        <v>12.263</v>
      </c>
      <c r="AB208" s="407">
        <v>9.8040000000000003</v>
      </c>
      <c r="AC208" s="407">
        <v>9.5220000000000002</v>
      </c>
      <c r="AD208" s="407">
        <v>9.5220000000000002</v>
      </c>
      <c r="AE208" s="407">
        <v>6.6319999999999997</v>
      </c>
      <c r="AF208" s="407">
        <v>5.8090000000000002</v>
      </c>
    </row>
    <row r="209" spans="1:32">
      <c r="A209" s="406" t="s">
        <v>957</v>
      </c>
      <c r="B209" s="407">
        <v>54.882129999999997</v>
      </c>
      <c r="C209" s="407">
        <v>61.205500000000001</v>
      </c>
      <c r="D209" s="407">
        <v>44.771160000000002</v>
      </c>
      <c r="E209" s="407">
        <v>32.771189999999997</v>
      </c>
      <c r="F209" s="407">
        <v>20.437429999999999</v>
      </c>
      <c r="G209" s="407">
        <v>14.228400000000001</v>
      </c>
      <c r="H209" s="407">
        <v>18.47888</v>
      </c>
      <c r="I209" s="407">
        <v>20.634730000000001</v>
      </c>
      <c r="J209" s="407">
        <v>17.123000000000001</v>
      </c>
      <c r="K209" s="407">
        <v>17.997</v>
      </c>
      <c r="L209" s="407">
        <v>24.402999999999999</v>
      </c>
      <c r="M209" s="407">
        <v>24.914000000000001</v>
      </c>
      <c r="N209" s="407">
        <v>24.613</v>
      </c>
      <c r="O209" s="407">
        <v>22.183</v>
      </c>
      <c r="Q209" s="407">
        <v>24.259</v>
      </c>
      <c r="R209" s="407">
        <v>20.396999999999998</v>
      </c>
      <c r="S209" s="407">
        <v>16.029</v>
      </c>
      <c r="T209" s="407">
        <v>15.029</v>
      </c>
      <c r="U209" s="407">
        <v>24.696000000000002</v>
      </c>
      <c r="V209" s="407">
        <v>23.696000000000002</v>
      </c>
      <c r="W209" s="407">
        <v>25.696000000000002</v>
      </c>
      <c r="X209" s="407">
        <v>26.558</v>
      </c>
      <c r="Y209" s="407">
        <v>32.926000000000002</v>
      </c>
      <c r="Z209" s="407">
        <v>33.387999999999998</v>
      </c>
      <c r="AA209" s="407">
        <v>23.602</v>
      </c>
      <c r="AB209" s="407">
        <v>22.172000000000001</v>
      </c>
      <c r="AC209" s="407">
        <v>23.248000000000001</v>
      </c>
      <c r="AD209" s="407">
        <v>20.388000000000002</v>
      </c>
      <c r="AE209" s="407">
        <v>15.022</v>
      </c>
      <c r="AF209" s="407">
        <v>15.022</v>
      </c>
    </row>
    <row r="210" spans="1:32">
      <c r="A210" s="406" t="s">
        <v>958</v>
      </c>
      <c r="B210" s="407">
        <v>21.53134</v>
      </c>
      <c r="C210" s="407">
        <v>21.385529999999999</v>
      </c>
      <c r="D210" s="407">
        <v>23.297820000000002</v>
      </c>
      <c r="E210" s="407">
        <v>76.491159999999994</v>
      </c>
      <c r="F210" s="407">
        <v>21.241530000000001</v>
      </c>
      <c r="G210" s="407">
        <v>13.0742099999999</v>
      </c>
      <c r="H210" s="407">
        <v>30.736989999999999</v>
      </c>
      <c r="I210" s="407">
        <v>27.778189999999999</v>
      </c>
      <c r="J210" s="407">
        <v>14.391999999999999</v>
      </c>
      <c r="K210" s="407">
        <v>17.667000000000002</v>
      </c>
      <c r="L210" s="407">
        <v>27.07</v>
      </c>
      <c r="M210" s="407">
        <v>14.182</v>
      </c>
      <c r="N210" s="407">
        <v>21.850999999999999</v>
      </c>
      <c r="O210" s="407">
        <v>25.728000000000002</v>
      </c>
      <c r="Q210" s="407">
        <v>34.726999999999997</v>
      </c>
      <c r="R210" s="407">
        <v>27.225999999999999</v>
      </c>
      <c r="S210" s="407">
        <v>34.384999999999998</v>
      </c>
      <c r="T210" s="407">
        <v>32.951999999999998</v>
      </c>
      <c r="U210" s="407">
        <v>31.625</v>
      </c>
      <c r="V210" s="407">
        <v>43.927</v>
      </c>
      <c r="W210" s="407">
        <v>39.018000000000001</v>
      </c>
      <c r="X210" s="407">
        <v>54.417999999999999</v>
      </c>
      <c r="Y210" s="407">
        <v>44.765999999999998</v>
      </c>
      <c r="Z210" s="407">
        <v>24.084</v>
      </c>
      <c r="AA210" s="407">
        <v>23.818000000000001</v>
      </c>
      <c r="AB210" s="407">
        <v>24.603999999999999</v>
      </c>
      <c r="AC210" s="407">
        <v>24.817</v>
      </c>
      <c r="AD210" s="407">
        <v>30.471</v>
      </c>
      <c r="AE210" s="407">
        <v>39.08</v>
      </c>
      <c r="AF210" s="407">
        <v>34.728999999999999</v>
      </c>
    </row>
    <row r="211" spans="1:32">
      <c r="A211" s="406" t="s">
        <v>959</v>
      </c>
      <c r="B211" s="407">
        <v>149.13882000000001</v>
      </c>
      <c r="C211" s="407">
        <v>100.780339999999</v>
      </c>
      <c r="D211" s="407">
        <v>144.05664999999999</v>
      </c>
      <c r="E211" s="407">
        <v>136.83529999999999</v>
      </c>
      <c r="F211" s="407">
        <v>135.30778999999899</v>
      </c>
      <c r="G211" s="407">
        <v>139.85909000000001</v>
      </c>
      <c r="H211" s="407">
        <v>150.98330999999999</v>
      </c>
      <c r="I211" s="407">
        <v>-39.849979999999903</v>
      </c>
      <c r="J211" s="407">
        <v>213.41800000000001</v>
      </c>
      <c r="K211" s="407">
        <v>226.77099999999999</v>
      </c>
      <c r="L211" s="407">
        <v>188.69399999999999</v>
      </c>
      <c r="M211" s="407">
        <v>183.113</v>
      </c>
      <c r="N211" s="407">
        <v>197.42500000000001</v>
      </c>
      <c r="O211" s="407">
        <v>173.83799999999999</v>
      </c>
      <c r="Q211" s="407">
        <v>201.99199999999999</v>
      </c>
      <c r="R211" s="407">
        <v>169.84199999999899</v>
      </c>
      <c r="S211" s="407">
        <v>189.34399999999999</v>
      </c>
      <c r="T211" s="407">
        <v>184.51</v>
      </c>
      <c r="U211" s="407">
        <v>168.11699999999999</v>
      </c>
      <c r="V211" s="407">
        <v>206.63399999999999</v>
      </c>
      <c r="W211" s="407">
        <v>188.26</v>
      </c>
      <c r="X211" s="407">
        <v>191.21199999999999</v>
      </c>
      <c r="Y211" s="407">
        <v>181.33199999999999</v>
      </c>
      <c r="Z211" s="407">
        <v>166.24199999999999</v>
      </c>
      <c r="AA211" s="407">
        <v>204.17099999999999</v>
      </c>
      <c r="AB211" s="407">
        <v>171.083</v>
      </c>
      <c r="AC211" s="407">
        <v>189.32</v>
      </c>
      <c r="AD211" s="407">
        <v>177.255</v>
      </c>
      <c r="AE211" s="407">
        <v>193.77699999999999</v>
      </c>
      <c r="AF211" s="407">
        <v>176.58799999999999</v>
      </c>
    </row>
    <row r="212" spans="1:32">
      <c r="A212" s="406" t="s">
        <v>1704</v>
      </c>
      <c r="B212" s="407">
        <v>0</v>
      </c>
      <c r="C212" s="407">
        <v>0</v>
      </c>
      <c r="D212" s="407">
        <v>0</v>
      </c>
      <c r="E212" s="407">
        <v>0</v>
      </c>
      <c r="F212" s="407">
        <v>0</v>
      </c>
      <c r="G212" s="407">
        <v>0</v>
      </c>
      <c r="H212" s="407">
        <v>0</v>
      </c>
      <c r="I212" s="407">
        <v>0</v>
      </c>
      <c r="J212" s="407">
        <v>0</v>
      </c>
      <c r="K212" s="407">
        <v>0</v>
      </c>
      <c r="L212" s="407">
        <v>0</v>
      </c>
      <c r="M212" s="407">
        <v>0</v>
      </c>
      <c r="N212" s="407">
        <v>0</v>
      </c>
      <c r="O212" s="407">
        <v>0</v>
      </c>
      <c r="Q212" s="407">
        <v>0</v>
      </c>
      <c r="R212" s="407">
        <v>0</v>
      </c>
      <c r="S212" s="407">
        <v>0</v>
      </c>
      <c r="T212" s="407">
        <v>0</v>
      </c>
      <c r="U212" s="407">
        <v>1.2529999999999999</v>
      </c>
      <c r="V212" s="407">
        <v>1.2529999999999999</v>
      </c>
      <c r="W212" s="407">
        <v>1.2529999999999999</v>
      </c>
      <c r="X212" s="407">
        <v>1.2529999999999999</v>
      </c>
      <c r="Y212" s="407">
        <v>1.2529999999999999</v>
      </c>
      <c r="Z212" s="407">
        <v>1.2529999999999999</v>
      </c>
      <c r="AA212" s="407">
        <v>1.28</v>
      </c>
      <c r="AB212" s="407">
        <v>1.28</v>
      </c>
      <c r="AC212" s="407">
        <v>1.28</v>
      </c>
      <c r="AD212" s="407">
        <v>1.28</v>
      </c>
      <c r="AE212" s="407">
        <v>1.28</v>
      </c>
      <c r="AF212" s="407">
        <v>1.28</v>
      </c>
    </row>
    <row r="213" spans="1:32">
      <c r="A213" s="406" t="s">
        <v>960</v>
      </c>
      <c r="B213" s="407">
        <v>16.250720000000001</v>
      </c>
      <c r="C213" s="407">
        <v>16.89537</v>
      </c>
      <c r="D213" s="407">
        <v>22.445360000000001</v>
      </c>
      <c r="E213" s="407">
        <v>20.51839</v>
      </c>
      <c r="F213" s="407">
        <v>7.1346400000000001</v>
      </c>
      <c r="G213" s="407">
        <v>13.10731</v>
      </c>
      <c r="H213" s="407">
        <v>18.176739999999999</v>
      </c>
      <c r="I213" s="407">
        <v>249.97335000000001</v>
      </c>
      <c r="J213" s="407">
        <v>20.398</v>
      </c>
      <c r="K213" s="407">
        <v>16.375</v>
      </c>
      <c r="L213" s="407">
        <v>19.398</v>
      </c>
      <c r="M213" s="407">
        <v>19.398</v>
      </c>
      <c r="N213" s="407">
        <v>40.965000000000003</v>
      </c>
      <c r="O213" s="407">
        <v>39.817999999999998</v>
      </c>
      <c r="Q213" s="407">
        <v>40.861999999999902</v>
      </c>
      <c r="R213" s="407">
        <v>41.930999999999997</v>
      </c>
      <c r="S213" s="407">
        <v>65.745999999999995</v>
      </c>
      <c r="T213" s="407">
        <v>43.633000000000003</v>
      </c>
      <c r="U213" s="407">
        <v>42.314999999999998</v>
      </c>
      <c r="V213" s="407">
        <v>48.402999999999999</v>
      </c>
      <c r="W213" s="407">
        <v>46.569000000000003</v>
      </c>
      <c r="X213" s="407">
        <v>52.831000000000003</v>
      </c>
      <c r="Y213" s="407">
        <v>55.216000000000001</v>
      </c>
      <c r="Z213" s="407">
        <v>41.152000000000001</v>
      </c>
      <c r="AA213" s="407">
        <v>41.356000000000002</v>
      </c>
      <c r="AB213" s="407">
        <v>40.164000000000001</v>
      </c>
      <c r="AC213" s="407">
        <v>41.238999999999997</v>
      </c>
      <c r="AD213" s="407">
        <v>42.28</v>
      </c>
      <c r="AE213" s="407">
        <v>66.48</v>
      </c>
      <c r="AF213" s="407">
        <v>43.393000000000001</v>
      </c>
    </row>
    <row r="214" spans="1:32">
      <c r="A214" s="406" t="s">
        <v>961</v>
      </c>
      <c r="B214" s="407">
        <v>1044.32764</v>
      </c>
      <c r="C214" s="407">
        <v>940.81196</v>
      </c>
      <c r="D214" s="407">
        <v>1032.5077900000001</v>
      </c>
      <c r="E214" s="407">
        <v>1056.1264699999999</v>
      </c>
      <c r="F214" s="407">
        <v>1093.46273</v>
      </c>
      <c r="G214" s="407">
        <v>830.42937999999901</v>
      </c>
      <c r="H214" s="407">
        <v>909.41435000000001</v>
      </c>
      <c r="I214" s="407">
        <v>1146.6178</v>
      </c>
      <c r="J214" s="407">
        <v>971.31100000000004</v>
      </c>
      <c r="K214" s="407">
        <v>1127.9269999999999</v>
      </c>
      <c r="L214" s="407">
        <v>1081.9259999999999</v>
      </c>
      <c r="M214" s="407">
        <v>1205.1980000000001</v>
      </c>
      <c r="N214" s="407">
        <v>1076.865</v>
      </c>
      <c r="O214" s="407">
        <v>972.147999999999</v>
      </c>
      <c r="Q214" s="407">
        <v>1119.452</v>
      </c>
      <c r="R214" s="407">
        <v>1048.05</v>
      </c>
      <c r="S214" s="407">
        <v>1176.7850000000001</v>
      </c>
      <c r="T214" s="407">
        <v>1102.1369999999999</v>
      </c>
      <c r="U214" s="407">
        <v>1065.5999999999999</v>
      </c>
      <c r="V214" s="407">
        <v>1238.0650000000001</v>
      </c>
      <c r="W214" s="407">
        <v>1170.1669999999999</v>
      </c>
      <c r="X214" s="407">
        <v>1224.0129999999999</v>
      </c>
      <c r="Y214" s="407">
        <v>1165.8019999999999</v>
      </c>
      <c r="Z214" s="407">
        <v>1040.127</v>
      </c>
      <c r="AA214" s="407">
        <v>1133.519</v>
      </c>
      <c r="AB214" s="407">
        <v>998.82500000000005</v>
      </c>
      <c r="AC214" s="407">
        <v>1101.596</v>
      </c>
      <c r="AD214" s="407">
        <v>1104.864</v>
      </c>
      <c r="AE214" s="407">
        <v>1218.5129999999999</v>
      </c>
      <c r="AF214" s="407">
        <v>1124.3389999999999</v>
      </c>
    </row>
    <row r="215" spans="1:32" s="367" customFormat="1">
      <c r="A215" s="406"/>
      <c r="B215" s="407"/>
      <c r="C215" s="407"/>
      <c r="D215" s="407"/>
      <c r="E215" s="407"/>
      <c r="F215" s="407"/>
      <c r="G215" s="407"/>
      <c r="H215" s="407"/>
      <c r="I215" s="407"/>
      <c r="J215" s="407"/>
      <c r="K215" s="407"/>
      <c r="L215" s="407"/>
      <c r="M215" s="407"/>
      <c r="N215" s="407"/>
      <c r="O215" s="407"/>
      <c r="Q215" s="407"/>
      <c r="R215" s="407"/>
      <c r="S215" s="407"/>
      <c r="T215" s="407"/>
      <c r="U215" s="407"/>
      <c r="V215" s="407"/>
      <c r="W215" s="407"/>
      <c r="X215" s="407"/>
      <c r="Y215" s="407"/>
      <c r="Z215" s="407"/>
      <c r="AA215" s="407"/>
      <c r="AB215" s="407"/>
      <c r="AC215" s="407"/>
      <c r="AD215" s="407"/>
      <c r="AE215" s="407"/>
      <c r="AF215" s="407"/>
    </row>
    <row r="216" spans="1:32">
      <c r="A216" s="408" t="s">
        <v>962</v>
      </c>
      <c r="B216" s="405"/>
      <c r="C216" s="405"/>
      <c r="D216" s="405"/>
      <c r="E216" s="405"/>
      <c r="F216" s="405"/>
      <c r="G216" s="405"/>
      <c r="H216" s="405"/>
      <c r="I216" s="405"/>
      <c r="J216" s="405"/>
      <c r="K216" s="405"/>
      <c r="L216" s="405"/>
      <c r="M216" s="405"/>
      <c r="N216" s="405"/>
      <c r="O216" s="405"/>
      <c r="Q216" s="405"/>
      <c r="R216" s="405"/>
      <c r="S216" s="405"/>
      <c r="T216" s="405"/>
      <c r="U216" s="405"/>
      <c r="V216" s="405"/>
      <c r="W216" s="405"/>
      <c r="X216" s="405"/>
      <c r="Y216" s="405"/>
      <c r="Z216" s="405"/>
      <c r="AA216" s="405"/>
      <c r="AB216" s="405"/>
      <c r="AC216" s="405"/>
      <c r="AD216" s="405"/>
      <c r="AE216" s="405"/>
      <c r="AF216" s="405"/>
    </row>
    <row r="217" spans="1:32">
      <c r="A217" s="406" t="s">
        <v>963</v>
      </c>
      <c r="B217" s="407">
        <v>82.99924</v>
      </c>
      <c r="C217" s="407">
        <v>74.146550000000005</v>
      </c>
      <c r="D217" s="407">
        <v>70.634889999999999</v>
      </c>
      <c r="E217" s="407">
        <v>62.866770000000002</v>
      </c>
      <c r="F217" s="407">
        <v>70.961960000000005</v>
      </c>
      <c r="G217" s="407">
        <v>67.026560000000003</v>
      </c>
      <c r="H217" s="407">
        <v>83.380570000000006</v>
      </c>
      <c r="I217" s="407">
        <v>84.465549999999993</v>
      </c>
      <c r="J217" s="407">
        <v>82.848479999999995</v>
      </c>
      <c r="K217" s="407">
        <v>102.85263999999999</v>
      </c>
      <c r="L217" s="407">
        <v>46.966920000000002</v>
      </c>
      <c r="M217" s="407">
        <v>52.712879999999998</v>
      </c>
      <c r="N217" s="407">
        <v>69.4346339225348</v>
      </c>
      <c r="O217" s="407">
        <v>66.150913785092797</v>
      </c>
      <c r="Q217" s="407">
        <v>75.6333657595831</v>
      </c>
      <c r="R217" s="407">
        <v>64.766667349996197</v>
      </c>
      <c r="S217" s="407">
        <v>93.934280000000001</v>
      </c>
      <c r="T217" s="407">
        <v>91.349279999999894</v>
      </c>
      <c r="U217" s="407">
        <v>87.534470331636001</v>
      </c>
      <c r="V217" s="407">
        <v>93.067915228865004</v>
      </c>
      <c r="W217" s="407">
        <v>85.392995036240805</v>
      </c>
      <c r="X217" s="407">
        <v>88.996160000000003</v>
      </c>
      <c r="Y217" s="407">
        <v>85.3300749559548</v>
      </c>
      <c r="Z217" s="407">
        <v>79.985394728837505</v>
      </c>
      <c r="AA217" s="407">
        <v>83.608794744219296</v>
      </c>
      <c r="AB217" s="407">
        <v>78.7252399999999</v>
      </c>
      <c r="AC217" s="407">
        <v>84.021954779807302</v>
      </c>
      <c r="AD217" s="407">
        <v>79.5660799999999</v>
      </c>
      <c r="AE217" s="407">
        <v>88.849639999999994</v>
      </c>
      <c r="AF217" s="407">
        <v>81.693474651053705</v>
      </c>
    </row>
    <row r="218" spans="1:32">
      <c r="A218" s="406" t="s">
        <v>964</v>
      </c>
      <c r="B218" s="407">
        <v>146.81775999999999</v>
      </c>
      <c r="C218" s="407">
        <v>159.08635999999899</v>
      </c>
      <c r="D218" s="407">
        <v>159.17386999999999</v>
      </c>
      <c r="E218" s="407">
        <v>155.19401999999999</v>
      </c>
      <c r="F218" s="407">
        <v>164.31011999999899</v>
      </c>
      <c r="G218" s="407">
        <v>151.48965000000001</v>
      </c>
      <c r="H218" s="407">
        <v>160.78852000000001</v>
      </c>
      <c r="I218" s="407">
        <v>158.84540999999999</v>
      </c>
      <c r="J218" s="407">
        <v>159.80095999999901</v>
      </c>
      <c r="K218" s="407">
        <v>161.07212000000001</v>
      </c>
      <c r="L218" s="407">
        <v>161.01535999999999</v>
      </c>
      <c r="M218" s="407">
        <v>161.26967999999999</v>
      </c>
      <c r="N218" s="407">
        <v>164.86931999999999</v>
      </c>
      <c r="O218" s="407">
        <v>163.614</v>
      </c>
      <c r="Q218" s="407">
        <v>166.59984</v>
      </c>
      <c r="R218" s="407">
        <v>168.86936</v>
      </c>
      <c r="S218" s="407">
        <v>165.83116000000001</v>
      </c>
      <c r="T218" s="407">
        <v>166.07975999999999</v>
      </c>
      <c r="U218" s="407">
        <v>167.62152</v>
      </c>
      <c r="V218" s="407">
        <v>167.50139999999999</v>
      </c>
      <c r="W218" s="407">
        <v>165.28116</v>
      </c>
      <c r="X218" s="407">
        <v>171.78876</v>
      </c>
      <c r="Y218" s="407">
        <v>163.19203999999999</v>
      </c>
      <c r="Z218" s="407">
        <v>165.92663999999999</v>
      </c>
      <c r="AA218" s="407">
        <v>166.52152000000001</v>
      </c>
      <c r="AB218" s="407">
        <v>164.34175999999999</v>
      </c>
      <c r="AC218" s="407">
        <v>165.81443999999999</v>
      </c>
      <c r="AD218" s="407">
        <v>170.92591999999999</v>
      </c>
      <c r="AE218" s="407">
        <v>166.58796000000001</v>
      </c>
      <c r="AF218" s="407">
        <v>165.21956</v>
      </c>
    </row>
    <row r="219" spans="1:32">
      <c r="A219" s="406" t="s">
        <v>965</v>
      </c>
      <c r="B219" s="407">
        <v>363.79183</v>
      </c>
      <c r="C219" s="407">
        <v>410.948499999999</v>
      </c>
      <c r="D219" s="407">
        <v>404.02028000000001</v>
      </c>
      <c r="E219" s="407">
        <v>387.63497999999998</v>
      </c>
      <c r="F219" s="407">
        <v>374.02386000000001</v>
      </c>
      <c r="G219" s="407">
        <v>450.70684</v>
      </c>
      <c r="H219" s="407">
        <v>399.66404</v>
      </c>
      <c r="I219" s="407">
        <v>649.95699999999999</v>
      </c>
      <c r="J219" s="407">
        <v>477.45499999999998</v>
      </c>
      <c r="K219" s="407">
        <v>484.48487999999901</v>
      </c>
      <c r="L219" s="407">
        <v>440.20899999999898</v>
      </c>
      <c r="M219" s="407">
        <v>421.18691999999999</v>
      </c>
      <c r="N219" s="407">
        <v>463.39699999999999</v>
      </c>
      <c r="O219" s="407">
        <v>458.60320000000002</v>
      </c>
      <c r="Q219" s="407">
        <v>502.44743999999997</v>
      </c>
      <c r="R219" s="407">
        <v>447.162319999999</v>
      </c>
      <c r="S219" s="407">
        <v>496.22232000000002</v>
      </c>
      <c r="T219" s="407">
        <v>490.0258</v>
      </c>
      <c r="U219" s="407">
        <v>498.95427999999902</v>
      </c>
      <c r="V219" s="407">
        <v>523.40640759103201</v>
      </c>
      <c r="W219" s="407">
        <v>491.76646421138599</v>
      </c>
      <c r="X219" s="407">
        <v>520.06459999999902</v>
      </c>
      <c r="Y219" s="407">
        <v>493.87405607331601</v>
      </c>
      <c r="Z219" s="407">
        <v>486.01916816414001</v>
      </c>
      <c r="AA219" s="407">
        <v>482.38339480565497</v>
      </c>
      <c r="AB219" s="407">
        <v>465.719725377918</v>
      </c>
      <c r="AC219" s="407">
        <v>495.99567999999999</v>
      </c>
      <c r="AD219" s="407">
        <v>461.29948542881499</v>
      </c>
      <c r="AE219" s="407">
        <v>492.86464508514899</v>
      </c>
      <c r="AF219" s="407">
        <v>477.164565250468</v>
      </c>
    </row>
    <row r="220" spans="1:32">
      <c r="A220" s="406" t="s">
        <v>966</v>
      </c>
      <c r="B220" s="407">
        <v>104.81444</v>
      </c>
      <c r="C220" s="407">
        <v>100.82644000000001</v>
      </c>
      <c r="D220" s="407">
        <v>97.318089999999998</v>
      </c>
      <c r="E220" s="407">
        <v>30.106929999999998</v>
      </c>
      <c r="F220" s="407">
        <v>-11.103770000000001</v>
      </c>
      <c r="G220" s="407">
        <v>-3.9307400000000001</v>
      </c>
      <c r="H220" s="407">
        <v>-18.321759999999902</v>
      </c>
      <c r="I220" s="407">
        <v>13.00028</v>
      </c>
      <c r="J220" s="407">
        <v>99.854999999999905</v>
      </c>
      <c r="K220" s="407">
        <v>76.202000000000098</v>
      </c>
      <c r="L220" s="407">
        <v>56.833999999999897</v>
      </c>
      <c r="M220" s="407">
        <v>63.805999999999997</v>
      </c>
      <c r="N220" s="407">
        <v>49.430055437844402</v>
      </c>
      <c r="O220" s="407">
        <v>53.462581895826403</v>
      </c>
      <c r="Q220" s="407">
        <v>49.430055437844402</v>
      </c>
      <c r="R220" s="407">
        <v>33.173903727705003</v>
      </c>
      <c r="S220" s="407">
        <v>29.141377269723002</v>
      </c>
      <c r="T220" s="407">
        <v>53.462581895826403</v>
      </c>
      <c r="U220" s="407">
        <v>69.676628632774694</v>
      </c>
      <c r="V220" s="407">
        <v>81.858148911740898</v>
      </c>
      <c r="W220" s="407">
        <v>81.858148911740898</v>
      </c>
      <c r="X220" s="407">
        <v>61.569605264300499</v>
      </c>
      <c r="Y220" s="407">
        <v>41.3230320693702</v>
      </c>
      <c r="Z220" s="407">
        <v>53.336939579658903</v>
      </c>
      <c r="AA220" s="407">
        <v>49.996211969491803</v>
      </c>
      <c r="AB220" s="407">
        <v>54.1458995654083</v>
      </c>
      <c r="AC220" s="407">
        <v>49.996211969491803</v>
      </c>
      <c r="AD220" s="407">
        <v>33.267697393883601</v>
      </c>
      <c r="AE220" s="407">
        <v>29.118009797967002</v>
      </c>
      <c r="AF220" s="407">
        <v>54.1458995654083</v>
      </c>
    </row>
    <row r="221" spans="1:32">
      <c r="A221" s="406" t="s">
        <v>967</v>
      </c>
      <c r="B221" s="407">
        <v>3.0061</v>
      </c>
      <c r="C221" s="407">
        <v>4.0640000000000003E-2</v>
      </c>
      <c r="D221" s="407">
        <v>0.86002000000000001</v>
      </c>
      <c r="E221" s="407">
        <v>4.1209999999999997E-2</v>
      </c>
      <c r="F221" s="407">
        <v>0.72046999999999894</v>
      </c>
      <c r="G221" s="407">
        <v>4.3279999999999999E-2</v>
      </c>
      <c r="H221" s="407">
        <v>3.9170000000000003E-2</v>
      </c>
      <c r="I221" s="407">
        <v>2.4729999999999999E-2</v>
      </c>
      <c r="J221" s="407">
        <v>-4.8448399999999996</v>
      </c>
      <c r="K221" s="407">
        <v>-3.7034799999999999</v>
      </c>
      <c r="L221" s="407">
        <v>-1.3433200000000001</v>
      </c>
      <c r="M221" s="407">
        <v>0.21428</v>
      </c>
      <c r="N221" s="407">
        <v>0</v>
      </c>
      <c r="O221" s="407">
        <v>0.1012</v>
      </c>
      <c r="Q221" s="407">
        <v>0.1012</v>
      </c>
      <c r="R221" s="407">
        <v>0.1012</v>
      </c>
      <c r="S221" s="407">
        <v>0.1012</v>
      </c>
      <c r="T221" s="407">
        <v>0.1012</v>
      </c>
      <c r="U221" s="407">
        <v>0.1012</v>
      </c>
      <c r="V221" s="407">
        <v>0.1012</v>
      </c>
      <c r="W221" s="407">
        <v>0.1012</v>
      </c>
      <c r="X221" s="407">
        <v>0.1012</v>
      </c>
      <c r="Y221" s="407">
        <v>0.1012</v>
      </c>
      <c r="Z221" s="407">
        <v>0</v>
      </c>
      <c r="AA221" s="407">
        <v>0</v>
      </c>
      <c r="AB221" s="407">
        <v>0.1012</v>
      </c>
      <c r="AC221" s="407">
        <v>0.1012</v>
      </c>
      <c r="AD221" s="407">
        <v>0.1012</v>
      </c>
      <c r="AE221" s="407">
        <v>0.1012</v>
      </c>
      <c r="AF221" s="407">
        <v>0.1012</v>
      </c>
    </row>
    <row r="222" spans="1:32">
      <c r="A222" s="406" t="s">
        <v>968</v>
      </c>
      <c r="B222" s="407">
        <v>701.42936999999995</v>
      </c>
      <c r="C222" s="407">
        <v>745.04849000000002</v>
      </c>
      <c r="D222" s="407">
        <v>732.00715000000002</v>
      </c>
      <c r="E222" s="407">
        <v>635.84391000000005</v>
      </c>
      <c r="F222" s="407">
        <v>598.91264000000001</v>
      </c>
      <c r="G222" s="407">
        <v>665.33559000000002</v>
      </c>
      <c r="H222" s="407">
        <v>625.55053999999996</v>
      </c>
      <c r="I222" s="407">
        <v>906.29296999999997</v>
      </c>
      <c r="J222" s="407">
        <v>815.11459999999897</v>
      </c>
      <c r="K222" s="407">
        <v>820.90815999999995</v>
      </c>
      <c r="L222" s="407">
        <v>703.68195999999898</v>
      </c>
      <c r="M222" s="407">
        <v>699.18975999999998</v>
      </c>
      <c r="N222" s="407">
        <v>747.13100936037904</v>
      </c>
      <c r="O222" s="407">
        <v>741.93189568091896</v>
      </c>
      <c r="Q222" s="407">
        <v>794.21190119742698</v>
      </c>
      <c r="R222" s="407">
        <v>714.07345107770095</v>
      </c>
      <c r="S222" s="407">
        <v>785.23033726972301</v>
      </c>
      <c r="T222" s="407">
        <v>801.01862189582596</v>
      </c>
      <c r="U222" s="407">
        <v>823.88809896441001</v>
      </c>
      <c r="V222" s="407">
        <v>865.935071731638</v>
      </c>
      <c r="W222" s="407">
        <v>824.39996815936797</v>
      </c>
      <c r="X222" s="407">
        <v>842.52032526430003</v>
      </c>
      <c r="Y222" s="407">
        <v>783.82040309864101</v>
      </c>
      <c r="Z222" s="407">
        <v>785.26814247263599</v>
      </c>
      <c r="AA222" s="407">
        <v>782.50992151936703</v>
      </c>
      <c r="AB222" s="407">
        <v>763.03382494332698</v>
      </c>
      <c r="AC222" s="407">
        <v>795.92948674929903</v>
      </c>
      <c r="AD222" s="407">
        <v>745.16038282269903</v>
      </c>
      <c r="AE222" s="407">
        <v>777.52145488311601</v>
      </c>
      <c r="AF222" s="407">
        <v>778.32469946693004</v>
      </c>
    </row>
    <row r="224" spans="1:32">
      <c r="A224" s="406" t="s">
        <v>969</v>
      </c>
    </row>
    <row r="225" spans="1:32">
      <c r="A225" s="406" t="s">
        <v>970</v>
      </c>
      <c r="B225" s="407">
        <v>4.3734799999999998</v>
      </c>
      <c r="C225" s="407">
        <v>4.3432199999999996</v>
      </c>
      <c r="D225" s="407">
        <v>4.4346800000000002</v>
      </c>
      <c r="E225" s="407">
        <v>3.84355</v>
      </c>
      <c r="F225" s="407">
        <v>4.0984600000000002</v>
      </c>
      <c r="G225" s="407">
        <v>4.5604800000000001</v>
      </c>
      <c r="H225" s="407">
        <v>2.80233</v>
      </c>
      <c r="I225" s="407">
        <v>27.327349999999999</v>
      </c>
      <c r="J225" s="407">
        <v>6.1250200000000001</v>
      </c>
      <c r="K225" s="407">
        <v>5.8203199999999997</v>
      </c>
      <c r="L225" s="407">
        <v>5.1653799999999999</v>
      </c>
      <c r="M225" s="407">
        <v>4.9957599999999998</v>
      </c>
      <c r="N225" s="407">
        <v>8.3670399999999994</v>
      </c>
      <c r="O225" s="407">
        <v>8.0009599999999992</v>
      </c>
      <c r="Q225" s="407">
        <v>8.9936000000000007</v>
      </c>
      <c r="R225" s="407">
        <v>7.8436599999999999</v>
      </c>
      <c r="S225" s="407">
        <v>8.7907600000000006</v>
      </c>
      <c r="T225" s="407">
        <v>8.5947399999999998</v>
      </c>
      <c r="U225" s="407">
        <v>8.3148999999999997</v>
      </c>
      <c r="V225" s="407">
        <v>9.0175800000000006</v>
      </c>
      <c r="W225" s="407">
        <v>8.5716400000000004</v>
      </c>
      <c r="X225" s="407">
        <v>8.7863600000000002</v>
      </c>
      <c r="Y225" s="407">
        <v>8.4042200000000005</v>
      </c>
      <c r="Z225" s="407">
        <v>8.0055800000000001</v>
      </c>
      <c r="AA225" s="407">
        <v>8.7762399999999996</v>
      </c>
      <c r="AB225" s="407">
        <v>8.1842199999999998</v>
      </c>
      <c r="AC225" s="407">
        <v>8.9603800000000007</v>
      </c>
      <c r="AD225" s="407">
        <v>8.2522000000000002</v>
      </c>
      <c r="AE225" s="407">
        <v>8.9931599999999996</v>
      </c>
      <c r="AF225" s="407">
        <v>8.5652600000000003</v>
      </c>
    </row>
    <row r="226" spans="1:32">
      <c r="A226" s="406" t="s">
        <v>971</v>
      </c>
      <c r="B226" s="407">
        <v>323.305129999999</v>
      </c>
      <c r="C226" s="407">
        <v>177.72072</v>
      </c>
      <c r="D226" s="407">
        <v>220.19725999999901</v>
      </c>
      <c r="E226" s="407">
        <v>254.40501999999901</v>
      </c>
      <c r="F226" s="407">
        <v>324.61297999999999</v>
      </c>
      <c r="G226" s="407">
        <v>314.26612</v>
      </c>
      <c r="H226" s="407">
        <v>389.292969999999</v>
      </c>
      <c r="I226" s="407">
        <v>403.72257999999999</v>
      </c>
      <c r="J226" s="407">
        <v>416.995059999999</v>
      </c>
      <c r="K226" s="407">
        <v>308.41917999999998</v>
      </c>
      <c r="L226" s="407">
        <v>301.99286000000001</v>
      </c>
      <c r="M226" s="407">
        <v>426.46361999999999</v>
      </c>
      <c r="N226" s="407">
        <v>276.04399999999998</v>
      </c>
      <c r="O226" s="407">
        <v>298.32364000000001</v>
      </c>
      <c r="Q226" s="407">
        <v>387.92196000000001</v>
      </c>
      <c r="R226" s="407">
        <v>338.40402</v>
      </c>
      <c r="S226" s="407">
        <v>368.13923999999997</v>
      </c>
      <c r="T226" s="407">
        <v>312.90566000000001</v>
      </c>
      <c r="U226" s="407">
        <v>311.12884000000003</v>
      </c>
      <c r="V226" s="407">
        <v>385.94776000000002</v>
      </c>
      <c r="W226" s="407">
        <v>378.43452000000002</v>
      </c>
      <c r="X226" s="407">
        <v>544.30427999999995</v>
      </c>
      <c r="Y226" s="407">
        <v>450.53693999999899</v>
      </c>
      <c r="Z226" s="407">
        <v>194.31404000000001</v>
      </c>
      <c r="AA226" s="407">
        <v>295.06882000000002</v>
      </c>
      <c r="AB226" s="407">
        <v>322.13677999999999</v>
      </c>
      <c r="AC226" s="407">
        <v>422.35921999999999</v>
      </c>
      <c r="AD226" s="407">
        <v>363.33069999999998</v>
      </c>
      <c r="AE226" s="407">
        <v>394.60466000000002</v>
      </c>
      <c r="AF226" s="407">
        <v>340.75796000000003</v>
      </c>
    </row>
    <row r="227" spans="1:32">
      <c r="A227" s="406" t="s">
        <v>972</v>
      </c>
      <c r="B227" s="407">
        <v>9.8781599999999994</v>
      </c>
      <c r="C227" s="407">
        <v>12.55223</v>
      </c>
      <c r="D227" s="407">
        <v>10.11713</v>
      </c>
      <c r="E227" s="407">
        <v>-0.100019999999999</v>
      </c>
      <c r="F227" s="407">
        <v>7.5781700000000001</v>
      </c>
      <c r="G227" s="407">
        <v>11.33705</v>
      </c>
      <c r="H227" s="407">
        <v>1.53203</v>
      </c>
      <c r="I227" s="407">
        <v>17.643740000000001</v>
      </c>
      <c r="J227" s="407">
        <v>7.7065999999999999</v>
      </c>
      <c r="K227" s="407">
        <v>8.4675799999999999</v>
      </c>
      <c r="L227" s="407">
        <v>7.1790399999999996</v>
      </c>
      <c r="M227" s="407">
        <v>6.1340399999999997</v>
      </c>
      <c r="N227" s="407">
        <v>5.9063400000000001</v>
      </c>
      <c r="O227" s="407">
        <v>5.9063400000000001</v>
      </c>
      <c r="Q227" s="407">
        <v>5.9063400000000001</v>
      </c>
      <c r="R227" s="407">
        <v>5.9063400000000001</v>
      </c>
      <c r="S227" s="407">
        <v>5.9063400000000001</v>
      </c>
      <c r="T227" s="407">
        <v>5.9063400000000001</v>
      </c>
      <c r="U227" s="407">
        <v>5.9063400000000001</v>
      </c>
      <c r="V227" s="407">
        <v>5.9063400000000001</v>
      </c>
      <c r="W227" s="407">
        <v>6.9183399999999997</v>
      </c>
      <c r="X227" s="407">
        <v>6.4123400000000004</v>
      </c>
      <c r="Y227" s="407">
        <v>5.9063400000000001</v>
      </c>
      <c r="Z227" s="407">
        <v>5.9063400000000001</v>
      </c>
      <c r="AA227" s="407">
        <v>5.9103000000000003</v>
      </c>
      <c r="AB227" s="407">
        <v>5.9103000000000003</v>
      </c>
      <c r="AC227" s="407">
        <v>5.9103000000000003</v>
      </c>
      <c r="AD227" s="407">
        <v>6.0114999999999998</v>
      </c>
      <c r="AE227" s="407">
        <v>5.9103000000000003</v>
      </c>
      <c r="AF227" s="407">
        <v>6.0114999999999998</v>
      </c>
    </row>
    <row r="228" spans="1:32">
      <c r="A228" s="406" t="s">
        <v>973</v>
      </c>
      <c r="B228" s="407">
        <v>9.3888999999999996</v>
      </c>
      <c r="C228" s="407">
        <v>21.969090000000001</v>
      </c>
      <c r="D228" s="407">
        <v>15.60801</v>
      </c>
      <c r="E228" s="407">
        <v>12.069240000000001</v>
      </c>
      <c r="F228" s="407">
        <v>12.84226</v>
      </c>
      <c r="G228" s="407">
        <v>12.52858</v>
      </c>
      <c r="H228" s="407">
        <v>17.93214</v>
      </c>
      <c r="I228" s="407">
        <v>13.37669</v>
      </c>
      <c r="J228" s="407">
        <v>8.1668400000000005</v>
      </c>
      <c r="K228" s="407">
        <v>17.84442</v>
      </c>
      <c r="L228" s="407">
        <v>25.338719999999999</v>
      </c>
      <c r="M228" s="407">
        <v>11.48598</v>
      </c>
      <c r="N228" s="407">
        <v>13.3584</v>
      </c>
      <c r="O228" s="407">
        <v>22.008800000000001</v>
      </c>
      <c r="Q228" s="407">
        <v>14.370399999999901</v>
      </c>
      <c r="R228" s="407">
        <v>16.698</v>
      </c>
      <c r="S228" s="407">
        <v>18.1632</v>
      </c>
      <c r="T228" s="407">
        <v>16.486799999999999</v>
      </c>
      <c r="U228" s="407">
        <v>24.986799999999899</v>
      </c>
      <c r="V228" s="407">
        <v>19.469200000000001</v>
      </c>
      <c r="W228" s="407">
        <v>17.489199999999901</v>
      </c>
      <c r="X228" s="407">
        <v>19.926799999999901</v>
      </c>
      <c r="Y228" s="407">
        <v>28.071199999999902</v>
      </c>
      <c r="Z228" s="407">
        <v>15.575200000000001</v>
      </c>
      <c r="AA228" s="407">
        <v>15.867760000000001</v>
      </c>
      <c r="AB228" s="407">
        <v>24.631459999999901</v>
      </c>
      <c r="AC228" s="407">
        <v>16.8903199999999</v>
      </c>
      <c r="AD228" s="407">
        <v>19.242339999999999</v>
      </c>
      <c r="AE228" s="407">
        <v>20.7456</v>
      </c>
      <c r="AF228" s="407">
        <v>19.0326799999999</v>
      </c>
    </row>
    <row r="229" spans="1:32">
      <c r="A229" s="406" t="s">
        <v>974</v>
      </c>
      <c r="B229" s="407">
        <v>346.94566999999898</v>
      </c>
      <c r="C229" s="407">
        <v>216.58526000000001</v>
      </c>
      <c r="D229" s="407">
        <v>250.35708</v>
      </c>
      <c r="E229" s="407">
        <v>270.21778999999998</v>
      </c>
      <c r="F229" s="407">
        <v>349.13186999999999</v>
      </c>
      <c r="G229" s="407">
        <v>342.69222999999897</v>
      </c>
      <c r="H229" s="407">
        <v>411.55946999999998</v>
      </c>
      <c r="I229" s="407">
        <v>462.07035999999999</v>
      </c>
      <c r="J229" s="407">
        <v>438.99351999999902</v>
      </c>
      <c r="K229" s="407">
        <v>340.55149999999998</v>
      </c>
      <c r="L229" s="407">
        <v>339.67599999999999</v>
      </c>
      <c r="M229" s="407">
        <v>449.07940000000002</v>
      </c>
      <c r="N229" s="407">
        <v>303.67577999999997</v>
      </c>
      <c r="O229" s="407">
        <v>334.23973999999998</v>
      </c>
      <c r="Q229" s="407">
        <v>417.19229999999999</v>
      </c>
      <c r="R229" s="407">
        <v>368.85201999999998</v>
      </c>
      <c r="S229" s="407">
        <v>400.99954000000002</v>
      </c>
      <c r="T229" s="407">
        <v>343.89353999999997</v>
      </c>
      <c r="U229" s="407">
        <v>350.33688000000001</v>
      </c>
      <c r="V229" s="407">
        <v>420.34088000000003</v>
      </c>
      <c r="W229" s="407">
        <v>411.41370000000001</v>
      </c>
      <c r="X229" s="407">
        <v>579.42977999999903</v>
      </c>
      <c r="Y229" s="407">
        <v>492.91869999999898</v>
      </c>
      <c r="Z229" s="407">
        <v>223.80116000000001</v>
      </c>
      <c r="AA229" s="407">
        <v>325.62311999999997</v>
      </c>
      <c r="AB229" s="407">
        <v>360.86275999999998</v>
      </c>
      <c r="AC229" s="407">
        <v>454.12022000000002</v>
      </c>
      <c r="AD229" s="407">
        <v>396.83674000000002</v>
      </c>
      <c r="AE229" s="407">
        <v>430.25371999999999</v>
      </c>
      <c r="AF229" s="407">
        <v>374.36739999999998</v>
      </c>
    </row>
    <row r="231" spans="1:32">
      <c r="A231" s="406" t="s">
        <v>975</v>
      </c>
    </row>
    <row r="232" spans="1:32">
      <c r="A232" s="406" t="s">
        <v>976</v>
      </c>
      <c r="B232" s="407">
        <v>0</v>
      </c>
      <c r="C232" s="407">
        <v>0</v>
      </c>
      <c r="D232" s="407">
        <v>0</v>
      </c>
      <c r="E232" s="407">
        <v>0</v>
      </c>
      <c r="F232" s="407">
        <v>0</v>
      </c>
      <c r="G232" s="407">
        <v>0</v>
      </c>
      <c r="H232" s="407">
        <v>0</v>
      </c>
      <c r="I232" s="407">
        <v>0</v>
      </c>
      <c r="J232" s="407">
        <v>0</v>
      </c>
      <c r="K232" s="407">
        <v>0</v>
      </c>
      <c r="L232" s="407">
        <v>0</v>
      </c>
      <c r="M232" s="407">
        <v>0</v>
      </c>
      <c r="N232" s="407">
        <v>0</v>
      </c>
      <c r="O232" s="407">
        <v>0</v>
      </c>
      <c r="Q232" s="407">
        <v>0</v>
      </c>
      <c r="R232" s="407">
        <v>0</v>
      </c>
      <c r="S232" s="407">
        <v>0</v>
      </c>
      <c r="T232" s="407">
        <v>0</v>
      </c>
      <c r="U232" s="407">
        <v>0</v>
      </c>
      <c r="V232" s="407">
        <v>0</v>
      </c>
      <c r="W232" s="407">
        <v>0</v>
      </c>
      <c r="X232" s="407">
        <v>0</v>
      </c>
      <c r="Y232" s="407">
        <v>0</v>
      </c>
      <c r="Z232" s="407">
        <v>0</v>
      </c>
      <c r="AA232" s="407">
        <v>0</v>
      </c>
      <c r="AB232" s="407">
        <v>0</v>
      </c>
      <c r="AC232" s="407">
        <v>0</v>
      </c>
      <c r="AD232" s="407">
        <v>0</v>
      </c>
      <c r="AE232" s="407">
        <v>0</v>
      </c>
      <c r="AF232" s="407">
        <v>0</v>
      </c>
    </row>
    <row r="233" spans="1:32">
      <c r="A233" s="406" t="s">
        <v>977</v>
      </c>
      <c r="B233" s="407">
        <v>0</v>
      </c>
      <c r="C233" s="407">
        <v>0</v>
      </c>
      <c r="D233" s="407">
        <v>0</v>
      </c>
      <c r="E233" s="407">
        <v>0</v>
      </c>
      <c r="F233" s="407">
        <v>0</v>
      </c>
      <c r="G233" s="407">
        <v>0</v>
      </c>
      <c r="H233" s="407">
        <v>0</v>
      </c>
      <c r="I233" s="407">
        <v>0</v>
      </c>
      <c r="J233" s="407">
        <v>0</v>
      </c>
      <c r="K233" s="407">
        <v>0</v>
      </c>
      <c r="L233" s="407">
        <v>0</v>
      </c>
      <c r="M233" s="407">
        <v>0</v>
      </c>
      <c r="N233" s="407">
        <v>0</v>
      </c>
      <c r="O233" s="407">
        <v>0</v>
      </c>
      <c r="Q233" s="407">
        <v>0</v>
      </c>
      <c r="R233" s="407">
        <v>0</v>
      </c>
      <c r="S233" s="407">
        <v>0</v>
      </c>
      <c r="T233" s="407">
        <v>0</v>
      </c>
      <c r="U233" s="407">
        <v>0</v>
      </c>
      <c r="V233" s="407">
        <v>0</v>
      </c>
      <c r="W233" s="407">
        <v>0</v>
      </c>
      <c r="X233" s="407">
        <v>0</v>
      </c>
      <c r="Y233" s="407">
        <v>0</v>
      </c>
      <c r="Z233" s="407">
        <v>0</v>
      </c>
      <c r="AA233" s="407">
        <v>0</v>
      </c>
      <c r="AB233" s="407">
        <v>0</v>
      </c>
      <c r="AC233" s="407">
        <v>0</v>
      </c>
      <c r="AD233" s="407">
        <v>0</v>
      </c>
      <c r="AE233" s="407">
        <v>0</v>
      </c>
      <c r="AF233" s="407">
        <v>0</v>
      </c>
    </row>
    <row r="234" spans="1:32">
      <c r="A234" s="406" t="s">
        <v>978</v>
      </c>
      <c r="B234" s="407">
        <v>0</v>
      </c>
      <c r="C234" s="407">
        <v>52.140920000000001</v>
      </c>
      <c r="D234" s="407">
        <v>25.128019999999999</v>
      </c>
      <c r="E234" s="407">
        <v>14.51754</v>
      </c>
      <c r="F234" s="407">
        <v>7.4971699999999997</v>
      </c>
      <c r="G234" s="407">
        <v>43.539049999999897</v>
      </c>
      <c r="H234" s="407">
        <v>24.999599999999901</v>
      </c>
      <c r="I234" s="407">
        <v>3.7964899999999999</v>
      </c>
      <c r="J234" s="407">
        <v>12.88166</v>
      </c>
      <c r="K234" s="407">
        <v>27.312339999999999</v>
      </c>
      <c r="L234" s="407">
        <v>19.568999999999999</v>
      </c>
      <c r="M234" s="407">
        <v>7.2606599999999997</v>
      </c>
      <c r="N234" s="407">
        <v>10.295999999999999</v>
      </c>
      <c r="O234" s="407">
        <v>72.622</v>
      </c>
      <c r="Q234" s="407">
        <v>10.295999999999999</v>
      </c>
      <c r="R234" s="407">
        <v>14.264799999999999</v>
      </c>
      <c r="S234" s="407">
        <v>23.716000000000001</v>
      </c>
      <c r="T234" s="407">
        <v>60.345999999999997</v>
      </c>
      <c r="U234" s="407">
        <v>10.295999999999999</v>
      </c>
      <c r="V234" s="407">
        <v>10.295999999999999</v>
      </c>
      <c r="W234" s="407">
        <v>18.04</v>
      </c>
      <c r="X234" s="407">
        <v>13.895200000000001</v>
      </c>
      <c r="Y234" s="407">
        <v>10.295999999999999</v>
      </c>
      <c r="Z234" s="407">
        <v>10.385759999999999</v>
      </c>
      <c r="AA234" s="407">
        <v>10.35562</v>
      </c>
      <c r="AB234" s="407">
        <v>73.671619999999905</v>
      </c>
      <c r="AC234" s="407">
        <v>10.35562</v>
      </c>
      <c r="AD234" s="407">
        <v>14.32442</v>
      </c>
      <c r="AE234" s="407">
        <v>24.215620000000001</v>
      </c>
      <c r="AF234" s="407">
        <v>62.055619999999998</v>
      </c>
    </row>
    <row r="235" spans="1:32">
      <c r="A235" s="406" t="s">
        <v>979</v>
      </c>
      <c r="B235" s="407">
        <v>0</v>
      </c>
      <c r="C235" s="407">
        <v>0</v>
      </c>
      <c r="D235" s="407">
        <v>0</v>
      </c>
      <c r="E235" s="407">
        <v>0</v>
      </c>
      <c r="F235" s="407">
        <v>0</v>
      </c>
      <c r="G235" s="407">
        <v>0</v>
      </c>
      <c r="H235" s="407">
        <v>0</v>
      </c>
      <c r="I235" s="407">
        <v>0</v>
      </c>
      <c r="J235" s="407">
        <v>0</v>
      </c>
      <c r="K235" s="407">
        <v>0</v>
      </c>
      <c r="L235" s="407">
        <v>0</v>
      </c>
      <c r="M235" s="407">
        <v>0</v>
      </c>
      <c r="N235" s="407">
        <v>0</v>
      </c>
      <c r="O235" s="407">
        <v>0</v>
      </c>
      <c r="Q235" s="407">
        <v>0</v>
      </c>
      <c r="R235" s="407">
        <v>0</v>
      </c>
      <c r="S235" s="407">
        <v>0</v>
      </c>
      <c r="T235" s="407">
        <v>0</v>
      </c>
      <c r="U235" s="407">
        <v>0</v>
      </c>
      <c r="V235" s="407">
        <v>0</v>
      </c>
      <c r="W235" s="407">
        <v>0</v>
      </c>
      <c r="X235" s="407">
        <v>0</v>
      </c>
      <c r="Y235" s="407">
        <v>0</v>
      </c>
      <c r="Z235" s="407">
        <v>0</v>
      </c>
      <c r="AA235" s="407">
        <v>0</v>
      </c>
      <c r="AB235" s="407">
        <v>0</v>
      </c>
      <c r="AC235" s="407">
        <v>0</v>
      </c>
      <c r="AD235" s="407">
        <v>0</v>
      </c>
      <c r="AE235" s="407">
        <v>0</v>
      </c>
      <c r="AF235" s="407">
        <v>0</v>
      </c>
    </row>
    <row r="236" spans="1:32">
      <c r="A236" s="406" t="s">
        <v>980</v>
      </c>
      <c r="B236" s="407">
        <v>0</v>
      </c>
      <c r="C236" s="407">
        <v>52.140920000000001</v>
      </c>
      <c r="D236" s="407">
        <v>25.128019999999999</v>
      </c>
      <c r="E236" s="407">
        <v>14.51754</v>
      </c>
      <c r="F236" s="407">
        <v>7.4971699999999997</v>
      </c>
      <c r="G236" s="407">
        <v>43.539049999999897</v>
      </c>
      <c r="H236" s="407">
        <v>24.999599999999901</v>
      </c>
      <c r="I236" s="407">
        <v>3.7964899999999999</v>
      </c>
      <c r="J236" s="407">
        <v>12.88166</v>
      </c>
      <c r="K236" s="407">
        <v>27.312339999999999</v>
      </c>
      <c r="L236" s="407">
        <v>19.568999999999999</v>
      </c>
      <c r="M236" s="407">
        <v>7.2606599999999997</v>
      </c>
      <c r="N236" s="407">
        <v>10.295999999999999</v>
      </c>
      <c r="O236" s="407">
        <v>72.622</v>
      </c>
      <c r="Q236" s="407">
        <v>10.295999999999999</v>
      </c>
      <c r="R236" s="407">
        <v>14.264799999999999</v>
      </c>
      <c r="S236" s="407">
        <v>23.716000000000001</v>
      </c>
      <c r="T236" s="407">
        <v>60.345999999999997</v>
      </c>
      <c r="U236" s="407">
        <v>10.295999999999999</v>
      </c>
      <c r="V236" s="407">
        <v>10.295999999999999</v>
      </c>
      <c r="W236" s="407">
        <v>18.04</v>
      </c>
      <c r="X236" s="407">
        <v>13.895200000000001</v>
      </c>
      <c r="Y236" s="407">
        <v>10.295999999999999</v>
      </c>
      <c r="Z236" s="407">
        <v>10.385759999999999</v>
      </c>
      <c r="AA236" s="407">
        <v>10.35562</v>
      </c>
      <c r="AB236" s="407">
        <v>73.671619999999905</v>
      </c>
      <c r="AC236" s="407">
        <v>10.35562</v>
      </c>
      <c r="AD236" s="407">
        <v>14.32442</v>
      </c>
      <c r="AE236" s="407">
        <v>24.215620000000001</v>
      </c>
      <c r="AF236" s="407">
        <v>62.055619999999998</v>
      </c>
    </row>
    <row r="238" spans="1:32">
      <c r="A238" s="406" t="s">
        <v>981</v>
      </c>
    </row>
    <row r="240" spans="1:32">
      <c r="A240" s="406" t="s">
        <v>982</v>
      </c>
    </row>
    <row r="241" spans="1:32">
      <c r="A241" s="406" t="s">
        <v>983</v>
      </c>
      <c r="B241" s="407">
        <v>3.6785700000000001</v>
      </c>
      <c r="C241" s="407">
        <v>0</v>
      </c>
      <c r="D241" s="407">
        <v>105.129269999999</v>
      </c>
      <c r="E241" s="407">
        <v>-45.775839999999903</v>
      </c>
      <c r="F241" s="407">
        <v>-3.1515</v>
      </c>
      <c r="G241" s="407">
        <v>18.290320000000001</v>
      </c>
      <c r="H241" s="407">
        <v>13.09831</v>
      </c>
      <c r="I241" s="407">
        <v>22.709700000000002</v>
      </c>
      <c r="J241" s="407">
        <v>15.659599999999999</v>
      </c>
      <c r="K241" s="407">
        <v>9.9030799999998997</v>
      </c>
      <c r="L241" s="407">
        <v>9.0030599999997794</v>
      </c>
      <c r="M241" s="407">
        <v>10.689579999999999</v>
      </c>
      <c r="N241" s="407">
        <v>15.1998630178296</v>
      </c>
      <c r="O241" s="407">
        <v>12.716447168356</v>
      </c>
      <c r="Q241" s="407">
        <v>12.716447168356</v>
      </c>
      <c r="R241" s="407">
        <v>17.345488398507101</v>
      </c>
      <c r="S241" s="407">
        <v>13.453370020294701</v>
      </c>
      <c r="T241" s="407">
        <v>13.453370020294701</v>
      </c>
      <c r="U241" s="407">
        <v>15.206794728685299</v>
      </c>
      <c r="V241" s="407">
        <v>13.453370020294701</v>
      </c>
      <c r="W241" s="407">
        <v>13.4651092080342</v>
      </c>
      <c r="X241" s="407">
        <v>14.8467557040782</v>
      </c>
      <c r="Y241" s="407">
        <v>13.4589601096945</v>
      </c>
      <c r="Z241" s="407">
        <v>14.1189633314925</v>
      </c>
      <c r="AA241" s="407">
        <v>16.004239615191999</v>
      </c>
      <c r="AB241" s="407">
        <v>13.4587365061185</v>
      </c>
      <c r="AC241" s="407">
        <v>13.4610843436664</v>
      </c>
      <c r="AD241" s="407">
        <v>19.654269855132299</v>
      </c>
      <c r="AE241" s="407">
        <v>15.6733063227264</v>
      </c>
      <c r="AF241" s="407">
        <v>15.672523710210401</v>
      </c>
    </row>
    <row r="243" spans="1:32">
      <c r="A243" s="406" t="s">
        <v>984</v>
      </c>
    </row>
    <row r="244" spans="1:32">
      <c r="A244" s="406" t="s">
        <v>985</v>
      </c>
      <c r="B244" s="407">
        <v>605.81236999999999</v>
      </c>
      <c r="C244" s="407">
        <v>664.36785999999995</v>
      </c>
      <c r="D244" s="407">
        <v>702.37840000000006</v>
      </c>
      <c r="E244" s="407">
        <v>650.25764000000004</v>
      </c>
      <c r="F244" s="407">
        <v>620.61596999999995</v>
      </c>
      <c r="G244" s="407">
        <v>586.12469999999996</v>
      </c>
      <c r="H244" s="407">
        <v>480.67527000000001</v>
      </c>
      <c r="I244" s="407">
        <v>598.58564999999999</v>
      </c>
      <c r="J244" s="407">
        <v>595.99205828608297</v>
      </c>
      <c r="K244" s="407">
        <v>606.56201843195595</v>
      </c>
      <c r="L244" s="407">
        <v>586.72576000000004</v>
      </c>
      <c r="M244" s="407">
        <v>696.26548241094804</v>
      </c>
      <c r="N244" s="407">
        <v>619.28057785521196</v>
      </c>
      <c r="O244" s="407">
        <v>560.80404208257903</v>
      </c>
      <c r="Q244" s="407">
        <v>669.39403817314405</v>
      </c>
      <c r="R244" s="407">
        <v>515.21114220651702</v>
      </c>
      <c r="S244" s="407">
        <v>667.75470205286194</v>
      </c>
      <c r="T244" s="407">
        <v>658.61425999999994</v>
      </c>
      <c r="U244" s="407">
        <v>624.74471787383698</v>
      </c>
      <c r="V244" s="407">
        <v>718.07716194269301</v>
      </c>
      <c r="W244" s="407">
        <v>625.83152204079295</v>
      </c>
      <c r="X244" s="407">
        <v>698.45569999999805</v>
      </c>
      <c r="Y244" s="407">
        <v>645.571899999999</v>
      </c>
      <c r="Z244" s="407">
        <v>600.45375999999897</v>
      </c>
      <c r="AA244" s="407">
        <v>692.47115999999903</v>
      </c>
      <c r="AB244" s="407">
        <v>591.56575804367799</v>
      </c>
      <c r="AC244" s="407">
        <v>668.38248193202799</v>
      </c>
      <c r="AD244" s="407">
        <v>594.42949613852397</v>
      </c>
      <c r="AE244" s="407">
        <v>707.34027999999898</v>
      </c>
      <c r="AF244" s="407">
        <v>630.26297999999895</v>
      </c>
    </row>
    <row r="245" spans="1:32">
      <c r="A245" s="406" t="s">
        <v>986</v>
      </c>
      <c r="B245" s="407">
        <v>116.25503999999999</v>
      </c>
      <c r="C245" s="407">
        <v>143.53074000000001</v>
      </c>
      <c r="D245" s="407">
        <v>127.26288</v>
      </c>
      <c r="E245" s="407">
        <v>130.18700000000001</v>
      </c>
      <c r="F245" s="407">
        <v>118.39279000000001</v>
      </c>
      <c r="G245" s="407">
        <v>116.85202</v>
      </c>
      <c r="H245" s="407">
        <v>138.54262</v>
      </c>
      <c r="I245" s="407">
        <v>130.62119000000001</v>
      </c>
      <c r="J245" s="407">
        <v>144.798594907553</v>
      </c>
      <c r="K245" s="407">
        <v>144.09364219768301</v>
      </c>
      <c r="L245" s="407">
        <v>133.97003999999899</v>
      </c>
      <c r="M245" s="407">
        <v>192.58858864359101</v>
      </c>
      <c r="N245" s="407">
        <v>129.80238525818501</v>
      </c>
      <c r="O245" s="407">
        <v>136.48037091517099</v>
      </c>
      <c r="Q245" s="407">
        <v>152.877006650277</v>
      </c>
      <c r="R245" s="407">
        <v>134.59702886190399</v>
      </c>
      <c r="S245" s="407">
        <v>136.00238893762599</v>
      </c>
      <c r="T245" s="407">
        <v>161.44017207116201</v>
      </c>
      <c r="U245" s="407">
        <v>153.568860716279</v>
      </c>
      <c r="V245" s="407">
        <v>136.24047754473301</v>
      </c>
      <c r="W245" s="407">
        <v>151.79676024248201</v>
      </c>
      <c r="X245" s="407">
        <v>149.976086149797</v>
      </c>
      <c r="Y245" s="407">
        <v>133.06664000000001</v>
      </c>
      <c r="Z245" s="407">
        <v>167.06216000000001</v>
      </c>
      <c r="AA245" s="407">
        <v>135.13156000000001</v>
      </c>
      <c r="AB245" s="407">
        <v>142.24575327126601</v>
      </c>
      <c r="AC245" s="407">
        <v>149.13467498819301</v>
      </c>
      <c r="AD245" s="407">
        <v>140.51370809000599</v>
      </c>
      <c r="AE245" s="407">
        <v>139.82638</v>
      </c>
      <c r="AF245" s="407">
        <v>154.70808291396099</v>
      </c>
    </row>
    <row r="246" spans="1:32">
      <c r="A246" s="406" t="s">
        <v>987</v>
      </c>
      <c r="B246" s="407">
        <v>-67.301429999999996</v>
      </c>
      <c r="C246" s="407">
        <v>-78.859029999999905</v>
      </c>
      <c r="D246" s="407">
        <v>-75.82047</v>
      </c>
      <c r="E246" s="407">
        <v>-74.148929999999993</v>
      </c>
      <c r="F246" s="407">
        <v>-68.410570000000007</v>
      </c>
      <c r="G246" s="407">
        <v>-67.243589999999998</v>
      </c>
      <c r="H246" s="407">
        <v>-58.529249999999998</v>
      </c>
      <c r="I246" s="407">
        <v>-73.470929999999996</v>
      </c>
      <c r="J246" s="407">
        <v>-74.263639999999896</v>
      </c>
      <c r="K246" s="407">
        <v>-71.803599999999904</v>
      </c>
      <c r="L246" s="407">
        <v>-68.803900000000098</v>
      </c>
      <c r="M246" s="407">
        <v>-64.786479999999997</v>
      </c>
      <c r="N246" s="407">
        <v>-97.4589</v>
      </c>
      <c r="O246" s="407">
        <v>-91.827560000000005</v>
      </c>
      <c r="Q246" s="407">
        <v>-104.66500000000001</v>
      </c>
      <c r="R246" s="407">
        <v>-87.158500000000004</v>
      </c>
      <c r="S246" s="407">
        <v>-101.81225999999999</v>
      </c>
      <c r="T246" s="407">
        <v>-103.57577999999999</v>
      </c>
      <c r="U246" s="407">
        <v>-99.936319999999995</v>
      </c>
      <c r="V246" s="407">
        <v>-106.57152000000001</v>
      </c>
      <c r="W246" s="407">
        <v>-99.204160000000002</v>
      </c>
      <c r="X246" s="407">
        <v>-106.42059999999999</v>
      </c>
      <c r="Y246" s="407">
        <v>-99.604339999999993</v>
      </c>
      <c r="Z246" s="407">
        <v>-98.286100000000005</v>
      </c>
      <c r="AA246" s="407">
        <v>-104.76642</v>
      </c>
      <c r="AB246" s="407">
        <v>-95.986879999999999</v>
      </c>
      <c r="AC246" s="407">
        <v>-104.726599999999</v>
      </c>
      <c r="AD246" s="407">
        <v>-96.003159999999994</v>
      </c>
      <c r="AE246" s="407">
        <v>-106.56712</v>
      </c>
      <c r="AF246" s="407">
        <v>-100.62161999999999</v>
      </c>
    </row>
    <row r="247" spans="1:32">
      <c r="A247" s="406" t="s">
        <v>988</v>
      </c>
      <c r="B247" s="407">
        <v>292.45080000000002</v>
      </c>
      <c r="C247" s="407">
        <v>357.56621000000001</v>
      </c>
      <c r="D247" s="407">
        <v>421.50961000000001</v>
      </c>
      <c r="E247" s="407">
        <v>378.89067999999997</v>
      </c>
      <c r="F247" s="407">
        <v>369.71208000000001</v>
      </c>
      <c r="G247" s="407">
        <v>338.14287999999999</v>
      </c>
      <c r="H247" s="407">
        <v>286.60717</v>
      </c>
      <c r="I247" s="407">
        <v>270.60485999999997</v>
      </c>
      <c r="J247" s="407">
        <v>364.50612000000001</v>
      </c>
      <c r="K247" s="407">
        <v>384.30964</v>
      </c>
      <c r="L247" s="407">
        <v>391.49065999999999</v>
      </c>
      <c r="M247" s="407">
        <v>407.37488000000002</v>
      </c>
      <c r="N247" s="407">
        <v>289.31693999999902</v>
      </c>
      <c r="O247" s="407">
        <v>331.66935999999902</v>
      </c>
      <c r="Q247" s="407">
        <v>383.90879999999902</v>
      </c>
      <c r="R247" s="407">
        <v>333.59039999999999</v>
      </c>
      <c r="S247" s="407">
        <v>364.03135999999898</v>
      </c>
      <c r="T247" s="407">
        <v>435.70428046711601</v>
      </c>
      <c r="U247" s="407">
        <v>319.30932000000001</v>
      </c>
      <c r="V247" s="407">
        <v>402.13183999999899</v>
      </c>
      <c r="W247" s="407">
        <v>447.79635999999999</v>
      </c>
      <c r="X247" s="407">
        <v>313.58051999999998</v>
      </c>
      <c r="Y247" s="407">
        <v>330.94511999999997</v>
      </c>
      <c r="Z247" s="407">
        <v>416.72686045434</v>
      </c>
      <c r="AA247" s="407">
        <v>300.30153999999999</v>
      </c>
      <c r="AB247" s="407">
        <v>343.93699999999899</v>
      </c>
      <c r="AC247" s="407">
        <v>393.652819999999</v>
      </c>
      <c r="AD247" s="407">
        <v>353.21813999999898</v>
      </c>
      <c r="AE247" s="407">
        <v>379.95870000000002</v>
      </c>
      <c r="AF247" s="407">
        <v>460.05871999999999</v>
      </c>
    </row>
    <row r="248" spans="1:32">
      <c r="A248" s="406" t="s">
        <v>989</v>
      </c>
      <c r="B248" s="407">
        <v>62.741959999999999</v>
      </c>
      <c r="C248" s="407">
        <v>52.774059999999999</v>
      </c>
      <c r="D248" s="407">
        <v>55.389800000000001</v>
      </c>
      <c r="E248" s="407">
        <v>55.27413</v>
      </c>
      <c r="F248" s="407">
        <v>63.82985</v>
      </c>
      <c r="G248" s="407">
        <v>41.58916</v>
      </c>
      <c r="H248" s="407">
        <v>64.948759999999993</v>
      </c>
      <c r="I248" s="407">
        <v>57.85331</v>
      </c>
      <c r="J248" s="407">
        <v>48.519880000000001</v>
      </c>
      <c r="K248" s="407">
        <v>65.875140000000101</v>
      </c>
      <c r="L248" s="407">
        <v>47.542660000000097</v>
      </c>
      <c r="M248" s="407">
        <v>52.847079999999799</v>
      </c>
      <c r="N248" s="407">
        <v>81.121919999999804</v>
      </c>
      <c r="O248" s="407">
        <v>71.045199999999994</v>
      </c>
      <c r="Q248" s="407">
        <v>74.479180000000397</v>
      </c>
      <c r="R248" s="407">
        <v>81.625439999999699</v>
      </c>
      <c r="S248" s="407">
        <v>71.041680000000198</v>
      </c>
      <c r="T248" s="407">
        <v>74.479619999999898</v>
      </c>
      <c r="U248" s="407">
        <v>81.621480000000005</v>
      </c>
      <c r="V248" s="407">
        <v>72.139920000000004</v>
      </c>
      <c r="W248" s="407">
        <v>74.480500000000305</v>
      </c>
      <c r="X248" s="407">
        <v>81.619279999999804</v>
      </c>
      <c r="Y248" s="407">
        <v>71.042560000000293</v>
      </c>
      <c r="Z248" s="407">
        <v>73.981379999999803</v>
      </c>
      <c r="AA248" s="407">
        <v>82.997199999999793</v>
      </c>
      <c r="AB248" s="407">
        <v>72.619339999999795</v>
      </c>
      <c r="AC248" s="407">
        <v>76.123060000000194</v>
      </c>
      <c r="AD248" s="407">
        <v>83.515500000000202</v>
      </c>
      <c r="AE248" s="407">
        <v>72.615379999999902</v>
      </c>
      <c r="AF248" s="407">
        <v>76.124379999999803</v>
      </c>
    </row>
    <row r="249" spans="1:32">
      <c r="A249" s="406" t="s">
        <v>990</v>
      </c>
      <c r="B249" s="407">
        <v>688.75580000000002</v>
      </c>
      <c r="C249" s="407">
        <v>719.21023000000002</v>
      </c>
      <c r="D249" s="407">
        <v>818.32902999999999</v>
      </c>
      <c r="E249" s="407">
        <v>683.45813999999996</v>
      </c>
      <c r="F249" s="407">
        <v>686.80691999999999</v>
      </c>
      <c r="G249" s="407">
        <v>562.43861000000004</v>
      </c>
      <c r="H249" s="407">
        <v>537.96578999999895</v>
      </c>
      <c r="I249" s="407">
        <v>650.73716000000002</v>
      </c>
      <c r="J249" s="407">
        <v>588.49955999999997</v>
      </c>
      <c r="K249" s="407">
        <v>648.54966000000002</v>
      </c>
      <c r="L249" s="407">
        <v>649.98713999999802</v>
      </c>
      <c r="M249" s="407">
        <v>632.32375999999999</v>
      </c>
      <c r="N249" s="407">
        <v>748.35508000000004</v>
      </c>
      <c r="O249" s="407">
        <v>741.24005999999997</v>
      </c>
      <c r="Q249" s="407">
        <v>741.43520000000001</v>
      </c>
      <c r="R249" s="407">
        <v>746.35638000000301</v>
      </c>
      <c r="S249" s="407">
        <v>748.50840000000198</v>
      </c>
      <c r="T249" s="407">
        <v>768.416220000002</v>
      </c>
      <c r="U249" s="407">
        <v>781.57024000000104</v>
      </c>
      <c r="V249" s="407">
        <v>781.25121999999703</v>
      </c>
      <c r="W249" s="407">
        <v>781.94159999999897</v>
      </c>
      <c r="X249" s="407">
        <v>778.60904000000301</v>
      </c>
      <c r="Y249" s="407">
        <v>777.82826000000102</v>
      </c>
      <c r="Z249" s="407">
        <v>793.12814000000105</v>
      </c>
      <c r="AA249" s="407">
        <v>821.81066000000305</v>
      </c>
      <c r="AB249" s="407">
        <v>815.63789999999995</v>
      </c>
      <c r="AC249" s="407">
        <v>815.65637999999797</v>
      </c>
      <c r="AD249" s="407">
        <v>818.66795999999999</v>
      </c>
      <c r="AE249" s="407">
        <v>823.93935999999997</v>
      </c>
      <c r="AF249" s="407">
        <v>819.04086000000302</v>
      </c>
    </row>
    <row r="250" spans="1:32">
      <c r="A250" s="406" t="s">
        <v>991</v>
      </c>
      <c r="B250" s="407">
        <v>-81.474789999999999</v>
      </c>
      <c r="C250" s="407">
        <v>-98.546509999999998</v>
      </c>
      <c r="D250" s="407">
        <v>-83.921149999999997</v>
      </c>
      <c r="E250" s="407">
        <v>-70.454509999999999</v>
      </c>
      <c r="F250" s="407">
        <v>-39.464440000000003</v>
      </c>
      <c r="G250" s="407">
        <v>-0.52447999999999995</v>
      </c>
      <c r="H250" s="407">
        <v>-0.56830999999999998</v>
      </c>
      <c r="I250" s="407">
        <v>-0.51658999999999999</v>
      </c>
      <c r="J250" s="407">
        <v>-2</v>
      </c>
      <c r="K250" s="407">
        <v>-4</v>
      </c>
      <c r="L250" s="407">
        <v>-16</v>
      </c>
      <c r="M250" s="407">
        <v>-97</v>
      </c>
      <c r="N250" s="407">
        <v>-131.13800000000001</v>
      </c>
      <c r="O250" s="407">
        <v>-121.27800000000001</v>
      </c>
      <c r="Q250" s="407">
        <v>-95.149000000000001</v>
      </c>
      <c r="R250" s="407">
        <v>-39.933</v>
      </c>
      <c r="S250" s="407">
        <v>-31.553000000000001</v>
      </c>
      <c r="T250" s="407">
        <v>-2.4649999999999999</v>
      </c>
      <c r="U250" s="407">
        <v>-2.4649999999999999</v>
      </c>
      <c r="V250" s="407">
        <v>-2.4649999999999999</v>
      </c>
      <c r="W250" s="407">
        <v>-2.4649999999999999</v>
      </c>
      <c r="X250" s="407">
        <v>-4.4370000000000003</v>
      </c>
      <c r="Y250" s="407">
        <v>-17.254999999999999</v>
      </c>
      <c r="Z250" s="407">
        <v>-105.995</v>
      </c>
      <c r="AA250" s="407">
        <v>-144.25299999999999</v>
      </c>
      <c r="AB250" s="407">
        <v>-133.94900000000001</v>
      </c>
      <c r="AC250" s="407">
        <v>-105.099</v>
      </c>
      <c r="AD250" s="407">
        <v>-43.790999999999997</v>
      </c>
      <c r="AE250" s="407">
        <v>-32.972000000000001</v>
      </c>
      <c r="AF250" s="407">
        <v>-2.5760000000000001</v>
      </c>
    </row>
    <row r="251" spans="1:32">
      <c r="A251" s="406" t="s">
        <v>992</v>
      </c>
      <c r="B251" s="407">
        <v>0.375</v>
      </c>
      <c r="C251" s="407">
        <v>4.3856400000000004</v>
      </c>
      <c r="D251" s="407">
        <v>0.03</v>
      </c>
      <c r="E251" s="407">
        <v>0.69167000000000001</v>
      </c>
      <c r="F251" s="407">
        <v>0</v>
      </c>
      <c r="G251" s="407">
        <v>9.1556999999999995</v>
      </c>
      <c r="H251" s="407">
        <v>3.3729</v>
      </c>
      <c r="I251" s="407">
        <v>6.3513400000000004</v>
      </c>
      <c r="J251" s="407">
        <v>7.8939000000000101</v>
      </c>
      <c r="K251" s="407">
        <v>0.17249999999999899</v>
      </c>
      <c r="L251" s="407">
        <v>0</v>
      </c>
      <c r="M251" s="407">
        <v>0.14699999999999899</v>
      </c>
      <c r="N251" s="407">
        <v>0.91650000000000098</v>
      </c>
      <c r="O251" s="407">
        <v>2.1150000000000002</v>
      </c>
      <c r="Q251" s="407">
        <v>1.3662000000000001</v>
      </c>
      <c r="R251" s="407">
        <v>0.70499999999999996</v>
      </c>
      <c r="S251" s="407">
        <v>0.70499999999999896</v>
      </c>
      <c r="T251" s="407">
        <v>1.31639999999999</v>
      </c>
      <c r="U251" s="407">
        <v>0.70499999999999896</v>
      </c>
      <c r="V251" s="407">
        <v>0.70500000000000096</v>
      </c>
      <c r="W251" s="407">
        <v>1.1547000000000001</v>
      </c>
      <c r="X251" s="407">
        <v>0.70500000000000096</v>
      </c>
      <c r="Y251" s="407">
        <v>0.70499999999999896</v>
      </c>
      <c r="Z251" s="407">
        <v>1.1958</v>
      </c>
      <c r="AA251" s="407">
        <v>0.93839999999999801</v>
      </c>
      <c r="AB251" s="407">
        <v>2.1608999999999901</v>
      </c>
      <c r="AC251" s="407">
        <v>1.39709999999999</v>
      </c>
      <c r="AD251" s="407">
        <v>0.72270000000000101</v>
      </c>
      <c r="AE251" s="407">
        <v>0.72269999999999901</v>
      </c>
      <c r="AF251" s="407">
        <v>1.3460999999999901</v>
      </c>
    </row>
    <row r="252" spans="1:32">
      <c r="A252" s="406" t="s">
        <v>993</v>
      </c>
      <c r="B252" s="407">
        <v>44.101370000000003</v>
      </c>
      <c r="C252" s="407">
        <v>40.040709999999997</v>
      </c>
      <c r="D252" s="407">
        <v>40.40399</v>
      </c>
      <c r="E252" s="407">
        <v>47.639129999999902</v>
      </c>
      <c r="F252" s="407">
        <v>43.54777</v>
      </c>
      <c r="G252" s="407">
        <v>34.633800000000001</v>
      </c>
      <c r="H252" s="407">
        <v>50.035489999999903</v>
      </c>
      <c r="I252" s="407">
        <v>13.525510000000001</v>
      </c>
      <c r="J252" s="407">
        <v>344.42259999999999</v>
      </c>
      <c r="K252" s="407">
        <v>44.131</v>
      </c>
      <c r="L252" s="407">
        <v>62.223265788562102</v>
      </c>
      <c r="M252" s="407">
        <v>53.138900000000099</v>
      </c>
      <c r="N252" s="407">
        <v>46.145799999999902</v>
      </c>
      <c r="O252" s="407">
        <v>54.374500000000097</v>
      </c>
      <c r="Q252" s="407">
        <v>49.558</v>
      </c>
      <c r="R252" s="407">
        <v>52.5820000000001</v>
      </c>
      <c r="S252" s="407">
        <v>45.4801000000001</v>
      </c>
      <c r="T252" s="407">
        <v>50.975800000000099</v>
      </c>
      <c r="U252" s="407">
        <v>46.0245999999999</v>
      </c>
      <c r="V252" s="407">
        <v>47.837199999999903</v>
      </c>
      <c r="W252" s="407">
        <v>48.425200000000103</v>
      </c>
      <c r="X252" s="407">
        <v>46.004499999999901</v>
      </c>
      <c r="Y252" s="407">
        <v>49.769953231004997</v>
      </c>
      <c r="Z252" s="407">
        <v>48.759999999999799</v>
      </c>
      <c r="AA252" s="407">
        <v>47.133499999999799</v>
      </c>
      <c r="AB252" s="407">
        <v>55.572499999999799</v>
      </c>
      <c r="AC252" s="407">
        <v>50.3183000000002</v>
      </c>
      <c r="AD252" s="407">
        <v>54.656999999999798</v>
      </c>
      <c r="AE252" s="407">
        <v>46.464599999999997</v>
      </c>
      <c r="AF252" s="407">
        <v>52.132199999999997</v>
      </c>
    </row>
    <row r="253" spans="1:32">
      <c r="A253" s="406" t="s">
        <v>994</v>
      </c>
      <c r="B253" s="407">
        <v>23.047419999999999</v>
      </c>
      <c r="C253" s="407">
        <v>22.79402</v>
      </c>
      <c r="D253" s="407">
        <v>27.514679999999998</v>
      </c>
      <c r="E253" s="407">
        <v>27.761030000000002</v>
      </c>
      <c r="F253" s="407">
        <v>22.396359999999898</v>
      </c>
      <c r="G253" s="407">
        <v>26.656019999999899</v>
      </c>
      <c r="H253" s="407">
        <v>26.67324</v>
      </c>
      <c r="I253" s="407">
        <v>24.040679999999998</v>
      </c>
      <c r="J253" s="407">
        <v>28.255479999999999</v>
      </c>
      <c r="K253" s="407">
        <v>28.255479999999999</v>
      </c>
      <c r="L253" s="407">
        <v>23.305479999999999</v>
      </c>
      <c r="M253" s="407">
        <v>28.255479999999999</v>
      </c>
      <c r="N253" s="407">
        <v>28.672160000000002</v>
      </c>
      <c r="O253" s="407">
        <v>23.722159999999999</v>
      </c>
      <c r="Q253" s="407">
        <v>28.1677</v>
      </c>
      <c r="R253" s="407">
        <v>28.1677</v>
      </c>
      <c r="S253" s="407">
        <v>23.217700000000001</v>
      </c>
      <c r="T253" s="407">
        <v>27.922619999999998</v>
      </c>
      <c r="U253" s="407">
        <v>27.922619999999998</v>
      </c>
      <c r="V253" s="407">
        <v>22.972619999999999</v>
      </c>
      <c r="W253" s="407">
        <v>27.432680000000001</v>
      </c>
      <c r="X253" s="407">
        <v>27.432680000000001</v>
      </c>
      <c r="Y253" s="407">
        <v>22.482679999999998</v>
      </c>
      <c r="Z253" s="407">
        <v>27.172419999999999</v>
      </c>
      <c r="AA253" s="407">
        <v>28.633220000000001</v>
      </c>
      <c r="AB253" s="407">
        <v>23.683219999999999</v>
      </c>
      <c r="AC253" s="407">
        <v>28.54852</v>
      </c>
      <c r="AD253" s="407">
        <v>28.54852</v>
      </c>
      <c r="AE253" s="407">
        <v>23.598520000000001</v>
      </c>
      <c r="AF253" s="407">
        <v>28.54852</v>
      </c>
    </row>
    <row r="254" spans="1:32">
      <c r="A254" s="406" t="s">
        <v>995</v>
      </c>
      <c r="B254" s="407">
        <v>1684.7635399999999</v>
      </c>
      <c r="C254" s="407">
        <v>1827.2639300000001</v>
      </c>
      <c r="D254" s="407">
        <v>2033.0767699999999</v>
      </c>
      <c r="E254" s="407">
        <v>1829.5559800000001</v>
      </c>
      <c r="F254" s="407">
        <v>1817.4267299999999</v>
      </c>
      <c r="G254" s="407">
        <v>1647.82482</v>
      </c>
      <c r="H254" s="407">
        <v>1529.7236799999901</v>
      </c>
      <c r="I254" s="407">
        <v>1678.3321800000001</v>
      </c>
      <c r="J254" s="407">
        <v>2046.6245531936299</v>
      </c>
      <c r="K254" s="407">
        <v>1846.1454806296399</v>
      </c>
      <c r="L254" s="407">
        <v>1810.44110578856</v>
      </c>
      <c r="M254" s="407">
        <v>1901.1546910545401</v>
      </c>
      <c r="N254" s="407">
        <v>1715.0144631133901</v>
      </c>
      <c r="O254" s="407">
        <v>1708.3451329977499</v>
      </c>
      <c r="Q254" s="407">
        <v>1901.3721248234201</v>
      </c>
      <c r="R254" s="407">
        <v>1765.7435910684201</v>
      </c>
      <c r="S254" s="407">
        <v>1923.37607099049</v>
      </c>
      <c r="T254" s="407">
        <v>2072.8285925382802</v>
      </c>
      <c r="U254" s="407">
        <v>1933.0655185901101</v>
      </c>
      <c r="V254" s="407">
        <v>2072.3189194874199</v>
      </c>
      <c r="W254" s="407">
        <v>2057.1901622832702</v>
      </c>
      <c r="X254" s="407">
        <v>1985.5252061497899</v>
      </c>
      <c r="Y254" s="407">
        <v>1914.5527732309999</v>
      </c>
      <c r="Z254" s="407">
        <v>1924.19942045434</v>
      </c>
      <c r="AA254" s="407">
        <v>1860.3978199999999</v>
      </c>
      <c r="AB254" s="407">
        <v>1817.4864913149399</v>
      </c>
      <c r="AC254" s="407">
        <v>1973.38773692022</v>
      </c>
      <c r="AD254" s="407">
        <v>1934.47886422853</v>
      </c>
      <c r="AE254" s="407">
        <v>2054.9267999999902</v>
      </c>
      <c r="AF254" s="407">
        <v>2119.0242229139599</v>
      </c>
    </row>
    <row r="255" spans="1:32">
      <c r="A255" s="406" t="s">
        <v>996</v>
      </c>
      <c r="B255" s="407">
        <v>30.989380000000001</v>
      </c>
      <c r="C255" s="407">
        <v>33.411949999999997</v>
      </c>
      <c r="D255" s="407">
        <v>25.677209999999999</v>
      </c>
      <c r="E255" s="407">
        <v>23.07413</v>
      </c>
      <c r="F255" s="407">
        <v>24.991769999999999</v>
      </c>
      <c r="G255" s="407">
        <v>27.587520000000001</v>
      </c>
      <c r="H255" s="407">
        <v>21.272790000000001</v>
      </c>
      <c r="I255" s="407">
        <v>26.83071</v>
      </c>
      <c r="J255" s="407">
        <v>23.872499999999899</v>
      </c>
      <c r="K255" s="407">
        <v>23.572500000000002</v>
      </c>
      <c r="L255" s="407">
        <v>25.960197736004801</v>
      </c>
      <c r="M255" s="407">
        <v>26.0048999999999</v>
      </c>
      <c r="N255" s="407">
        <v>30.031799999999901</v>
      </c>
      <c r="O255" s="407">
        <v>26.307899999999901</v>
      </c>
      <c r="Q255" s="407">
        <v>22.218299999999999</v>
      </c>
      <c r="R255" s="407">
        <v>14.8229897492034</v>
      </c>
      <c r="S255" s="407">
        <v>18.9011999999999</v>
      </c>
      <c r="T255" s="407">
        <v>11.226886927185801</v>
      </c>
      <c r="U255" s="407">
        <v>15.0263847955876</v>
      </c>
      <c r="V255" s="407">
        <v>20.315084682467699</v>
      </c>
      <c r="W255" s="407">
        <v>21.598799999999901</v>
      </c>
      <c r="X255" s="407">
        <v>25.2836999999999</v>
      </c>
      <c r="Y255" s="407">
        <v>27.680099999999999</v>
      </c>
      <c r="Z255" s="407">
        <v>24.642600000000002</v>
      </c>
      <c r="AA255" s="407">
        <v>32.555999999999997</v>
      </c>
      <c r="AB255" s="407">
        <v>27.660592009416799</v>
      </c>
      <c r="AC255" s="407">
        <v>18.673200000000001</v>
      </c>
      <c r="AD255" s="407">
        <v>13.532699999999901</v>
      </c>
      <c r="AE255" s="407">
        <v>19.247399999999899</v>
      </c>
      <c r="AF255" s="407">
        <v>11.0337</v>
      </c>
    </row>
    <row r="256" spans="1:32">
      <c r="A256" s="406" t="s">
        <v>997</v>
      </c>
      <c r="B256" s="407">
        <v>1715.7529199999999</v>
      </c>
      <c r="C256" s="407">
        <v>1860.67588</v>
      </c>
      <c r="D256" s="407">
        <v>2058.75398</v>
      </c>
      <c r="E256" s="407">
        <v>1852.6301100000001</v>
      </c>
      <c r="F256" s="407">
        <v>1842.4185</v>
      </c>
      <c r="G256" s="407">
        <v>1675.4123400000001</v>
      </c>
      <c r="H256" s="407">
        <v>1550.99646999999</v>
      </c>
      <c r="I256" s="407">
        <v>1705.1628900000001</v>
      </c>
      <c r="J256" s="407">
        <v>2070.4970531936301</v>
      </c>
      <c r="K256" s="407">
        <v>1869.7179806296399</v>
      </c>
      <c r="L256" s="407">
        <v>1836.40130352456</v>
      </c>
      <c r="M256" s="407">
        <v>1927.15959105454</v>
      </c>
      <c r="N256" s="407">
        <v>1745.0462631133901</v>
      </c>
      <c r="O256" s="407">
        <v>1734.65303299775</v>
      </c>
      <c r="Q256" s="407">
        <v>1923.5904248234201</v>
      </c>
      <c r="R256" s="407">
        <v>1780.56658081762</v>
      </c>
      <c r="S256" s="407">
        <v>1942.27727099049</v>
      </c>
      <c r="T256" s="407">
        <v>2084.0554794654599</v>
      </c>
      <c r="U256" s="407">
        <v>1948.0919033857001</v>
      </c>
      <c r="V256" s="407">
        <v>2092.63400416989</v>
      </c>
      <c r="W256" s="407">
        <v>2078.7889622832699</v>
      </c>
      <c r="X256" s="407">
        <v>2010.8089061497899</v>
      </c>
      <c r="Y256" s="407">
        <v>1942.232873231</v>
      </c>
      <c r="Z256" s="407">
        <v>1948.8420204543399</v>
      </c>
      <c r="AA256" s="407">
        <v>1892.95382</v>
      </c>
      <c r="AB256" s="407">
        <v>1845.14708332436</v>
      </c>
      <c r="AC256" s="407">
        <v>1992.06093692022</v>
      </c>
      <c r="AD256" s="407">
        <v>1948.01156422853</v>
      </c>
      <c r="AE256" s="407">
        <v>2074.1741999999999</v>
      </c>
      <c r="AF256" s="407">
        <v>2130.0579229139598</v>
      </c>
    </row>
    <row r="258" spans="1:33">
      <c r="A258" s="406" t="s">
        <v>998</v>
      </c>
    </row>
    <row r="259" spans="1:33">
      <c r="A259" s="406" t="s">
        <v>999</v>
      </c>
      <c r="B259" s="407">
        <v>0</v>
      </c>
      <c r="C259" s="407">
        <v>0</v>
      </c>
      <c r="D259" s="407">
        <v>0</v>
      </c>
      <c r="E259" s="407">
        <v>0</v>
      </c>
      <c r="F259" s="407">
        <v>0</v>
      </c>
      <c r="G259" s="407">
        <v>0</v>
      </c>
      <c r="H259" s="407">
        <v>0</v>
      </c>
      <c r="I259" s="407">
        <v>0</v>
      </c>
      <c r="J259" s="407">
        <v>0</v>
      </c>
      <c r="K259" s="407">
        <v>0</v>
      </c>
      <c r="L259" s="407">
        <v>0</v>
      </c>
      <c r="M259" s="407">
        <v>0</v>
      </c>
      <c r="N259" s="407">
        <v>0</v>
      </c>
      <c r="O259" s="407">
        <v>0</v>
      </c>
      <c r="Q259" s="407">
        <v>0</v>
      </c>
      <c r="R259" s="407">
        <v>0</v>
      </c>
      <c r="S259" s="407">
        <v>0</v>
      </c>
      <c r="T259" s="407">
        <v>0</v>
      </c>
      <c r="U259" s="407">
        <v>0</v>
      </c>
      <c r="V259" s="407">
        <v>0</v>
      </c>
      <c r="W259" s="407">
        <v>0</v>
      </c>
      <c r="X259" s="407">
        <v>0</v>
      </c>
      <c r="Y259" s="407">
        <v>0</v>
      </c>
      <c r="Z259" s="407">
        <v>0</v>
      </c>
      <c r="AA259" s="407">
        <v>0</v>
      </c>
      <c r="AB259" s="407">
        <v>0</v>
      </c>
      <c r="AC259" s="407">
        <v>0</v>
      </c>
      <c r="AD259" s="407">
        <v>0</v>
      </c>
      <c r="AE259" s="407">
        <v>0</v>
      </c>
      <c r="AF259" s="407">
        <v>0</v>
      </c>
    </row>
    <row r="260" spans="1:33">
      <c r="A260" s="406" t="s">
        <v>1000</v>
      </c>
      <c r="B260" s="407">
        <v>0</v>
      </c>
      <c r="C260" s="407">
        <v>0</v>
      </c>
      <c r="D260" s="407">
        <v>0</v>
      </c>
      <c r="E260" s="407">
        <v>0</v>
      </c>
      <c r="F260" s="407">
        <v>0</v>
      </c>
      <c r="G260" s="407">
        <v>0</v>
      </c>
      <c r="H260" s="407">
        <v>0</v>
      </c>
      <c r="I260" s="407">
        <v>0</v>
      </c>
      <c r="J260" s="407">
        <v>4.35715777881222</v>
      </c>
      <c r="K260" s="407">
        <v>4.35715777881222</v>
      </c>
      <c r="L260" s="407">
        <v>4.35715777881222</v>
      </c>
      <c r="M260" s="407">
        <v>4.35715777881222</v>
      </c>
      <c r="N260" s="407">
        <v>4.4073591135485799</v>
      </c>
      <c r="O260" s="407">
        <v>4.4073591135485799</v>
      </c>
      <c r="Q260" s="407">
        <v>4.4073591135485799</v>
      </c>
      <c r="R260" s="407">
        <v>4.4073591135485799</v>
      </c>
      <c r="S260" s="407">
        <v>4.4073591135485799</v>
      </c>
      <c r="T260" s="407">
        <v>4.4073591135485799</v>
      </c>
      <c r="U260" s="407">
        <v>9.8339658360150395</v>
      </c>
      <c r="V260" s="407">
        <v>6.2383635767124597</v>
      </c>
      <c r="W260" s="407">
        <v>6.2383635767124597</v>
      </c>
      <c r="X260" s="407">
        <v>6.2383635767124597</v>
      </c>
      <c r="Y260" s="407">
        <v>6.2383635767124597</v>
      </c>
      <c r="Z260" s="407">
        <v>6.2383635767124597</v>
      </c>
      <c r="AA260" s="407">
        <v>6.3002555265772298</v>
      </c>
      <c r="AB260" s="407">
        <v>6.3002555265772298</v>
      </c>
      <c r="AC260" s="407">
        <v>6.3002555265772298</v>
      </c>
      <c r="AD260" s="407">
        <v>6.3002555265772298</v>
      </c>
      <c r="AE260" s="407">
        <v>6.3002555265772298</v>
      </c>
      <c r="AF260" s="407">
        <v>6.3002555265772298</v>
      </c>
    </row>
    <row r="261" spans="1:33">
      <c r="A261" s="406" t="s">
        <v>1001</v>
      </c>
      <c r="B261" s="407">
        <v>7.8999899999999998</v>
      </c>
      <c r="C261" s="407">
        <v>7.8999899999999998</v>
      </c>
      <c r="D261" s="407">
        <v>7.8999899999999998</v>
      </c>
      <c r="E261" s="407">
        <v>16.62782</v>
      </c>
      <c r="F261" s="407">
        <v>7.8999899999999998</v>
      </c>
      <c r="G261" s="407">
        <v>8.23386</v>
      </c>
      <c r="H261" s="407">
        <v>7.8999899999999998</v>
      </c>
      <c r="I261" s="407">
        <v>7.8999899999999998</v>
      </c>
      <c r="J261" s="407">
        <v>3.5428422211878101</v>
      </c>
      <c r="K261" s="407">
        <v>3.5428422211878101</v>
      </c>
      <c r="L261" s="407">
        <v>3.5428422211878101</v>
      </c>
      <c r="M261" s="407">
        <v>3.5428422211878101</v>
      </c>
      <c r="N261" s="407">
        <v>3.49264088645138</v>
      </c>
      <c r="O261" s="407">
        <v>3.49264088645138</v>
      </c>
      <c r="Q261" s="407">
        <v>3.49264088645138</v>
      </c>
      <c r="R261" s="407">
        <v>3.49264088645138</v>
      </c>
      <c r="S261" s="407">
        <v>3.49264088645138</v>
      </c>
      <c r="T261" s="407">
        <v>3.49264088645138</v>
      </c>
      <c r="U261" s="407">
        <v>8.4380341639849803</v>
      </c>
      <c r="V261" s="407">
        <v>9.7836364232875201</v>
      </c>
      <c r="W261" s="407">
        <v>9.7836364232875201</v>
      </c>
      <c r="X261" s="407">
        <v>9.7836364232875201</v>
      </c>
      <c r="Y261" s="407">
        <v>9.7836364232875201</v>
      </c>
      <c r="Z261" s="407">
        <v>9.7836364232875201</v>
      </c>
      <c r="AA261" s="407">
        <v>9.7217444734227296</v>
      </c>
      <c r="AB261" s="407">
        <v>9.7217444734227296</v>
      </c>
      <c r="AC261" s="407">
        <v>9.7217444734227296</v>
      </c>
      <c r="AD261" s="407">
        <v>9.7217444734227296</v>
      </c>
      <c r="AE261" s="407">
        <v>9.7217444734227296</v>
      </c>
      <c r="AF261" s="407">
        <v>9.7217444734227296</v>
      </c>
    </row>
    <row r="262" spans="1:33">
      <c r="A262" s="406" t="s">
        <v>1002</v>
      </c>
      <c r="B262" s="407">
        <v>0</v>
      </c>
      <c r="C262" s="407">
        <v>0</v>
      </c>
      <c r="D262" s="407">
        <v>0</v>
      </c>
      <c r="E262" s="407">
        <v>0</v>
      </c>
      <c r="F262" s="407">
        <v>0</v>
      </c>
      <c r="G262" s="407">
        <v>0</v>
      </c>
      <c r="H262" s="407">
        <v>0</v>
      </c>
      <c r="I262" s="407">
        <v>0</v>
      </c>
      <c r="J262" s="407">
        <v>0</v>
      </c>
      <c r="K262" s="407">
        <v>0</v>
      </c>
      <c r="L262" s="407">
        <v>0</v>
      </c>
      <c r="M262" s="407">
        <v>0</v>
      </c>
      <c r="N262" s="407">
        <v>0</v>
      </c>
      <c r="O262" s="407">
        <v>0</v>
      </c>
      <c r="Q262" s="407">
        <v>0</v>
      </c>
      <c r="R262" s="407">
        <v>0</v>
      </c>
      <c r="S262" s="407">
        <v>0</v>
      </c>
      <c r="T262" s="407">
        <v>0</v>
      </c>
      <c r="U262" s="407">
        <v>0</v>
      </c>
      <c r="V262" s="407">
        <v>0</v>
      </c>
      <c r="W262" s="407">
        <v>0</v>
      </c>
      <c r="X262" s="407">
        <v>0</v>
      </c>
      <c r="Y262" s="407">
        <v>0</v>
      </c>
      <c r="Z262" s="407">
        <v>0</v>
      </c>
      <c r="AA262" s="407">
        <v>0</v>
      </c>
      <c r="AB262" s="407">
        <v>0</v>
      </c>
      <c r="AC262" s="407">
        <v>0</v>
      </c>
      <c r="AD262" s="407">
        <v>0</v>
      </c>
      <c r="AE262" s="407">
        <v>0</v>
      </c>
      <c r="AF262" s="407">
        <v>0</v>
      </c>
    </row>
    <row r="263" spans="1:33">
      <c r="A263" s="406" t="s">
        <v>1003</v>
      </c>
      <c r="B263" s="407">
        <v>0</v>
      </c>
      <c r="C263" s="407">
        <v>0</v>
      </c>
      <c r="D263" s="407">
        <v>0</v>
      </c>
      <c r="E263" s="407">
        <v>0</v>
      </c>
      <c r="F263" s="407">
        <v>0</v>
      </c>
      <c r="G263" s="407">
        <v>0</v>
      </c>
      <c r="H263" s="407">
        <v>0</v>
      </c>
      <c r="I263" s="407">
        <v>0</v>
      </c>
      <c r="J263" s="407">
        <v>0</v>
      </c>
      <c r="K263" s="407">
        <v>0</v>
      </c>
      <c r="L263" s="407">
        <v>0</v>
      </c>
      <c r="M263" s="407">
        <v>0</v>
      </c>
      <c r="N263" s="407">
        <v>0</v>
      </c>
      <c r="O263" s="407">
        <v>0</v>
      </c>
      <c r="Q263" s="407">
        <v>0</v>
      </c>
      <c r="R263" s="407">
        <v>0</v>
      </c>
      <c r="S263" s="407">
        <v>0</v>
      </c>
      <c r="T263" s="407">
        <v>0</v>
      </c>
      <c r="U263" s="407">
        <v>0</v>
      </c>
      <c r="V263" s="407">
        <v>0</v>
      </c>
      <c r="W263" s="407">
        <v>0</v>
      </c>
      <c r="X263" s="407">
        <v>0</v>
      </c>
      <c r="Y263" s="407">
        <v>0</v>
      </c>
      <c r="Z263" s="407">
        <v>0</v>
      </c>
      <c r="AA263" s="407">
        <v>0</v>
      </c>
      <c r="AB263" s="407">
        <v>0</v>
      </c>
      <c r="AC263" s="407">
        <v>0</v>
      </c>
      <c r="AD263" s="407">
        <v>0</v>
      </c>
      <c r="AE263" s="407">
        <v>0</v>
      </c>
      <c r="AF263" s="407">
        <v>0</v>
      </c>
    </row>
    <row r="264" spans="1:33">
      <c r="A264" s="406" t="s">
        <v>1004</v>
      </c>
      <c r="B264" s="407">
        <v>7.8999899999999998</v>
      </c>
      <c r="C264" s="407">
        <v>7.8999899999999998</v>
      </c>
      <c r="D264" s="407">
        <v>7.8999899999999998</v>
      </c>
      <c r="E264" s="407">
        <v>16.62782</v>
      </c>
      <c r="F264" s="407">
        <v>7.8999899999999998</v>
      </c>
      <c r="G264" s="407">
        <v>8.23386</v>
      </c>
      <c r="H264" s="407">
        <v>7.8999899999999998</v>
      </c>
      <c r="I264" s="407">
        <v>7.8999899999999998</v>
      </c>
      <c r="J264" s="407">
        <v>7.9000000000000297</v>
      </c>
      <c r="K264" s="407">
        <v>7.9000000000000297</v>
      </c>
      <c r="L264" s="407">
        <v>7.9000000000000297</v>
      </c>
      <c r="M264" s="407">
        <v>7.9000000000000297</v>
      </c>
      <c r="N264" s="407">
        <v>7.8999999999999702</v>
      </c>
      <c r="O264" s="407">
        <v>7.8999999999999702</v>
      </c>
      <c r="Q264" s="407">
        <v>7.8999999999999702</v>
      </c>
      <c r="R264" s="407">
        <v>7.8999999999999702</v>
      </c>
      <c r="S264" s="407">
        <v>7.8999999999999702</v>
      </c>
      <c r="T264" s="407">
        <v>7.8999999999999702</v>
      </c>
      <c r="U264" s="407">
        <v>18.271999999999998</v>
      </c>
      <c r="V264" s="407">
        <v>16.021999999999899</v>
      </c>
      <c r="W264" s="407">
        <v>16.021999999999899</v>
      </c>
      <c r="X264" s="407">
        <v>16.021999999999899</v>
      </c>
      <c r="Y264" s="407">
        <v>16.021999999999899</v>
      </c>
      <c r="Z264" s="407">
        <v>16.021999999999899</v>
      </c>
      <c r="AA264" s="407">
        <v>16.021999999999899</v>
      </c>
      <c r="AB264" s="407">
        <v>16.021999999999899</v>
      </c>
      <c r="AC264" s="407">
        <v>16.021999999999899</v>
      </c>
      <c r="AD264" s="407">
        <v>16.021999999999899</v>
      </c>
      <c r="AE264" s="407">
        <v>16.021999999999899</v>
      </c>
      <c r="AF264" s="407">
        <v>16.021999999999899</v>
      </c>
    </row>
    <row r="266" spans="1:33">
      <c r="A266" s="406" t="s">
        <v>1005</v>
      </c>
      <c r="B266" s="407">
        <v>0</v>
      </c>
      <c r="C266" s="407">
        <v>0</v>
      </c>
      <c r="D266" s="407">
        <v>0</v>
      </c>
      <c r="E266" s="407">
        <v>0</v>
      </c>
      <c r="F266" s="407">
        <v>0</v>
      </c>
      <c r="G266" s="407">
        <v>0</v>
      </c>
      <c r="H266" s="407">
        <v>0</v>
      </c>
      <c r="I266" s="407">
        <v>0</v>
      </c>
      <c r="J266" s="407">
        <v>0</v>
      </c>
      <c r="K266" s="407">
        <v>0</v>
      </c>
      <c r="L266" s="407">
        <v>0</v>
      </c>
      <c r="M266" s="407">
        <v>0</v>
      </c>
      <c r="N266" s="407">
        <v>0</v>
      </c>
      <c r="O266" s="407">
        <v>0</v>
      </c>
      <c r="Q266" s="407">
        <v>0</v>
      </c>
      <c r="R266" s="407">
        <v>0</v>
      </c>
      <c r="S266" s="407">
        <v>0</v>
      </c>
      <c r="T266" s="407">
        <v>0</v>
      </c>
      <c r="U266" s="407">
        <v>0</v>
      </c>
      <c r="V266" s="407">
        <v>0</v>
      </c>
      <c r="W266" s="407">
        <v>0</v>
      </c>
      <c r="X266" s="407">
        <v>0</v>
      </c>
      <c r="Y266" s="407">
        <v>0</v>
      </c>
      <c r="Z266" s="407">
        <v>0</v>
      </c>
      <c r="AA266" s="407">
        <v>0</v>
      </c>
      <c r="AB266" s="407">
        <v>0</v>
      </c>
      <c r="AC266" s="407">
        <v>0</v>
      </c>
      <c r="AD266" s="407">
        <v>0</v>
      </c>
      <c r="AE266" s="407">
        <v>0</v>
      </c>
      <c r="AF266" s="407">
        <v>0</v>
      </c>
    </row>
    <row r="268" spans="1:33">
      <c r="A268" s="406" t="s">
        <v>1006</v>
      </c>
      <c r="B268" s="407">
        <v>1727.3314800000001</v>
      </c>
      <c r="C268" s="407">
        <v>1868.5758699999999</v>
      </c>
      <c r="D268" s="407">
        <v>2171.7832399999902</v>
      </c>
      <c r="E268" s="407">
        <v>1823.48209</v>
      </c>
      <c r="F268" s="407">
        <v>1847.1669899999999</v>
      </c>
      <c r="G268" s="407">
        <v>1701.93652</v>
      </c>
      <c r="H268" s="407">
        <v>1571.99476999999</v>
      </c>
      <c r="I268" s="407">
        <v>1735.7725800000001</v>
      </c>
      <c r="J268" s="407">
        <v>2094.0566531936302</v>
      </c>
      <c r="K268" s="407">
        <v>1887.52106062964</v>
      </c>
      <c r="L268" s="407">
        <v>1853.3043635245599</v>
      </c>
      <c r="M268" s="407">
        <v>1945.7491710545401</v>
      </c>
      <c r="N268" s="407">
        <v>1768.1461261312199</v>
      </c>
      <c r="O268" s="407">
        <v>1755.2694801661</v>
      </c>
      <c r="Q268" s="407">
        <v>1944.20687199177</v>
      </c>
      <c r="R268" s="407">
        <v>1805.8120692161301</v>
      </c>
      <c r="S268" s="407">
        <v>1963.63064101078</v>
      </c>
      <c r="T268" s="407">
        <v>2105.4088494857601</v>
      </c>
      <c r="U268" s="407">
        <v>1981.5706981143901</v>
      </c>
      <c r="V268" s="407">
        <v>2122.10937419018</v>
      </c>
      <c r="W268" s="407">
        <v>2108.2760714913102</v>
      </c>
      <c r="X268" s="407">
        <v>2041.6776618538699</v>
      </c>
      <c r="Y268" s="407">
        <v>1971.7138333406999</v>
      </c>
      <c r="Z268" s="407">
        <v>1978.9829837858299</v>
      </c>
      <c r="AA268" s="407">
        <v>1924.9800596151899</v>
      </c>
      <c r="AB268" s="407">
        <v>1874.6278198304699</v>
      </c>
      <c r="AC268" s="407">
        <v>2021.54402126388</v>
      </c>
      <c r="AD268" s="407">
        <v>1983.6878340836599</v>
      </c>
      <c r="AE268" s="407">
        <v>2105.8695063227201</v>
      </c>
      <c r="AF268" s="407">
        <v>2161.7524466241698</v>
      </c>
    </row>
    <row r="270" spans="1:33">
      <c r="A270" s="406" t="s">
        <v>1007</v>
      </c>
      <c r="B270" s="407">
        <v>27336.913909999999</v>
      </c>
      <c r="C270" s="407">
        <v>20099.408220000001</v>
      </c>
      <c r="D270" s="407">
        <v>13354.655220000001</v>
      </c>
      <c r="E270" s="407">
        <v>10185.4701</v>
      </c>
      <c r="F270" s="407">
        <v>8170.6668799999998</v>
      </c>
      <c r="G270" s="407">
        <v>7064.93029999999</v>
      </c>
      <c r="H270" s="407">
        <v>6489.7994600000002</v>
      </c>
      <c r="I270" s="407">
        <v>7578.2897999999996</v>
      </c>
      <c r="J270" s="407">
        <v>7542.3939012269502</v>
      </c>
      <c r="K270" s="407">
        <v>10187.906901899099</v>
      </c>
      <c r="L270" s="407">
        <v>17975.5347076771</v>
      </c>
      <c r="M270" s="407">
        <v>29635.941591358202</v>
      </c>
      <c r="N270" s="407">
        <v>32806.303777910602</v>
      </c>
      <c r="O270" s="407">
        <v>30567.637078150499</v>
      </c>
      <c r="Q270" s="407">
        <v>25472.624348054502</v>
      </c>
      <c r="R270" s="407">
        <v>15013.525482024699</v>
      </c>
      <c r="S270" s="407">
        <v>10855.139487353999</v>
      </c>
      <c r="T270" s="407">
        <v>8231.4602644653205</v>
      </c>
      <c r="U270" s="407">
        <v>7373.9899293836397</v>
      </c>
      <c r="V270" s="407">
        <v>7526.1585994480001</v>
      </c>
      <c r="W270" s="407">
        <v>7656.4555418986001</v>
      </c>
      <c r="X270" s="407">
        <v>8744.5380708947705</v>
      </c>
      <c r="Y270" s="407">
        <v>15342.047653549</v>
      </c>
      <c r="Z270" s="407">
        <v>25170.166890630098</v>
      </c>
      <c r="AA270" s="407">
        <v>33089.529607811703</v>
      </c>
      <c r="AB270" s="407">
        <v>30898.756309910201</v>
      </c>
      <c r="AC270" s="407">
        <v>25602.622295577501</v>
      </c>
      <c r="AD270" s="407">
        <v>15154.9737258438</v>
      </c>
      <c r="AE270" s="407">
        <v>10910.7432236725</v>
      </c>
      <c r="AF270" s="407">
        <v>8243.4234112422291</v>
      </c>
    </row>
    <row r="271" spans="1:33">
      <c r="A271" s="406" t="s">
        <v>1008</v>
      </c>
      <c r="B271" s="407">
        <v>1348.3058000000001</v>
      </c>
      <c r="C271" s="407">
        <v>1245.36006</v>
      </c>
      <c r="D271" s="407">
        <v>1348.2909099999999</v>
      </c>
      <c r="E271" s="407">
        <v>1402.83152</v>
      </c>
      <c r="F271" s="407">
        <v>1643.8817100000001</v>
      </c>
      <c r="G271" s="407">
        <v>1396.60444999999</v>
      </c>
      <c r="H271" s="407">
        <v>1387.8213000000001</v>
      </c>
      <c r="I271" s="407">
        <v>1605.19479</v>
      </c>
      <c r="J271" s="407">
        <v>1536.3465000000001</v>
      </c>
      <c r="K271" s="407">
        <v>1684.3864999999901</v>
      </c>
      <c r="L271" s="407">
        <v>1468.588197736</v>
      </c>
      <c r="M271" s="407">
        <v>1580.9578999999901</v>
      </c>
      <c r="N271" s="407">
        <v>1443.3468</v>
      </c>
      <c r="O271" s="407">
        <v>1284.6398999999999</v>
      </c>
      <c r="Q271" s="407">
        <v>1456.5373</v>
      </c>
      <c r="R271" s="407">
        <v>1392.1199897491999</v>
      </c>
      <c r="S271" s="407">
        <v>1582.6261999999999</v>
      </c>
      <c r="T271" s="407">
        <v>1440.73488692718</v>
      </c>
      <c r="U271" s="407">
        <v>1436.4453847955799</v>
      </c>
      <c r="V271" s="407">
        <v>1954.91608468246</v>
      </c>
      <c r="W271" s="407">
        <v>1546.2637999999999</v>
      </c>
      <c r="X271" s="407">
        <v>1724.9886999999901</v>
      </c>
      <c r="Y271" s="407">
        <v>1547.2781</v>
      </c>
      <c r="Z271" s="407">
        <v>1399.8555999999901</v>
      </c>
      <c r="AA271" s="407">
        <v>1514.518</v>
      </c>
      <c r="AB271" s="407">
        <v>1340.01759200941</v>
      </c>
      <c r="AC271" s="407">
        <v>1442.1192000000001</v>
      </c>
      <c r="AD271" s="407">
        <v>1540.6937</v>
      </c>
      <c r="AE271" s="407">
        <v>1723.8814</v>
      </c>
      <c r="AF271" s="407">
        <v>1466.9026999999901</v>
      </c>
    </row>
    <row r="272" spans="1:33">
      <c r="A272" s="406" t="s">
        <v>1009</v>
      </c>
      <c r="B272" s="407">
        <v>28685.219709999899</v>
      </c>
      <c r="C272" s="407">
        <v>21344.76828</v>
      </c>
      <c r="D272" s="407">
        <v>14702.94613</v>
      </c>
      <c r="E272" s="407">
        <v>11588.30162</v>
      </c>
      <c r="F272" s="407">
        <v>9814.5485900000003</v>
      </c>
      <c r="G272" s="407">
        <v>8461.5347499999898</v>
      </c>
      <c r="H272" s="407">
        <v>7877.6207599999998</v>
      </c>
      <c r="I272" s="407">
        <v>9183.48459</v>
      </c>
      <c r="J272" s="407">
        <v>9078.7404012269508</v>
      </c>
      <c r="K272" s="407">
        <v>11872.2934018991</v>
      </c>
      <c r="L272" s="407">
        <v>19444.1229054131</v>
      </c>
      <c r="M272" s="407">
        <v>31216.899491358199</v>
      </c>
      <c r="N272" s="407">
        <v>34249.650577910601</v>
      </c>
      <c r="O272" s="407">
        <v>31852.276978150501</v>
      </c>
      <c r="P272" s="118">
        <f>SUM(D272:O272)</f>
        <v>199342.42019595843</v>
      </c>
      <c r="Q272" s="407">
        <v>26929.161648054502</v>
      </c>
      <c r="R272" s="407">
        <v>16405.6454717739</v>
      </c>
      <c r="S272" s="407">
        <v>12437.765687354</v>
      </c>
      <c r="T272" s="407">
        <v>9672.1951513924996</v>
      </c>
      <c r="U272" s="407">
        <v>8810.4353141792308</v>
      </c>
      <c r="V272" s="407">
        <v>9481.0746841304699</v>
      </c>
      <c r="W272" s="407">
        <v>9202.7193418986008</v>
      </c>
      <c r="X272" s="407">
        <v>10469.526770894699</v>
      </c>
      <c r="Y272" s="407">
        <v>16889.325753549001</v>
      </c>
      <c r="Z272" s="407">
        <v>26570.022490630101</v>
      </c>
      <c r="AA272" s="407">
        <v>34604.047607811699</v>
      </c>
      <c r="AB272" s="407">
        <v>32238.773901919601</v>
      </c>
      <c r="AC272" s="407">
        <v>27044.741495577498</v>
      </c>
      <c r="AD272" s="407">
        <v>16695.6674258438</v>
      </c>
      <c r="AE272" s="407">
        <v>12634.6246236725</v>
      </c>
      <c r="AF272" s="407">
        <v>9710.3261112422297</v>
      </c>
      <c r="AG272" s="118">
        <f>SUM(U272:AF272)</f>
        <v>214351.28552134946</v>
      </c>
    </row>
    <row r="273" spans="1:32">
      <c r="A273" s="406" t="s">
        <v>1010</v>
      </c>
      <c r="B273" s="407">
        <v>27336.913909999999</v>
      </c>
      <c r="C273" s="407">
        <v>20099.408220000001</v>
      </c>
      <c r="D273" s="407">
        <v>13354.655220000001</v>
      </c>
      <c r="E273" s="407">
        <v>10185.4701</v>
      </c>
      <c r="F273" s="407">
        <v>8170.6668799999998</v>
      </c>
      <c r="G273" s="407">
        <v>7064.93029999999</v>
      </c>
      <c r="H273" s="407">
        <v>6489.7994600000002</v>
      </c>
      <c r="I273" s="407">
        <v>7578.2897999999996</v>
      </c>
      <c r="J273" s="407">
        <v>7542.3939012269502</v>
      </c>
      <c r="K273" s="407">
        <v>10187.906901899099</v>
      </c>
      <c r="L273" s="407">
        <v>17975.5347076771</v>
      </c>
      <c r="M273" s="407">
        <v>29635.941591358202</v>
      </c>
      <c r="N273" s="407">
        <v>32806.303777910602</v>
      </c>
      <c r="O273" s="407">
        <v>30567.637078150499</v>
      </c>
      <c r="Q273" s="407">
        <v>25472.624348054502</v>
      </c>
      <c r="R273" s="407">
        <v>15013.525482024699</v>
      </c>
      <c r="S273" s="407">
        <v>10855.139487353999</v>
      </c>
      <c r="T273" s="407">
        <v>8231.4602644653205</v>
      </c>
      <c r="U273" s="407">
        <v>7373.9899293836397</v>
      </c>
      <c r="V273" s="407">
        <v>7526.1585994480001</v>
      </c>
      <c r="W273" s="407">
        <v>7656.4555418986001</v>
      </c>
      <c r="X273" s="407">
        <v>8744.5380708947705</v>
      </c>
      <c r="Y273" s="407">
        <v>15342.047653549</v>
      </c>
      <c r="Z273" s="407">
        <v>25170.166890630098</v>
      </c>
      <c r="AA273" s="407">
        <v>33089.529607811703</v>
      </c>
      <c r="AB273" s="407">
        <v>30898.756309910201</v>
      </c>
      <c r="AC273" s="407">
        <v>25602.622295577501</v>
      </c>
      <c r="AD273" s="407">
        <v>15154.9737258438</v>
      </c>
      <c r="AE273" s="407">
        <v>10910.7432236725</v>
      </c>
      <c r="AF273" s="407">
        <v>8243.4234112422291</v>
      </c>
    </row>
    <row r="275" spans="1:32" s="367" customFormat="1">
      <c r="A275" s="408" t="s">
        <v>1011</v>
      </c>
      <c r="B275" s="405"/>
      <c r="C275" s="405"/>
      <c r="D275" s="405"/>
      <c r="E275" s="405"/>
      <c r="F275" s="405"/>
      <c r="G275" s="405"/>
      <c r="H275" s="405"/>
      <c r="I275" s="405"/>
      <c r="J275" s="405"/>
      <c r="K275" s="405"/>
      <c r="L275" s="405"/>
      <c r="M275" s="405"/>
      <c r="N275" s="405"/>
      <c r="O275" s="405"/>
      <c r="Q275" s="405"/>
      <c r="R275" s="405"/>
      <c r="S275" s="405"/>
      <c r="T275" s="405"/>
      <c r="U275" s="405"/>
      <c r="V275" s="405"/>
      <c r="W275" s="405"/>
      <c r="X275" s="405"/>
      <c r="Y275" s="405"/>
      <c r="Z275" s="405"/>
      <c r="AA275" s="405"/>
      <c r="AB275" s="405"/>
      <c r="AC275" s="405"/>
      <c r="AD275" s="405"/>
      <c r="AE275" s="405"/>
      <c r="AF275" s="405"/>
    </row>
    <row r="276" spans="1:32">
      <c r="A276" s="406" t="s">
        <v>1012</v>
      </c>
      <c r="B276" s="407">
        <v>2796.6024200000002</v>
      </c>
      <c r="C276" s="407">
        <v>2813.6546199999998</v>
      </c>
      <c r="D276" s="407">
        <v>2826.4129600000001</v>
      </c>
      <c r="E276" s="407">
        <v>2835.6384399999902</v>
      </c>
      <c r="F276" s="407">
        <v>2849.08176</v>
      </c>
      <c r="G276" s="407">
        <v>2846.1184800000001</v>
      </c>
      <c r="H276" s="407">
        <v>2842.0414599999999</v>
      </c>
      <c r="I276" s="407">
        <v>2864.6504100000002</v>
      </c>
      <c r="J276" s="407">
        <v>2899.0673800198601</v>
      </c>
      <c r="K276" s="407">
        <v>2933.2308815961201</v>
      </c>
      <c r="L276" s="407">
        <v>2952.9139512862698</v>
      </c>
      <c r="M276" s="407">
        <v>2994.9315078417899</v>
      </c>
      <c r="N276" s="407">
        <v>3035.6877722158101</v>
      </c>
      <c r="O276" s="407">
        <v>3046.2281103984101</v>
      </c>
      <c r="Q276" s="407">
        <v>3058.5426028030702</v>
      </c>
      <c r="R276" s="407">
        <v>3072.04906923526</v>
      </c>
      <c r="S276" s="407">
        <v>3085.39412141517</v>
      </c>
      <c r="T276" s="407">
        <v>3098.5939654961599</v>
      </c>
      <c r="U276" s="407">
        <v>3138.75443278383</v>
      </c>
      <c r="V276" s="407">
        <v>3171.3541527822999</v>
      </c>
      <c r="W276" s="407">
        <v>3215.2706508780898</v>
      </c>
      <c r="X276" s="407">
        <v>3245.3991632399602</v>
      </c>
      <c r="Y276" s="407">
        <v>3263.3587230307298</v>
      </c>
      <c r="Z276" s="407">
        <v>3288.8699841376301</v>
      </c>
      <c r="AA276" s="407">
        <v>3312.3550162997099</v>
      </c>
      <c r="AB276" s="407">
        <v>3317.5802281061101</v>
      </c>
      <c r="AC276" s="407">
        <v>3324.4985882333099</v>
      </c>
      <c r="AD276" s="407">
        <v>3333.31244260721</v>
      </c>
      <c r="AE276" s="407">
        <v>3343.7546731479101</v>
      </c>
      <c r="AF276" s="407">
        <v>3362.9637648768098</v>
      </c>
    </row>
    <row r="277" spans="1:32">
      <c r="A277" s="406" t="s">
        <v>1705</v>
      </c>
      <c r="B277" s="407">
        <v>0</v>
      </c>
      <c r="C277" s="407">
        <v>0</v>
      </c>
      <c r="D277" s="407">
        <v>0</v>
      </c>
      <c r="E277" s="407">
        <v>0</v>
      </c>
      <c r="F277" s="407">
        <v>0</v>
      </c>
      <c r="G277" s="407">
        <v>0</v>
      </c>
      <c r="H277" s="407">
        <v>0</v>
      </c>
      <c r="I277" s="407">
        <v>0</v>
      </c>
      <c r="J277" s="407">
        <v>0</v>
      </c>
      <c r="K277" s="407">
        <v>0</v>
      </c>
      <c r="L277" s="407">
        <v>0</v>
      </c>
      <c r="M277" s="407">
        <v>0</v>
      </c>
      <c r="N277" s="407">
        <v>0</v>
      </c>
      <c r="O277" s="407">
        <v>0</v>
      </c>
      <c r="Q277" s="407">
        <v>0</v>
      </c>
      <c r="R277" s="407">
        <v>0</v>
      </c>
      <c r="S277" s="407">
        <v>0</v>
      </c>
      <c r="T277" s="407">
        <v>0</v>
      </c>
      <c r="U277" s="407">
        <v>0</v>
      </c>
      <c r="V277" s="407">
        <v>0</v>
      </c>
      <c r="W277" s="407">
        <v>0</v>
      </c>
      <c r="X277" s="407">
        <v>0</v>
      </c>
      <c r="Y277" s="407">
        <v>0</v>
      </c>
      <c r="Z277" s="407">
        <v>0</v>
      </c>
      <c r="AA277" s="407">
        <v>0</v>
      </c>
      <c r="AB277" s="407">
        <v>0</v>
      </c>
      <c r="AC277" s="407">
        <v>0</v>
      </c>
      <c r="AD277" s="407">
        <v>0</v>
      </c>
      <c r="AE277" s="407">
        <v>0</v>
      </c>
      <c r="AF277" s="407">
        <v>0</v>
      </c>
    </row>
    <row r="279" spans="1:32">
      <c r="A279" s="406" t="s">
        <v>1013</v>
      </c>
    </row>
    <row r="281" spans="1:32">
      <c r="A281" s="406" t="s">
        <v>1014</v>
      </c>
    </row>
    <row r="282" spans="1:32">
      <c r="A282" s="406" t="s">
        <v>1015</v>
      </c>
      <c r="B282" s="407">
        <v>0</v>
      </c>
      <c r="C282" s="407">
        <v>0</v>
      </c>
      <c r="D282" s="407">
        <v>0</v>
      </c>
      <c r="E282" s="407">
        <v>0</v>
      </c>
      <c r="F282" s="407">
        <v>0</v>
      </c>
      <c r="G282" s="407">
        <v>0</v>
      </c>
      <c r="H282" s="407">
        <v>0</v>
      </c>
      <c r="I282" s="407">
        <v>0</v>
      </c>
      <c r="J282" s="407">
        <v>0</v>
      </c>
      <c r="K282" s="407">
        <v>0</v>
      </c>
      <c r="L282" s="407">
        <v>0</v>
      </c>
      <c r="M282" s="407">
        <v>0</v>
      </c>
      <c r="N282" s="407">
        <v>0</v>
      </c>
      <c r="O282" s="407">
        <v>0</v>
      </c>
      <c r="Q282" s="407">
        <v>0</v>
      </c>
      <c r="R282" s="407">
        <v>0</v>
      </c>
      <c r="S282" s="407">
        <v>0</v>
      </c>
      <c r="T282" s="407">
        <v>0</v>
      </c>
      <c r="U282" s="407">
        <v>0</v>
      </c>
      <c r="V282" s="407">
        <v>0</v>
      </c>
      <c r="W282" s="407">
        <v>0</v>
      </c>
      <c r="X282" s="407">
        <v>0</v>
      </c>
      <c r="Y282" s="407">
        <v>0</v>
      </c>
      <c r="Z282" s="407">
        <v>0</v>
      </c>
      <c r="AA282" s="407">
        <v>0</v>
      </c>
      <c r="AB282" s="407">
        <v>0</v>
      </c>
      <c r="AC282" s="407">
        <v>0</v>
      </c>
      <c r="AD282" s="407">
        <v>0</v>
      </c>
      <c r="AE282" s="407">
        <v>0</v>
      </c>
      <c r="AF282" s="407">
        <v>0</v>
      </c>
    </row>
    <row r="283" spans="1:32">
      <c r="A283" s="406" t="s">
        <v>1016</v>
      </c>
      <c r="B283" s="407">
        <v>0</v>
      </c>
      <c r="C283" s="407">
        <v>0</v>
      </c>
      <c r="D283" s="407">
        <v>0</v>
      </c>
      <c r="E283" s="407">
        <v>0</v>
      </c>
      <c r="F283" s="407">
        <v>0</v>
      </c>
      <c r="G283" s="407">
        <v>0</v>
      </c>
      <c r="H283" s="407">
        <v>0</v>
      </c>
      <c r="I283" s="407">
        <v>0</v>
      </c>
      <c r="J283" s="407">
        <v>0</v>
      </c>
      <c r="K283" s="407">
        <v>0</v>
      </c>
      <c r="L283" s="407">
        <v>0</v>
      </c>
      <c r="M283" s="407">
        <v>0</v>
      </c>
      <c r="N283" s="407">
        <v>0</v>
      </c>
      <c r="O283" s="407">
        <v>0</v>
      </c>
      <c r="Q283" s="407">
        <v>0</v>
      </c>
      <c r="R283" s="407">
        <v>0</v>
      </c>
      <c r="S283" s="407">
        <v>0</v>
      </c>
      <c r="T283" s="407">
        <v>0</v>
      </c>
      <c r="U283" s="407">
        <v>0</v>
      </c>
      <c r="V283" s="407">
        <v>0</v>
      </c>
      <c r="W283" s="407">
        <v>0</v>
      </c>
      <c r="X283" s="407">
        <v>0</v>
      </c>
      <c r="Y283" s="407">
        <v>0</v>
      </c>
      <c r="Z283" s="407">
        <v>0</v>
      </c>
      <c r="AA283" s="407">
        <v>0</v>
      </c>
      <c r="AB283" s="407">
        <v>0</v>
      </c>
      <c r="AC283" s="407">
        <v>0</v>
      </c>
      <c r="AD283" s="407">
        <v>0</v>
      </c>
      <c r="AE283" s="407">
        <v>0</v>
      </c>
      <c r="AF283" s="407">
        <v>0</v>
      </c>
    </row>
    <row r="284" spans="1:32">
      <c r="A284" s="406" t="s">
        <v>1017</v>
      </c>
      <c r="B284" s="407">
        <v>425.34843000000001</v>
      </c>
      <c r="C284" s="407">
        <v>356.739429999999</v>
      </c>
      <c r="D284" s="407">
        <v>431.59147999999999</v>
      </c>
      <c r="E284" s="407">
        <v>433.22334999999998</v>
      </c>
      <c r="F284" s="407">
        <v>493.69399999999899</v>
      </c>
      <c r="G284" s="407">
        <v>444.02923999999899</v>
      </c>
      <c r="H284" s="407">
        <v>445.44078999999999</v>
      </c>
      <c r="I284" s="407">
        <v>447.54757999999998</v>
      </c>
      <c r="J284" s="407">
        <v>452.53527450892199</v>
      </c>
      <c r="K284" s="407">
        <v>452.53527450892199</v>
      </c>
      <c r="L284" s="407">
        <v>452.53527450892199</v>
      </c>
      <c r="M284" s="407">
        <v>452.53527450892199</v>
      </c>
      <c r="N284" s="407">
        <v>423.13613891569997</v>
      </c>
      <c r="O284" s="407">
        <v>423.13613891569997</v>
      </c>
      <c r="Q284" s="407">
        <v>423.13613891569997</v>
      </c>
      <c r="R284" s="407">
        <v>423.13613891569997</v>
      </c>
      <c r="S284" s="407">
        <v>423.13613891569997</v>
      </c>
      <c r="T284" s="407">
        <v>423.13613891569997</v>
      </c>
      <c r="U284" s="407">
        <v>423.13613891569997</v>
      </c>
      <c r="V284" s="407">
        <v>423.13613891569997</v>
      </c>
      <c r="W284" s="407">
        <v>423.13613891569997</v>
      </c>
      <c r="X284" s="407">
        <v>423.13613891569997</v>
      </c>
      <c r="Y284" s="407">
        <v>423.13613891569997</v>
      </c>
      <c r="Z284" s="407">
        <v>423.13613891569997</v>
      </c>
      <c r="AA284" s="407">
        <v>423.27098084879998</v>
      </c>
      <c r="AB284" s="407">
        <v>423.27098084879998</v>
      </c>
      <c r="AC284" s="407">
        <v>423.27098084879998</v>
      </c>
      <c r="AD284" s="407">
        <v>423.27098084879998</v>
      </c>
      <c r="AE284" s="407">
        <v>423.27098084879998</v>
      </c>
      <c r="AF284" s="407">
        <v>423.27098084879998</v>
      </c>
    </row>
    <row r="285" spans="1:32">
      <c r="A285" s="406" t="s">
        <v>1018</v>
      </c>
      <c r="B285" s="407">
        <v>165.68595999999999</v>
      </c>
      <c r="C285" s="407">
        <v>184.58345</v>
      </c>
      <c r="D285" s="407">
        <v>163.68335999999999</v>
      </c>
      <c r="E285" s="407">
        <v>252.14322999999899</v>
      </c>
      <c r="F285" s="407">
        <v>159.28381999999999</v>
      </c>
      <c r="G285" s="407">
        <v>168.58628999999999</v>
      </c>
      <c r="H285" s="407">
        <v>165.00407000000001</v>
      </c>
      <c r="I285" s="407">
        <v>156.42234999999999</v>
      </c>
      <c r="J285" s="407">
        <v>195.61542</v>
      </c>
      <c r="K285" s="407">
        <v>195.73246</v>
      </c>
      <c r="L285" s="407">
        <v>195.92892000000001</v>
      </c>
      <c r="M285" s="407">
        <v>240.26573999999999</v>
      </c>
      <c r="N285" s="407">
        <v>196.217999999998</v>
      </c>
      <c r="O285" s="407">
        <v>196.636</v>
      </c>
      <c r="Q285" s="407">
        <v>195.84817999999899</v>
      </c>
      <c r="R285" s="407">
        <v>196.977</v>
      </c>
      <c r="S285" s="407">
        <v>195.86049999999901</v>
      </c>
      <c r="T285" s="407">
        <v>195.92320000000001</v>
      </c>
      <c r="U285" s="407">
        <v>196.1696</v>
      </c>
      <c r="V285" s="407">
        <v>195.48254</v>
      </c>
      <c r="W285" s="407">
        <v>196.15925999999899</v>
      </c>
      <c r="X285" s="407">
        <v>195.63345999999899</v>
      </c>
      <c r="Y285" s="407">
        <v>196.00767999999999</v>
      </c>
      <c r="Z285" s="407">
        <v>196.339439999999</v>
      </c>
      <c r="AA285" s="407">
        <v>201.65683999999899</v>
      </c>
      <c r="AB285" s="407">
        <v>202.387679999998</v>
      </c>
      <c r="AC285" s="407">
        <v>201.83526000000001</v>
      </c>
      <c r="AD285" s="407">
        <v>202.37117999999899</v>
      </c>
      <c r="AE285" s="407">
        <v>201.551019999999</v>
      </c>
      <c r="AF285" s="407">
        <v>202.10651999999899</v>
      </c>
    </row>
    <row r="286" spans="1:32">
      <c r="A286" s="406" t="s">
        <v>1019</v>
      </c>
      <c r="B286" s="407">
        <v>57.026940000000003</v>
      </c>
      <c r="C286" s="407">
        <v>57.026940000000003</v>
      </c>
      <c r="D286" s="407">
        <v>57.026940000000003</v>
      </c>
      <c r="E286" s="407">
        <v>57.026940000000003</v>
      </c>
      <c r="F286" s="407">
        <v>57.026940000000003</v>
      </c>
      <c r="G286" s="407">
        <v>57.026969999999999</v>
      </c>
      <c r="H286" s="407">
        <v>51.682580000000002</v>
      </c>
      <c r="I286" s="407">
        <v>51.682580000000002</v>
      </c>
      <c r="J286" s="407">
        <v>55.602453062098697</v>
      </c>
      <c r="K286" s="407">
        <v>55.602453062098697</v>
      </c>
      <c r="L286" s="407">
        <v>55.602453062098697</v>
      </c>
      <c r="M286" s="407">
        <v>55.602453062098697</v>
      </c>
      <c r="N286" s="407">
        <v>51.6829999999999</v>
      </c>
      <c r="O286" s="407">
        <v>51.6829999999999</v>
      </c>
      <c r="Q286" s="407">
        <v>51.6829999999999</v>
      </c>
      <c r="R286" s="407">
        <v>51.6829999999999</v>
      </c>
      <c r="S286" s="407">
        <v>51.6829999999999</v>
      </c>
      <c r="T286" s="407">
        <v>51.6829999999999</v>
      </c>
      <c r="U286" s="407">
        <v>52.716000000000001</v>
      </c>
      <c r="V286" s="407">
        <v>52.716000000000001</v>
      </c>
      <c r="W286" s="407">
        <v>52.716000000000001</v>
      </c>
      <c r="X286" s="407">
        <v>52.716000000000001</v>
      </c>
      <c r="Y286" s="407">
        <v>52.716000000000001</v>
      </c>
      <c r="Z286" s="407">
        <v>52.716000000000001</v>
      </c>
      <c r="AA286" s="407">
        <v>52.716000000000001</v>
      </c>
      <c r="AB286" s="407">
        <v>52.716000000000001</v>
      </c>
      <c r="AC286" s="407">
        <v>52.716000000000001</v>
      </c>
      <c r="AD286" s="407">
        <v>52.716000000000001</v>
      </c>
      <c r="AE286" s="407">
        <v>52.716000000000001</v>
      </c>
      <c r="AF286" s="407">
        <v>52.716000000000001</v>
      </c>
    </row>
    <row r="287" spans="1:32">
      <c r="A287" s="406" t="s">
        <v>1020</v>
      </c>
      <c r="B287" s="407">
        <v>170.197</v>
      </c>
      <c r="C287" s="407">
        <v>170.197</v>
      </c>
      <c r="D287" s="407">
        <v>170.197</v>
      </c>
      <c r="E287" s="407">
        <v>170.197</v>
      </c>
      <c r="F287" s="407">
        <v>170.197</v>
      </c>
      <c r="G287" s="407">
        <v>170.197</v>
      </c>
      <c r="H287" s="407">
        <v>170.197</v>
      </c>
      <c r="I287" s="407">
        <v>170.197</v>
      </c>
      <c r="J287" s="407">
        <v>170.197</v>
      </c>
      <c r="K287" s="407">
        <v>170.197</v>
      </c>
      <c r="L287" s="407">
        <v>170.197</v>
      </c>
      <c r="M287" s="407">
        <v>170.197</v>
      </c>
      <c r="N287" s="407">
        <v>239.93649062511</v>
      </c>
      <c r="O287" s="407">
        <v>239.93649062511</v>
      </c>
      <c r="Q287" s="407">
        <v>239.93649062511</v>
      </c>
      <c r="R287" s="407">
        <v>239.93649062511</v>
      </c>
      <c r="S287" s="407">
        <v>239.93649062511</v>
      </c>
      <c r="T287" s="407">
        <v>239.93649062511</v>
      </c>
      <c r="U287" s="407">
        <v>239.93649062511</v>
      </c>
      <c r="V287" s="407">
        <v>239.93649062511</v>
      </c>
      <c r="W287" s="407">
        <v>239.93649062511</v>
      </c>
      <c r="X287" s="407">
        <v>239.93649062511</v>
      </c>
      <c r="Y287" s="407">
        <v>239.93649062511</v>
      </c>
      <c r="Z287" s="407">
        <v>239.93649062511</v>
      </c>
      <c r="AA287" s="407">
        <v>293.93053434778801</v>
      </c>
      <c r="AB287" s="407">
        <v>293.93053434778801</v>
      </c>
      <c r="AC287" s="407">
        <v>293.93053434778801</v>
      </c>
      <c r="AD287" s="407">
        <v>293.93053434778801</v>
      </c>
      <c r="AE287" s="407">
        <v>293.93053434778801</v>
      </c>
      <c r="AF287" s="407">
        <v>293.93053434778801</v>
      </c>
    </row>
    <row r="288" spans="1:32">
      <c r="A288" s="406" t="s">
        <v>1021</v>
      </c>
      <c r="B288" s="407">
        <v>818.25833</v>
      </c>
      <c r="C288" s="407">
        <v>768.546819999999</v>
      </c>
      <c r="D288" s="407">
        <v>822.49878000000001</v>
      </c>
      <c r="E288" s="407">
        <v>912.59051999999997</v>
      </c>
      <c r="F288" s="407">
        <v>880.20175999999901</v>
      </c>
      <c r="G288" s="407">
        <v>839.83949999999902</v>
      </c>
      <c r="H288" s="407">
        <v>832.32443999999998</v>
      </c>
      <c r="I288" s="407">
        <v>825.84951000000001</v>
      </c>
      <c r="J288" s="407">
        <v>873.95014757102194</v>
      </c>
      <c r="K288" s="407">
        <v>874.06718757102203</v>
      </c>
      <c r="L288" s="407">
        <v>874.26364757102101</v>
      </c>
      <c r="M288" s="407">
        <v>918.600467571021</v>
      </c>
      <c r="N288" s="407">
        <v>910.97362954080995</v>
      </c>
      <c r="O288" s="407">
        <v>911.39162954081098</v>
      </c>
      <c r="Q288" s="407">
        <v>910.60380954081097</v>
      </c>
      <c r="R288" s="407">
        <v>911.73262954081201</v>
      </c>
      <c r="S288" s="407">
        <v>910.61612954080999</v>
      </c>
      <c r="T288" s="407">
        <v>910.67882954081097</v>
      </c>
      <c r="U288" s="407">
        <v>911.958229540812</v>
      </c>
      <c r="V288" s="407">
        <v>911.27116954081202</v>
      </c>
      <c r="W288" s="407">
        <v>911.94788954081105</v>
      </c>
      <c r="X288" s="407">
        <v>911.42208954081104</v>
      </c>
      <c r="Y288" s="407">
        <v>911.79630954081199</v>
      </c>
      <c r="Z288" s="407">
        <v>912.12806954080997</v>
      </c>
      <c r="AA288" s="407">
        <v>971.57435519658804</v>
      </c>
      <c r="AB288" s="407">
        <v>972.30519519658696</v>
      </c>
      <c r="AC288" s="407">
        <v>971.75277519658903</v>
      </c>
      <c r="AD288" s="407">
        <v>972.28869519658804</v>
      </c>
      <c r="AE288" s="407">
        <v>971.46853519658805</v>
      </c>
      <c r="AF288" s="407">
        <v>972.02403519658799</v>
      </c>
    </row>
    <row r="290" spans="1:32">
      <c r="A290" s="406" t="s">
        <v>1022</v>
      </c>
    </row>
    <row r="291" spans="1:32">
      <c r="A291" s="406" t="s">
        <v>1023</v>
      </c>
      <c r="B291" s="407">
        <v>0</v>
      </c>
      <c r="C291" s="407">
        <v>0</v>
      </c>
      <c r="D291" s="407">
        <v>0</v>
      </c>
      <c r="E291" s="407">
        <v>0</v>
      </c>
      <c r="F291" s="407">
        <v>0</v>
      </c>
      <c r="G291" s="407">
        <v>0</v>
      </c>
      <c r="H291" s="407">
        <v>0</v>
      </c>
      <c r="I291" s="407">
        <v>0</v>
      </c>
      <c r="J291" s="407">
        <v>0</v>
      </c>
      <c r="K291" s="407">
        <v>0</v>
      </c>
      <c r="L291" s="407">
        <v>0</v>
      </c>
      <c r="M291" s="407">
        <v>0</v>
      </c>
      <c r="N291" s="407">
        <v>0</v>
      </c>
      <c r="O291" s="407">
        <v>0</v>
      </c>
      <c r="Q291" s="407">
        <v>0</v>
      </c>
      <c r="R291" s="407">
        <v>0</v>
      </c>
      <c r="S291" s="407">
        <v>0</v>
      </c>
      <c r="T291" s="407">
        <v>0</v>
      </c>
      <c r="U291" s="407">
        <v>0</v>
      </c>
      <c r="V291" s="407">
        <v>0</v>
      </c>
      <c r="W291" s="407">
        <v>0</v>
      </c>
      <c r="X291" s="407">
        <v>0</v>
      </c>
      <c r="Y291" s="407">
        <v>0</v>
      </c>
      <c r="Z291" s="407">
        <v>0</v>
      </c>
      <c r="AA291" s="407">
        <v>0</v>
      </c>
      <c r="AB291" s="407">
        <v>0</v>
      </c>
      <c r="AC291" s="407">
        <v>0</v>
      </c>
      <c r="AD291" s="407">
        <v>0</v>
      </c>
      <c r="AE291" s="407">
        <v>0</v>
      </c>
      <c r="AF291" s="407">
        <v>0</v>
      </c>
    </row>
    <row r="292" spans="1:32">
      <c r="A292" s="406" t="s">
        <v>1706</v>
      </c>
      <c r="B292" s="407">
        <v>0</v>
      </c>
      <c r="C292" s="407">
        <v>0</v>
      </c>
      <c r="D292" s="407">
        <v>0</v>
      </c>
      <c r="E292" s="407">
        <v>0</v>
      </c>
      <c r="F292" s="407">
        <v>0</v>
      </c>
      <c r="G292" s="407">
        <v>0</v>
      </c>
      <c r="H292" s="407">
        <v>0</v>
      </c>
      <c r="I292" s="407">
        <v>0</v>
      </c>
      <c r="J292" s="407">
        <v>0</v>
      </c>
      <c r="K292" s="407">
        <v>0</v>
      </c>
      <c r="L292" s="407">
        <v>0</v>
      </c>
      <c r="M292" s="407">
        <v>0</v>
      </c>
      <c r="N292" s="407">
        <v>0</v>
      </c>
      <c r="O292" s="407">
        <v>0</v>
      </c>
      <c r="Q292" s="407">
        <v>0</v>
      </c>
      <c r="R292" s="407">
        <v>0</v>
      </c>
      <c r="S292" s="407">
        <v>0</v>
      </c>
      <c r="T292" s="407">
        <v>0</v>
      </c>
      <c r="U292" s="407">
        <v>0</v>
      </c>
      <c r="V292" s="407">
        <v>0</v>
      </c>
      <c r="W292" s="407">
        <v>0</v>
      </c>
      <c r="X292" s="407">
        <v>0</v>
      </c>
      <c r="Y292" s="407">
        <v>0</v>
      </c>
      <c r="Z292" s="407">
        <v>0</v>
      </c>
      <c r="AA292" s="407">
        <v>0</v>
      </c>
      <c r="AB292" s="407">
        <v>0</v>
      </c>
      <c r="AC292" s="407">
        <v>0</v>
      </c>
      <c r="AD292" s="407">
        <v>0</v>
      </c>
      <c r="AE292" s="407">
        <v>0</v>
      </c>
      <c r="AF292" s="407">
        <v>0</v>
      </c>
    </row>
    <row r="293" spans="1:32">
      <c r="A293" s="406" t="s">
        <v>1024</v>
      </c>
      <c r="B293" s="407">
        <v>0</v>
      </c>
      <c r="C293" s="407">
        <v>0</v>
      </c>
      <c r="D293" s="407">
        <v>0</v>
      </c>
      <c r="E293" s="407">
        <v>0</v>
      </c>
      <c r="F293" s="407">
        <v>0</v>
      </c>
      <c r="G293" s="407">
        <v>0</v>
      </c>
      <c r="H293" s="407">
        <v>0</v>
      </c>
      <c r="I293" s="407">
        <v>0</v>
      </c>
      <c r="J293" s="407">
        <v>0</v>
      </c>
      <c r="K293" s="407">
        <v>0</v>
      </c>
      <c r="L293" s="407">
        <v>0</v>
      </c>
      <c r="M293" s="407">
        <v>0</v>
      </c>
      <c r="N293" s="407">
        <v>0</v>
      </c>
      <c r="O293" s="407">
        <v>0</v>
      </c>
      <c r="Q293" s="407">
        <v>0</v>
      </c>
      <c r="R293" s="407">
        <v>0</v>
      </c>
      <c r="S293" s="407">
        <v>0</v>
      </c>
      <c r="T293" s="407">
        <v>0</v>
      </c>
      <c r="U293" s="407">
        <v>0</v>
      </c>
      <c r="V293" s="407">
        <v>0</v>
      </c>
      <c r="W293" s="407">
        <v>0</v>
      </c>
      <c r="X293" s="407">
        <v>0</v>
      </c>
      <c r="Y293" s="407">
        <v>0</v>
      </c>
      <c r="Z293" s="407">
        <v>0</v>
      </c>
      <c r="AA293" s="407">
        <v>0</v>
      </c>
      <c r="AB293" s="407">
        <v>0</v>
      </c>
      <c r="AC293" s="407">
        <v>0</v>
      </c>
      <c r="AD293" s="407">
        <v>0</v>
      </c>
      <c r="AE293" s="407">
        <v>0</v>
      </c>
      <c r="AF293" s="407">
        <v>0</v>
      </c>
    </row>
    <row r="295" spans="1:32">
      <c r="A295" s="406" t="s">
        <v>1025</v>
      </c>
      <c r="B295" s="407">
        <v>16435.430759999999</v>
      </c>
      <c r="C295" s="407">
        <v>13398.314839999999</v>
      </c>
      <c r="D295" s="407">
        <v>6561.2297499999904</v>
      </c>
      <c r="E295" s="407">
        <v>4241.7537599999996</v>
      </c>
      <c r="F295" s="407">
        <v>1650.57564999999</v>
      </c>
      <c r="G295" s="407">
        <v>791.255070000003</v>
      </c>
      <c r="H295" s="407">
        <v>960.69100999999796</v>
      </c>
      <c r="I295" s="407">
        <v>279.49320000000398</v>
      </c>
      <c r="J295" s="407">
        <v>557.12253201604699</v>
      </c>
      <c r="K295" s="407">
        <v>2154.8514489699901</v>
      </c>
      <c r="L295" s="407">
        <v>6803.6178169742998</v>
      </c>
      <c r="M295" s="407">
        <v>12612.6618909269</v>
      </c>
      <c r="N295" s="407">
        <v>16478.9442597452</v>
      </c>
      <c r="O295" s="407">
        <v>14011.4849034829</v>
      </c>
      <c r="Q295" s="407">
        <v>9135.3241637753399</v>
      </c>
      <c r="R295" s="407">
        <v>3976.70043594253</v>
      </c>
      <c r="S295" s="407">
        <v>1540.8166552624</v>
      </c>
      <c r="T295" s="407">
        <v>474.17187872872199</v>
      </c>
      <c r="U295" s="407">
        <v>318.66189491510602</v>
      </c>
      <c r="V295" s="407">
        <v>-478.49585523545397</v>
      </c>
      <c r="W295" s="407">
        <v>243.342720058038</v>
      </c>
      <c r="X295" s="407">
        <v>1715.2218909564299</v>
      </c>
      <c r="Y295" s="407">
        <v>6325.5987098595697</v>
      </c>
      <c r="Z295" s="407">
        <v>12403.826885615101</v>
      </c>
      <c r="AA295" s="407">
        <v>16079.075492513601</v>
      </c>
      <c r="AB295" s="407">
        <v>13727.1336706127</v>
      </c>
      <c r="AC295" s="407">
        <v>9052.3721146203497</v>
      </c>
      <c r="AD295" s="407">
        <v>3525.5659988035</v>
      </c>
      <c r="AE295" s="407">
        <v>1255.7055310194801</v>
      </c>
      <c r="AF295" s="407">
        <v>409.262910211676</v>
      </c>
    </row>
    <row r="297" spans="1:32">
      <c r="A297" s="406" t="s">
        <v>1707</v>
      </c>
    </row>
    <row r="298" spans="1:32">
      <c r="A298" s="406" t="s">
        <v>1708</v>
      </c>
      <c r="B298" s="407">
        <v>926.42150000000004</v>
      </c>
      <c r="C298" s="407">
        <v>744.34366999999997</v>
      </c>
      <c r="D298" s="407">
        <v>319.89071999999999</v>
      </c>
      <c r="E298" s="407">
        <v>195.31924000000001</v>
      </c>
      <c r="F298" s="407">
        <v>43.0092199999999</v>
      </c>
      <c r="G298" s="407">
        <v>-28.887459999999901</v>
      </c>
      <c r="H298" s="407">
        <v>-1.8442799999999999</v>
      </c>
      <c r="I298" s="407">
        <v>-67.538600000000002</v>
      </c>
      <c r="J298" s="407">
        <v>-22.337846418665801</v>
      </c>
      <c r="K298" s="407">
        <v>67.244588680788695</v>
      </c>
      <c r="L298" s="407">
        <v>334.70533434645398</v>
      </c>
      <c r="M298" s="407">
        <v>639.56498806351203</v>
      </c>
      <c r="N298" s="407">
        <v>913.18193650752698</v>
      </c>
      <c r="O298" s="407">
        <v>764.96162438460203</v>
      </c>
      <c r="Q298" s="407">
        <v>443.586460008514</v>
      </c>
      <c r="R298" s="407">
        <v>171.02234809536901</v>
      </c>
      <c r="S298" s="407">
        <v>33.010131939786298</v>
      </c>
      <c r="T298" s="407">
        <v>-27.383124887402399</v>
      </c>
      <c r="U298" s="407">
        <v>-38.358278811029201</v>
      </c>
      <c r="V298" s="407">
        <v>-85.071848161514495</v>
      </c>
      <c r="W298" s="407">
        <v>-43.275715270856502</v>
      </c>
      <c r="X298" s="407">
        <v>36.486643455891297</v>
      </c>
      <c r="Y298" s="407">
        <v>294.32912374430902</v>
      </c>
      <c r="Z298" s="407">
        <v>629.70237088782505</v>
      </c>
      <c r="AA298" s="407">
        <v>882.95040755931495</v>
      </c>
      <c r="AB298" s="407">
        <v>741.16213465639896</v>
      </c>
      <c r="AC298" s="407">
        <v>429.60334046845401</v>
      </c>
      <c r="AD298" s="407">
        <v>132.919479129075</v>
      </c>
      <c r="AE298" s="407">
        <v>9.8487601204012698</v>
      </c>
      <c r="AF298" s="407">
        <v>-37.079198212587997</v>
      </c>
    </row>
    <row r="299" spans="1:32">
      <c r="A299" s="406" t="s">
        <v>1709</v>
      </c>
      <c r="B299" s="407">
        <v>5079.8779100000002</v>
      </c>
      <c r="C299" s="407">
        <v>4081.48443</v>
      </c>
      <c r="D299" s="407">
        <v>1831.31745999999</v>
      </c>
      <c r="E299" s="407">
        <v>1071.0004899999999</v>
      </c>
      <c r="F299" s="407">
        <v>235.83392999999899</v>
      </c>
      <c r="G299" s="407">
        <v>-81.149529999999601</v>
      </c>
      <c r="H299" s="407">
        <v>-10.11279</v>
      </c>
      <c r="I299" s="407">
        <v>-240.12737999999899</v>
      </c>
      <c r="J299" s="407">
        <v>-132.547480403842</v>
      </c>
      <c r="K299" s="407">
        <v>384.27055324303501</v>
      </c>
      <c r="L299" s="407">
        <v>1897.7486545654599</v>
      </c>
      <c r="M299" s="407">
        <v>3741.0755522357599</v>
      </c>
      <c r="N299" s="407">
        <v>5079.8678784716903</v>
      </c>
      <c r="O299" s="407">
        <v>4270.8930389191501</v>
      </c>
      <c r="Q299" s="407">
        <v>2616.5744236179999</v>
      </c>
      <c r="R299" s="407">
        <v>976.58955005994801</v>
      </c>
      <c r="S299" s="407">
        <v>186.00165150628001</v>
      </c>
      <c r="T299" s="407">
        <v>-159.44389897792499</v>
      </c>
      <c r="U299" s="407">
        <v>-214.02694134009801</v>
      </c>
      <c r="V299" s="407">
        <v>-475.091409383881</v>
      </c>
      <c r="W299" s="407">
        <v>-260.47396257055499</v>
      </c>
      <c r="X299" s="407">
        <v>212.040070435806</v>
      </c>
      <c r="Y299" s="407">
        <v>1705.1920582328601</v>
      </c>
      <c r="Z299" s="407">
        <v>3654.8595531937599</v>
      </c>
      <c r="AA299" s="407">
        <v>4919.4763328661802</v>
      </c>
      <c r="AB299" s="407">
        <v>4147.27948341517</v>
      </c>
      <c r="AC299" s="407">
        <v>2550.98695111497</v>
      </c>
      <c r="AD299" s="407">
        <v>791.19771409923703</v>
      </c>
      <c r="AE299" s="407">
        <v>56.021472688142602</v>
      </c>
      <c r="AF299" s="407">
        <v>-216.310840600765</v>
      </c>
    </row>
    <row r="300" spans="1:32">
      <c r="A300" s="406" t="s">
        <v>1710</v>
      </c>
      <c r="B300" s="407">
        <v>-5.0350000000000001</v>
      </c>
      <c r="C300" s="407">
        <v>-5.0350000000000001</v>
      </c>
      <c r="D300" s="407">
        <v>-5.0350000000000001</v>
      </c>
      <c r="E300" s="407">
        <v>-5.0350000000000001</v>
      </c>
      <c r="F300" s="407">
        <v>-5.0350000000000001</v>
      </c>
      <c r="G300" s="407">
        <v>-5.0350000000000001</v>
      </c>
      <c r="H300" s="407">
        <v>-5.0350000000000001</v>
      </c>
      <c r="I300" s="407">
        <v>-5.0350000000000001</v>
      </c>
      <c r="J300" s="407">
        <v>-5.0350003459525299</v>
      </c>
      <c r="K300" s="407">
        <v>-5.0350003459525299</v>
      </c>
      <c r="L300" s="407">
        <v>-5.0350003459525299</v>
      </c>
      <c r="M300" s="407">
        <v>-5.0350003459525299</v>
      </c>
      <c r="N300" s="407">
        <v>-3.87666696243339</v>
      </c>
      <c r="O300" s="407">
        <v>-3.87666696243339</v>
      </c>
      <c r="Q300" s="407">
        <v>-3.87666696243339</v>
      </c>
      <c r="R300" s="407">
        <v>-3.87666696243339</v>
      </c>
      <c r="S300" s="407">
        <v>-3.87666696243339</v>
      </c>
      <c r="T300" s="407">
        <v>-3.87666696243339</v>
      </c>
      <c r="U300" s="407">
        <v>-3.87666696243339</v>
      </c>
      <c r="V300" s="407">
        <v>-3.87666696243339</v>
      </c>
      <c r="W300" s="407">
        <v>-3.87666696243339</v>
      </c>
      <c r="X300" s="407">
        <v>-3.87666696243339</v>
      </c>
      <c r="Y300" s="407">
        <v>-3.87666696243339</v>
      </c>
      <c r="Z300" s="407">
        <v>-3.87666696243339</v>
      </c>
      <c r="AA300" s="407">
        <v>-2.1016668497044901</v>
      </c>
      <c r="AB300" s="407">
        <v>-2.1016668497044901</v>
      </c>
      <c r="AC300" s="407">
        <v>-2.1016668497044901</v>
      </c>
      <c r="AD300" s="407">
        <v>-2.1016668497044901</v>
      </c>
      <c r="AE300" s="407">
        <v>-2.1016668497044901</v>
      </c>
      <c r="AF300" s="407">
        <v>-2.1016668497044901</v>
      </c>
    </row>
    <row r="301" spans="1:32">
      <c r="A301" s="406" t="s">
        <v>1711</v>
      </c>
      <c r="B301" s="407">
        <v>6001.2644099999998</v>
      </c>
      <c r="C301" s="407">
        <v>4820.7930999999999</v>
      </c>
      <c r="D301" s="407">
        <v>2146.1731799999902</v>
      </c>
      <c r="E301" s="407">
        <v>1261.2847299999901</v>
      </c>
      <c r="F301" s="407">
        <v>273.80814999999899</v>
      </c>
      <c r="G301" s="407">
        <v>-115.071989999999</v>
      </c>
      <c r="H301" s="407">
        <v>-16.992069999999998</v>
      </c>
      <c r="I301" s="407">
        <v>-312.70097999999899</v>
      </c>
      <c r="J301" s="407">
        <v>-159.920327168461</v>
      </c>
      <c r="K301" s="407">
        <v>446.480141577871</v>
      </c>
      <c r="L301" s="407">
        <v>2227.4189885659598</v>
      </c>
      <c r="M301" s="407">
        <v>4375.6055399533197</v>
      </c>
      <c r="N301" s="407">
        <v>5989.17314801678</v>
      </c>
      <c r="O301" s="407">
        <v>5031.9779963413202</v>
      </c>
      <c r="Q301" s="407">
        <v>3056.2842166640798</v>
      </c>
      <c r="R301" s="407">
        <v>1143.7352311928801</v>
      </c>
      <c r="S301" s="407">
        <v>215.135116483633</v>
      </c>
      <c r="T301" s="407">
        <v>-190.70369082776099</v>
      </c>
      <c r="U301" s="407">
        <v>-256.26188711356002</v>
      </c>
      <c r="V301" s="407">
        <v>-564.03992450782903</v>
      </c>
      <c r="W301" s="407">
        <v>-307.62634480384497</v>
      </c>
      <c r="X301" s="407">
        <v>244.65004692926399</v>
      </c>
      <c r="Y301" s="407">
        <v>1995.6445150147299</v>
      </c>
      <c r="Z301" s="407">
        <v>4280.6852571191503</v>
      </c>
      <c r="AA301" s="407">
        <v>5800.3250735757902</v>
      </c>
      <c r="AB301" s="407">
        <v>4886.3399512218602</v>
      </c>
      <c r="AC301" s="407">
        <v>2978.4886247337199</v>
      </c>
      <c r="AD301" s="407">
        <v>922.015526378608</v>
      </c>
      <c r="AE301" s="407">
        <v>63.768565958839403</v>
      </c>
      <c r="AF301" s="407">
        <v>-255.49170566305801</v>
      </c>
    </row>
    <row r="302" spans="1:32">
      <c r="A302" s="406" t="s">
        <v>1712</v>
      </c>
      <c r="B302" s="407">
        <v>6001.2644099999998</v>
      </c>
      <c r="C302" s="407">
        <v>4820.7930999999999</v>
      </c>
      <c r="D302" s="407">
        <v>2146.1731799999902</v>
      </c>
      <c r="E302" s="407">
        <v>1261.2847299999901</v>
      </c>
      <c r="F302" s="407">
        <v>273.80814999999899</v>
      </c>
      <c r="G302" s="407">
        <v>-115.071989999999</v>
      </c>
      <c r="H302" s="407">
        <v>-16.992069999999998</v>
      </c>
      <c r="I302" s="407">
        <v>-312.70097999999899</v>
      </c>
      <c r="J302" s="407">
        <v>-159.920327168461</v>
      </c>
      <c r="K302" s="407">
        <v>446.480141577871</v>
      </c>
      <c r="L302" s="407">
        <v>2227.4189885659598</v>
      </c>
      <c r="M302" s="407">
        <v>4375.6055399533197</v>
      </c>
      <c r="N302" s="407">
        <v>5989.17314801678</v>
      </c>
      <c r="O302" s="407">
        <v>5031.9779963413202</v>
      </c>
      <c r="Q302" s="407">
        <v>3056.2842166640798</v>
      </c>
      <c r="R302" s="407">
        <v>1143.7352311928801</v>
      </c>
      <c r="S302" s="407">
        <v>215.135116483633</v>
      </c>
      <c r="T302" s="407">
        <v>-190.70369082776099</v>
      </c>
      <c r="U302" s="407">
        <v>-256.26188711356002</v>
      </c>
      <c r="V302" s="407">
        <v>-564.03992450782903</v>
      </c>
      <c r="W302" s="407">
        <v>-307.62634480384497</v>
      </c>
      <c r="X302" s="407">
        <v>244.65004692926399</v>
      </c>
      <c r="Y302" s="407">
        <v>1995.6445150147299</v>
      </c>
      <c r="Z302" s="407">
        <v>4280.6852571191503</v>
      </c>
      <c r="AA302" s="407">
        <v>5800.3250735757902</v>
      </c>
      <c r="AB302" s="407">
        <v>4886.3399512218602</v>
      </c>
      <c r="AC302" s="407">
        <v>2978.4886247337199</v>
      </c>
      <c r="AD302" s="407">
        <v>922.015526378608</v>
      </c>
      <c r="AE302" s="407">
        <v>63.768565958839403</v>
      </c>
      <c r="AF302" s="407">
        <v>-255.49170566305801</v>
      </c>
    </row>
    <row r="304" spans="1:32">
      <c r="A304" s="409" t="s">
        <v>1713</v>
      </c>
      <c r="B304" s="407">
        <v>10434.16635</v>
      </c>
      <c r="C304" s="407">
        <v>8577.5217400000001</v>
      </c>
      <c r="D304" s="407">
        <v>4415.0565699999897</v>
      </c>
      <c r="E304" s="407">
        <v>2980.4690300000002</v>
      </c>
      <c r="F304" s="407">
        <v>1376.7674999999999</v>
      </c>
      <c r="G304" s="407">
        <v>906.32706000000303</v>
      </c>
      <c r="H304" s="407">
        <v>977.68307999999797</v>
      </c>
      <c r="I304" s="407">
        <v>592.19418000000405</v>
      </c>
      <c r="J304" s="407">
        <v>717.04285918450796</v>
      </c>
      <c r="K304" s="407">
        <v>1708.3713073921199</v>
      </c>
      <c r="L304" s="407">
        <v>4576.19882840834</v>
      </c>
      <c r="M304" s="407">
        <v>8237.0563509735803</v>
      </c>
      <c r="N304" s="407">
        <v>10489.7711117284</v>
      </c>
      <c r="O304" s="407">
        <v>8979.5069071415801</v>
      </c>
      <c r="Q304" s="407">
        <v>6079.0399471112496</v>
      </c>
      <c r="R304" s="407">
        <v>2832.9652047496402</v>
      </c>
      <c r="S304" s="407">
        <v>1325.6815387787599</v>
      </c>
      <c r="T304" s="407">
        <v>664.87556955648301</v>
      </c>
      <c r="U304" s="407">
        <v>574.92378202866701</v>
      </c>
      <c r="V304" s="407">
        <v>85.5440692723746</v>
      </c>
      <c r="W304" s="407">
        <v>550.96906486188402</v>
      </c>
      <c r="X304" s="407">
        <v>1470.5718440271601</v>
      </c>
      <c r="Y304" s="407">
        <v>4329.9541948448305</v>
      </c>
      <c r="Z304" s="407">
        <v>8123.1416284960096</v>
      </c>
      <c r="AA304" s="407">
        <v>10278.7504189378</v>
      </c>
      <c r="AB304" s="407">
        <v>8840.7937193908492</v>
      </c>
      <c r="AC304" s="407">
        <v>6073.8834898866198</v>
      </c>
      <c r="AD304" s="407">
        <v>2603.5504724248899</v>
      </c>
      <c r="AE304" s="407">
        <v>1191.93696506064</v>
      </c>
      <c r="AF304" s="407">
        <v>664.75461587473399</v>
      </c>
    </row>
    <row r="305" spans="1:32">
      <c r="A305" s="406" t="s">
        <v>1714</v>
      </c>
      <c r="B305" s="407">
        <v>70.590140000000005</v>
      </c>
      <c r="C305" s="407">
        <v>73.479100000000003</v>
      </c>
      <c r="D305" s="407">
        <v>128.81406000000001</v>
      </c>
      <c r="E305" s="407">
        <v>105.93566999999901</v>
      </c>
      <c r="F305" s="407">
        <v>44.64631</v>
      </c>
      <c r="G305" s="407">
        <v>108.40633</v>
      </c>
      <c r="H305" s="407">
        <v>52.396089999999901</v>
      </c>
      <c r="I305" s="407">
        <v>38.854590000000002</v>
      </c>
      <c r="J305" s="407">
        <v>64.220694006810106</v>
      </c>
      <c r="K305" s="407">
        <v>48.060952222222198</v>
      </c>
      <c r="L305" s="407">
        <v>70.554632222222196</v>
      </c>
      <c r="M305" s="407">
        <v>71.1187122222222</v>
      </c>
      <c r="N305" s="407">
        <v>138.93009208333299</v>
      </c>
      <c r="O305" s="407">
        <v>114.69621208333299</v>
      </c>
      <c r="Q305" s="407">
        <v>181.05085208333301</v>
      </c>
      <c r="R305" s="407">
        <v>81.623612083333299</v>
      </c>
      <c r="S305" s="407">
        <v>66.671972083333301</v>
      </c>
      <c r="T305" s="407">
        <v>68.560012083333305</v>
      </c>
      <c r="U305" s="407">
        <v>49.319032083333298</v>
      </c>
      <c r="V305" s="407">
        <v>53.876332083333303</v>
      </c>
      <c r="W305" s="407">
        <v>76.010092083333305</v>
      </c>
      <c r="X305" s="407">
        <v>63.858172083333301</v>
      </c>
      <c r="Y305" s="407">
        <v>96.485712083333297</v>
      </c>
      <c r="Z305" s="407">
        <v>95.697232083333304</v>
      </c>
      <c r="AA305" s="407">
        <v>138.371088680555</v>
      </c>
      <c r="AB305" s="407">
        <v>116.395508680555</v>
      </c>
      <c r="AC305" s="407">
        <v>181.27350868055501</v>
      </c>
      <c r="AD305" s="407">
        <v>82.536408680555496</v>
      </c>
      <c r="AE305" s="407">
        <v>67.297888680555502</v>
      </c>
      <c r="AF305" s="407">
        <v>69.187908680555495</v>
      </c>
    </row>
    <row r="306" spans="1:32">
      <c r="A306" s="406" t="s">
        <v>1715</v>
      </c>
      <c r="B306" s="407">
        <v>0</v>
      </c>
      <c r="C306" s="407">
        <v>0</v>
      </c>
      <c r="D306" s="407">
        <v>0</v>
      </c>
      <c r="E306" s="407">
        <v>-34.804470000000002</v>
      </c>
      <c r="F306" s="407">
        <v>-8.9988799999999998</v>
      </c>
      <c r="G306" s="407">
        <v>-28.151160000000001</v>
      </c>
      <c r="H306" s="407">
        <v>-17.18995</v>
      </c>
      <c r="I306" s="407">
        <v>-12.5601</v>
      </c>
      <c r="J306" s="407">
        <v>-17.471923419334601</v>
      </c>
      <c r="K306" s="407">
        <v>-13.3657791122051</v>
      </c>
      <c r="L306" s="407">
        <v>-20.9187768722051</v>
      </c>
      <c r="M306" s="407">
        <v>-21.531690712205101</v>
      </c>
      <c r="N306" s="407">
        <v>-43.807905606510701</v>
      </c>
      <c r="O306" s="407">
        <v>-35.865648206510699</v>
      </c>
      <c r="Q306" s="407">
        <v>-57.402823866510701</v>
      </c>
      <c r="R306" s="407">
        <v>-25.1162772665107</v>
      </c>
      <c r="S306" s="407">
        <v>-19.870609146510699</v>
      </c>
      <c r="T306" s="407">
        <v>-20.441108306510699</v>
      </c>
      <c r="U306" s="407">
        <v>-14.3055280865107</v>
      </c>
      <c r="V306" s="407">
        <v>-15.5959911065107</v>
      </c>
      <c r="W306" s="407">
        <v>-22.980271086510701</v>
      </c>
      <c r="X306" s="407">
        <v>-18.8663366465107</v>
      </c>
      <c r="Y306" s="407">
        <v>-29.638724426510699</v>
      </c>
      <c r="Z306" s="407">
        <v>-29.5115527665107</v>
      </c>
      <c r="AA306" s="407">
        <v>-43.498124666996802</v>
      </c>
      <c r="AB306" s="407">
        <v>-36.393086726996799</v>
      </c>
      <c r="AC306" s="407">
        <v>-57.501410886996801</v>
      </c>
      <c r="AD306" s="407">
        <v>-25.281309126996799</v>
      </c>
      <c r="AE306" s="407">
        <v>-20.0188488469968</v>
      </c>
      <c r="AF306" s="407">
        <v>-20.654272866996799</v>
      </c>
    </row>
    <row r="307" spans="1:32">
      <c r="A307" s="406" t="s">
        <v>1716</v>
      </c>
      <c r="B307" s="407">
        <v>0</v>
      </c>
      <c r="C307" s="407">
        <v>0</v>
      </c>
      <c r="D307" s="407">
        <v>0</v>
      </c>
      <c r="E307" s="407">
        <v>-6.3473199999999999</v>
      </c>
      <c r="F307" s="407">
        <v>-1.64114</v>
      </c>
      <c r="G307" s="407">
        <v>-5.1339399999999999</v>
      </c>
      <c r="H307" s="407">
        <v>-3.1349499999999999</v>
      </c>
      <c r="I307" s="407">
        <v>-2.29061</v>
      </c>
      <c r="J307" s="407">
        <v>-3.1863690126446098</v>
      </c>
      <c r="K307" s="407">
        <v>-2.4375281055693301</v>
      </c>
      <c r="L307" s="407">
        <v>-3.8149745055693298</v>
      </c>
      <c r="M307" s="407">
        <v>-3.9267521055693302</v>
      </c>
      <c r="N307" s="407">
        <v>-7.989283697236</v>
      </c>
      <c r="O307" s="407">
        <v>-6.5408476972359901</v>
      </c>
      <c r="Q307" s="407">
        <v>-10.468600097235999</v>
      </c>
      <c r="R307" s="407">
        <v>-4.5804760972359997</v>
      </c>
      <c r="S307" s="407">
        <v>-3.6238192972359902</v>
      </c>
      <c r="T307" s="407">
        <v>-3.7278616972359901</v>
      </c>
      <c r="U307" s="407">
        <v>-2.608910897236</v>
      </c>
      <c r="V307" s="407">
        <v>-2.8442536972360002</v>
      </c>
      <c r="W307" s="407">
        <v>-4.190930897236</v>
      </c>
      <c r="X307" s="407">
        <v>-3.4406692972359898</v>
      </c>
      <c r="Y307" s="407">
        <v>-5.4052384972359997</v>
      </c>
      <c r="Z307" s="407">
        <v>-5.3820460972359996</v>
      </c>
      <c r="AA307" s="407">
        <v>-7.9327886930693303</v>
      </c>
      <c r="AB307" s="407">
        <v>-6.6370370930693303</v>
      </c>
      <c r="AC307" s="407">
        <v>-10.4865794930693</v>
      </c>
      <c r="AD307" s="407">
        <v>-4.6105730930693296</v>
      </c>
      <c r="AE307" s="407">
        <v>-3.6508538930693302</v>
      </c>
      <c r="AF307" s="407">
        <v>-3.7667366930693298</v>
      </c>
    </row>
    <row r="308" spans="1:32">
      <c r="A308" s="406" t="s">
        <v>1717</v>
      </c>
      <c r="B308" s="407">
        <v>70.590140000000005</v>
      </c>
      <c r="C308" s="407">
        <v>73.479100000000003</v>
      </c>
      <c r="D308" s="407">
        <v>128.81406000000001</v>
      </c>
      <c r="E308" s="407">
        <v>64.783879999999897</v>
      </c>
      <c r="F308" s="407">
        <v>34.00629</v>
      </c>
      <c r="G308" s="407">
        <v>75.121229999999997</v>
      </c>
      <c r="H308" s="407">
        <v>32.071189999999902</v>
      </c>
      <c r="I308" s="407">
        <v>24.003879999999999</v>
      </c>
      <c r="J308" s="407">
        <v>43.562401574830901</v>
      </c>
      <c r="K308" s="407">
        <v>32.257645004447703</v>
      </c>
      <c r="L308" s="407">
        <v>45.8208808444477</v>
      </c>
      <c r="M308" s="407">
        <v>45.660269404447703</v>
      </c>
      <c r="N308" s="407">
        <v>87.132902779586601</v>
      </c>
      <c r="O308" s="407">
        <v>72.289716179586506</v>
      </c>
      <c r="Q308" s="407">
        <v>113.17942811958601</v>
      </c>
      <c r="R308" s="407">
        <v>51.926858719586598</v>
      </c>
      <c r="S308" s="407">
        <v>43.177543639586602</v>
      </c>
      <c r="T308" s="407">
        <v>44.391042079586597</v>
      </c>
      <c r="U308" s="407">
        <v>32.404593099586599</v>
      </c>
      <c r="V308" s="407">
        <v>35.436087279586602</v>
      </c>
      <c r="W308" s="407">
        <v>48.8388900995866</v>
      </c>
      <c r="X308" s="407">
        <v>41.551166139586599</v>
      </c>
      <c r="Y308" s="407">
        <v>61.4417491595866</v>
      </c>
      <c r="Z308" s="407">
        <v>60.803633219586601</v>
      </c>
      <c r="AA308" s="407">
        <v>86.940175320489303</v>
      </c>
      <c r="AB308" s="407">
        <v>73.3653848604893</v>
      </c>
      <c r="AC308" s="407">
        <v>113.285518300489</v>
      </c>
      <c r="AD308" s="407">
        <v>52.644526460489303</v>
      </c>
      <c r="AE308" s="407">
        <v>43.628185940489303</v>
      </c>
      <c r="AF308" s="407">
        <v>44.766899120489299</v>
      </c>
    </row>
    <row r="309" spans="1:32">
      <c r="A309" s="406" t="s">
        <v>1718</v>
      </c>
      <c r="B309" s="407">
        <v>994.92538000000002</v>
      </c>
      <c r="C309" s="407">
        <v>992.44009000000005</v>
      </c>
      <c r="D309" s="407">
        <v>992.90351999999996</v>
      </c>
      <c r="E309" s="407">
        <v>986.28611000000001</v>
      </c>
      <c r="F309" s="407">
        <v>982.06124</v>
      </c>
      <c r="G309" s="407">
        <v>972.43498</v>
      </c>
      <c r="H309" s="407">
        <v>991.28196000000003</v>
      </c>
      <c r="I309" s="407">
        <v>1001.22284</v>
      </c>
      <c r="J309" s="407">
        <v>985.25306625968301</v>
      </c>
      <c r="K309" s="407">
        <v>984.14139662637399</v>
      </c>
      <c r="L309" s="407">
        <v>984.93903921248295</v>
      </c>
      <c r="M309" s="407">
        <v>981.900963034293</v>
      </c>
      <c r="N309" s="407">
        <v>986.05202955085599</v>
      </c>
      <c r="O309" s="407">
        <v>974.09530938903094</v>
      </c>
      <c r="Q309" s="407">
        <v>982.42017658367195</v>
      </c>
      <c r="R309" s="407">
        <v>984.44533468784505</v>
      </c>
      <c r="S309" s="407">
        <v>981.20217164803501</v>
      </c>
      <c r="T309" s="407">
        <v>979.65122271489304</v>
      </c>
      <c r="U309" s="407">
        <v>982.43419118893098</v>
      </c>
      <c r="V309" s="407">
        <v>983.04301146072999</v>
      </c>
      <c r="W309" s="407">
        <v>1072.0400726754399</v>
      </c>
      <c r="X309" s="407">
        <v>1070.32591510667</v>
      </c>
      <c r="Y309" s="407">
        <v>1072.0566006752099</v>
      </c>
      <c r="Z309" s="407">
        <v>1075.44799948474</v>
      </c>
      <c r="AA309" s="407">
        <v>1076.9170816773301</v>
      </c>
      <c r="AB309" s="407">
        <v>1068.2266975485099</v>
      </c>
      <c r="AC309" s="407">
        <v>1078.71374291866</v>
      </c>
      <c r="AD309" s="407">
        <v>1080.69872332143</v>
      </c>
      <c r="AE309" s="407">
        <v>1089.4708087906099</v>
      </c>
      <c r="AF309" s="407">
        <v>1087.2726051805701</v>
      </c>
    </row>
    <row r="310" spans="1:32">
      <c r="A310" s="406" t="s">
        <v>1719</v>
      </c>
      <c r="B310" s="407">
        <v>994.92538000000002</v>
      </c>
      <c r="C310" s="407">
        <v>992.44009000000005</v>
      </c>
      <c r="D310" s="407">
        <v>992.90351999999996</v>
      </c>
      <c r="E310" s="407">
        <v>986.28611000000001</v>
      </c>
      <c r="F310" s="407">
        <v>982.06124</v>
      </c>
      <c r="G310" s="407">
        <v>972.43498</v>
      </c>
      <c r="H310" s="407">
        <v>991.28196000000003</v>
      </c>
      <c r="I310" s="407">
        <v>1001.22284</v>
      </c>
      <c r="J310" s="407">
        <v>985.25306625968301</v>
      </c>
      <c r="K310" s="407">
        <v>984.14139662637399</v>
      </c>
      <c r="L310" s="407">
        <v>984.93903921248295</v>
      </c>
      <c r="M310" s="407">
        <v>981.900963034293</v>
      </c>
      <c r="N310" s="407">
        <v>986.05202955085599</v>
      </c>
      <c r="O310" s="407">
        <v>974.09530938903094</v>
      </c>
      <c r="Q310" s="407">
        <v>982.42017658367195</v>
      </c>
      <c r="R310" s="407">
        <v>984.44533468784505</v>
      </c>
      <c r="S310" s="407">
        <v>981.20217164803501</v>
      </c>
      <c r="T310" s="407">
        <v>979.65122271489304</v>
      </c>
      <c r="U310" s="407">
        <v>982.43419118893098</v>
      </c>
      <c r="V310" s="407">
        <v>983.04301146072999</v>
      </c>
      <c r="W310" s="407">
        <v>1072.0400726754399</v>
      </c>
      <c r="X310" s="407">
        <v>1070.32591510667</v>
      </c>
      <c r="Y310" s="407">
        <v>1072.0566006752099</v>
      </c>
      <c r="Z310" s="407">
        <v>1075.44799948474</v>
      </c>
      <c r="AA310" s="407">
        <v>1076.9170816773301</v>
      </c>
      <c r="AB310" s="407">
        <v>1068.2266975485099</v>
      </c>
      <c r="AC310" s="407">
        <v>1078.71374291866</v>
      </c>
      <c r="AD310" s="407">
        <v>1080.69872332143</v>
      </c>
      <c r="AE310" s="407">
        <v>1089.4708087906099</v>
      </c>
      <c r="AF310" s="407">
        <v>1087.2726051805701</v>
      </c>
    </row>
    <row r="311" spans="1:32">
      <c r="A311" s="409" t="s">
        <v>1720</v>
      </c>
      <c r="B311" s="407">
        <v>9368.6508300000096</v>
      </c>
      <c r="C311" s="407">
        <v>7511.6025499999996</v>
      </c>
      <c r="D311" s="407">
        <v>3293.3389899999902</v>
      </c>
      <c r="E311" s="407">
        <v>1929.39904</v>
      </c>
      <c r="F311" s="407">
        <v>360.69996999999898</v>
      </c>
      <c r="G311" s="407">
        <v>-141.229149999996</v>
      </c>
      <c r="H311" s="407">
        <v>-45.670070000001097</v>
      </c>
      <c r="I311" s="407">
        <v>-433.03253999999498</v>
      </c>
      <c r="J311" s="407">
        <v>-311.772608650005</v>
      </c>
      <c r="K311" s="407">
        <v>691.97226576130004</v>
      </c>
      <c r="L311" s="407">
        <v>3545.4389083514002</v>
      </c>
      <c r="M311" s="407">
        <v>7209.49511853484</v>
      </c>
      <c r="N311" s="407">
        <v>9416.5861793979893</v>
      </c>
      <c r="O311" s="407">
        <v>7933.1218815729599</v>
      </c>
      <c r="Q311" s="407">
        <v>4983.4403424079901</v>
      </c>
      <c r="R311" s="407">
        <v>1796.59301134221</v>
      </c>
      <c r="S311" s="407">
        <v>301.301823491145</v>
      </c>
      <c r="T311" s="407">
        <v>-359.16669523799601</v>
      </c>
      <c r="U311" s="407">
        <v>-439.91500225984998</v>
      </c>
      <c r="V311" s="407">
        <v>-932.93502946794194</v>
      </c>
      <c r="W311" s="407">
        <v>-569.90989791314598</v>
      </c>
      <c r="X311" s="407">
        <v>358.69476278090599</v>
      </c>
      <c r="Y311" s="407">
        <v>3196.4558450100299</v>
      </c>
      <c r="Z311" s="407">
        <v>6986.8899957916801</v>
      </c>
      <c r="AA311" s="407">
        <v>9114.8931619400191</v>
      </c>
      <c r="AB311" s="407">
        <v>7699.2016369818502</v>
      </c>
      <c r="AC311" s="407">
        <v>4881.8842286674699</v>
      </c>
      <c r="AD311" s="407">
        <v>1470.20722264297</v>
      </c>
      <c r="AE311" s="407">
        <v>58.837970329541101</v>
      </c>
      <c r="AF311" s="407">
        <v>-467.284888426333</v>
      </c>
    </row>
  </sheetData>
  <pageMargins left="0.75" right="0.75" top="1" bottom="1" header="0.5" footer="0.5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C46"/>
  <sheetViews>
    <sheetView zoomScale="85" zoomScaleNormal="85" workbookViewId="0">
      <pane xSplit="1" topLeftCell="L1" activePane="topRight" state="frozen"/>
      <selection pane="topRight" activeCell="O38" sqref="O38"/>
    </sheetView>
  </sheetViews>
  <sheetFormatPr defaultColWidth="9" defaultRowHeight="15"/>
  <cols>
    <col min="1" max="1" width="44.109375" style="368" bestFit="1" customWidth="1"/>
    <col min="2" max="4" width="9" style="368"/>
    <col min="5" max="5" width="9.88671875" style="368" customWidth="1"/>
    <col min="6" max="16384" width="9" style="368"/>
  </cols>
  <sheetData>
    <row r="1" spans="1:29">
      <c r="A1" s="258" t="s">
        <v>1289</v>
      </c>
      <c r="B1" s="117" t="s">
        <v>1313</v>
      </c>
      <c r="C1" s="117" t="s">
        <v>1314</v>
      </c>
      <c r="D1" s="117" t="s">
        <v>1315</v>
      </c>
      <c r="E1" s="117" t="s">
        <v>1316</v>
      </c>
      <c r="F1" s="117" t="s">
        <v>1317</v>
      </c>
      <c r="G1" s="117" t="s">
        <v>1318</v>
      </c>
      <c r="H1" s="117" t="s">
        <v>1319</v>
      </c>
      <c r="I1" s="117" t="s">
        <v>1320</v>
      </c>
      <c r="J1" s="117" t="s">
        <v>1321</v>
      </c>
      <c r="K1" s="117" t="s">
        <v>1322</v>
      </c>
      <c r="L1" s="117" t="s">
        <v>1323</v>
      </c>
      <c r="M1" s="117" t="s">
        <v>1324</v>
      </c>
      <c r="N1" s="117" t="s">
        <v>1325</v>
      </c>
      <c r="O1" s="117" t="s">
        <v>1044</v>
      </c>
      <c r="P1" s="117" t="s">
        <v>1335</v>
      </c>
      <c r="Q1" s="117" t="s">
        <v>1336</v>
      </c>
      <c r="R1" s="117" t="s">
        <v>1337</v>
      </c>
      <c r="S1" s="117" t="s">
        <v>1338</v>
      </c>
      <c r="T1" s="117" t="s">
        <v>1339</v>
      </c>
      <c r="U1" s="117" t="s">
        <v>1340</v>
      </c>
      <c r="V1" s="117" t="s">
        <v>1341</v>
      </c>
      <c r="W1" s="117" t="s">
        <v>1342</v>
      </c>
      <c r="X1" s="117" t="s">
        <v>1343</v>
      </c>
      <c r="Y1" s="117" t="s">
        <v>1344</v>
      </c>
      <c r="Z1" s="117" t="s">
        <v>1345</v>
      </c>
      <c r="AA1" s="117" t="s">
        <v>1346</v>
      </c>
      <c r="AB1" s="117" t="s">
        <v>1347</v>
      </c>
      <c r="AC1" s="117" t="s">
        <v>1044</v>
      </c>
    </row>
    <row r="2" spans="1:29">
      <c r="A2" s="259" t="s">
        <v>786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</row>
    <row r="3" spans="1:29">
      <c r="A3" s="369"/>
    </row>
    <row r="4" spans="1:29">
      <c r="A4" s="369" t="s">
        <v>1029</v>
      </c>
    </row>
    <row r="5" spans="1:29">
      <c r="A5" s="368" t="s">
        <v>1030</v>
      </c>
      <c r="B5" s="118">
        <v>63462.099329999997</v>
      </c>
      <c r="C5" s="118">
        <v>64464.8734799999</v>
      </c>
      <c r="D5" s="118">
        <v>68429.613219999999</v>
      </c>
      <c r="E5" s="118">
        <v>71881.026709999904</v>
      </c>
      <c r="F5" s="118">
        <v>69101.03486</v>
      </c>
      <c r="G5" s="118">
        <v>65070.82632</v>
      </c>
      <c r="H5" s="118">
        <v>57459.519659999998</v>
      </c>
      <c r="I5" s="118">
        <v>57708.721127344397</v>
      </c>
      <c r="J5" s="118">
        <v>64073.122996775397</v>
      </c>
      <c r="K5" s="118">
        <v>65432.203242429699</v>
      </c>
      <c r="L5" s="118">
        <v>62038.884490619101</v>
      </c>
      <c r="M5" s="118">
        <v>56883.095255118198</v>
      </c>
      <c r="N5" s="118">
        <v>54561.335437750502</v>
      </c>
      <c r="O5" s="118"/>
      <c r="P5" s="118">
        <v>50245.785878539296</v>
      </c>
      <c r="Q5" s="118">
        <v>44829.5372225346</v>
      </c>
      <c r="R5" s="118">
        <v>38786.667395345299</v>
      </c>
      <c r="S5" s="118">
        <v>37589.299844946101</v>
      </c>
      <c r="T5" s="118">
        <v>37048.611453771198</v>
      </c>
      <c r="U5" s="118">
        <v>39040.6306942464</v>
      </c>
      <c r="V5" s="118">
        <v>34880.400254440399</v>
      </c>
      <c r="W5" s="118">
        <v>33472.057235844397</v>
      </c>
      <c r="X5" s="118">
        <v>34454.174713190398</v>
      </c>
      <c r="Y5" s="118">
        <v>34727.425944850998</v>
      </c>
      <c r="Z5" s="118">
        <v>38004.258552525003</v>
      </c>
      <c r="AA5" s="118">
        <v>37624.031634211598</v>
      </c>
      <c r="AB5" s="118">
        <v>35273.366258125803</v>
      </c>
      <c r="AC5" s="118"/>
    </row>
    <row r="6" spans="1:29">
      <c r="A6" s="368" t="s">
        <v>1031</v>
      </c>
      <c r="B6" s="118">
        <v>32539.89618</v>
      </c>
      <c r="C6" s="118">
        <v>33700.874810000001</v>
      </c>
      <c r="D6" s="118">
        <v>32890.34074</v>
      </c>
      <c r="E6" s="118">
        <v>32949.695189999999</v>
      </c>
      <c r="F6" s="118">
        <v>33655.611309999898</v>
      </c>
      <c r="G6" s="118">
        <v>34293.571640000002</v>
      </c>
      <c r="H6" s="118">
        <v>35061.814859999999</v>
      </c>
      <c r="I6" s="118">
        <v>34906.814359999997</v>
      </c>
      <c r="J6" s="118">
        <v>34654.653079999996</v>
      </c>
      <c r="K6" s="118">
        <v>34568.653079999996</v>
      </c>
      <c r="L6" s="118">
        <v>34540.652860000002</v>
      </c>
      <c r="M6" s="118">
        <v>34525.716419999997</v>
      </c>
      <c r="N6" s="118">
        <v>34452.831230000003</v>
      </c>
      <c r="O6" s="118"/>
      <c r="P6" s="118">
        <v>34363.212590000003</v>
      </c>
      <c r="Q6" s="118">
        <v>34348.276149999998</v>
      </c>
      <c r="R6" s="118">
        <v>34333.33971</v>
      </c>
      <c r="S6" s="118">
        <v>34303.466829999998</v>
      </c>
      <c r="T6" s="118">
        <v>34266.005429999997</v>
      </c>
      <c r="U6" s="118">
        <v>34026.06899</v>
      </c>
      <c r="V6" s="118">
        <v>34001.174529999997</v>
      </c>
      <c r="W6" s="118">
        <v>33984.754050000003</v>
      </c>
      <c r="X6" s="118">
        <v>33909.8053325</v>
      </c>
      <c r="Y6" s="118">
        <v>33878.448412500002</v>
      </c>
      <c r="Z6" s="118">
        <v>33862.027932500001</v>
      </c>
      <c r="AA6" s="118">
        <v>33845.6074525</v>
      </c>
      <c r="AB6" s="118">
        <v>33814.250532500002</v>
      </c>
      <c r="AC6" s="118"/>
    </row>
    <row r="7" spans="1:29">
      <c r="A7" s="368" t="s">
        <v>1032</v>
      </c>
      <c r="B7" s="118">
        <v>0.15687000000000001</v>
      </c>
      <c r="C7" s="118">
        <v>0.15608</v>
      </c>
      <c r="D7" s="118">
        <v>0.15551999999999999</v>
      </c>
      <c r="E7" s="118">
        <v>0.15515999999999999</v>
      </c>
      <c r="F7" s="118">
        <v>0.15468999999999999</v>
      </c>
      <c r="G7" s="118">
        <v>0.15411</v>
      </c>
      <c r="H7" s="118">
        <v>0.15343999999999999</v>
      </c>
      <c r="I7" s="118">
        <v>0.15343999999999999</v>
      </c>
      <c r="J7" s="118">
        <v>0.15343999999999999</v>
      </c>
      <c r="K7" s="118">
        <v>0.15343999999999999</v>
      </c>
      <c r="L7" s="118">
        <v>0.15343999999999999</v>
      </c>
      <c r="M7" s="118">
        <v>0.15343999999999999</v>
      </c>
      <c r="N7" s="118">
        <v>0.15343999999999999</v>
      </c>
      <c r="O7" s="118"/>
      <c r="P7" s="118">
        <v>0.15343999999999999</v>
      </c>
      <c r="Q7" s="118">
        <v>0.15343999999999999</v>
      </c>
      <c r="R7" s="118">
        <v>0.15343999999999999</v>
      </c>
      <c r="S7" s="118">
        <v>0.15343999999999999</v>
      </c>
      <c r="T7" s="118">
        <v>0.15343999999999999</v>
      </c>
      <c r="U7" s="118">
        <v>0.15343999999999999</v>
      </c>
      <c r="V7" s="118">
        <v>0.15343999999999999</v>
      </c>
      <c r="W7" s="118">
        <v>0.15343999999999999</v>
      </c>
      <c r="X7" s="118">
        <v>0.15343999999999999</v>
      </c>
      <c r="Y7" s="118">
        <v>0.15343999999999999</v>
      </c>
      <c r="Z7" s="118">
        <v>0.15343999999999999</v>
      </c>
      <c r="AA7" s="118">
        <v>0.15343999999999999</v>
      </c>
      <c r="AB7" s="118">
        <v>0.15343999999999999</v>
      </c>
      <c r="AC7" s="118"/>
    </row>
    <row r="8" spans="1:29">
      <c r="A8" s="368" t="s">
        <v>1033</v>
      </c>
      <c r="B8" s="118">
        <v>5632.1165700000001</v>
      </c>
      <c r="C8" s="118">
        <v>5774.4069599999902</v>
      </c>
      <c r="D8" s="118">
        <v>5747.0933400000004</v>
      </c>
      <c r="E8" s="118">
        <v>5849.3841899999998</v>
      </c>
      <c r="F8" s="118">
        <v>6036.1228999999903</v>
      </c>
      <c r="G8" s="118">
        <v>6139.5422799999997</v>
      </c>
      <c r="H8" s="118">
        <v>6421.8645299999898</v>
      </c>
      <c r="I8" s="118">
        <v>6421.8645299999898</v>
      </c>
      <c r="J8" s="118">
        <v>6421.8645299999898</v>
      </c>
      <c r="K8" s="118">
        <v>6421.8645299999898</v>
      </c>
      <c r="L8" s="118">
        <v>6421.8645299999898</v>
      </c>
      <c r="M8" s="118">
        <v>6421.8645299999898</v>
      </c>
      <c r="N8" s="118">
        <v>6421.8645299999898</v>
      </c>
      <c r="O8" s="118"/>
      <c r="P8" s="118">
        <v>6421.8645299999898</v>
      </c>
      <c r="Q8" s="118">
        <v>6421.8645299999898</v>
      </c>
      <c r="R8" s="118">
        <v>6421.8645299999898</v>
      </c>
      <c r="S8" s="118">
        <v>6421.8645299999898</v>
      </c>
      <c r="T8" s="118">
        <v>6421.8645299999898</v>
      </c>
      <c r="U8" s="118">
        <v>6421.8645299999898</v>
      </c>
      <c r="V8" s="118">
        <v>6421.8645299999898</v>
      </c>
      <c r="W8" s="118">
        <v>6421.8645299999898</v>
      </c>
      <c r="X8" s="118">
        <v>6421.8645299999898</v>
      </c>
      <c r="Y8" s="118">
        <v>6421.8645299999898</v>
      </c>
      <c r="Z8" s="118">
        <v>6421.8645299999898</v>
      </c>
      <c r="AA8" s="118">
        <v>6421.8645299999898</v>
      </c>
      <c r="AB8" s="118">
        <v>6421.8645299999898</v>
      </c>
      <c r="AC8" s="118"/>
    </row>
    <row r="9" spans="1:29">
      <c r="A9" s="368" t="s">
        <v>1034</v>
      </c>
      <c r="B9" s="370">
        <v>20623.07372</v>
      </c>
      <c r="C9" s="370">
        <v>16012.154060000001</v>
      </c>
      <c r="D9" s="370">
        <v>11233.91029</v>
      </c>
      <c r="E9" s="370">
        <v>9513.7679800000005</v>
      </c>
      <c r="F9" s="370">
        <v>13251.952590000001</v>
      </c>
      <c r="G9" s="370">
        <v>20943.285449999999</v>
      </c>
      <c r="H9" s="370">
        <v>30462.2140799999</v>
      </c>
      <c r="I9" s="370">
        <v>41388.0747619666</v>
      </c>
      <c r="J9" s="370">
        <v>50447.770720697197</v>
      </c>
      <c r="K9" s="370">
        <v>51126.775838808499</v>
      </c>
      <c r="L9" s="370">
        <v>42327.856618504899</v>
      </c>
      <c r="M9" s="370">
        <v>28235.509906085899</v>
      </c>
      <c r="N9" s="370">
        <v>15380.3838237823</v>
      </c>
      <c r="O9" s="370"/>
      <c r="P9" s="370">
        <v>10989.973738352401</v>
      </c>
      <c r="Q9" s="370">
        <v>20093.992861252002</v>
      </c>
      <c r="R9" s="370">
        <v>31243.473293043298</v>
      </c>
      <c r="S9" s="370">
        <v>41797.623980795397</v>
      </c>
      <c r="T9" s="370">
        <v>51110.041677018802</v>
      </c>
      <c r="U9" s="370">
        <v>52085.411799909103</v>
      </c>
      <c r="V9" s="370">
        <v>43204.758555537497</v>
      </c>
      <c r="W9" s="370">
        <v>28740.971358860301</v>
      </c>
      <c r="X9" s="370">
        <v>15543.7084417145</v>
      </c>
      <c r="Y9" s="370">
        <v>7858.5644241501304</v>
      </c>
      <c r="Z9" s="370">
        <v>5143.1920152127004</v>
      </c>
      <c r="AA9" s="370">
        <v>5188.9884327460004</v>
      </c>
      <c r="AB9" s="370">
        <v>10637.0474875948</v>
      </c>
      <c r="AC9" s="370"/>
    </row>
    <row r="10" spans="1:29">
      <c r="A10" s="368" t="s">
        <v>1035</v>
      </c>
      <c r="B10" s="370">
        <v>4984.7950300000002</v>
      </c>
      <c r="C10" s="370">
        <v>5803.2384700000002</v>
      </c>
      <c r="D10" s="370">
        <v>8997.4564499999997</v>
      </c>
      <c r="E10" s="370">
        <v>8261.8543800000007</v>
      </c>
      <c r="F10" s="370">
        <v>14327.802729999999</v>
      </c>
      <c r="G10" s="370">
        <v>12995.145979999999</v>
      </c>
      <c r="H10" s="370">
        <v>12806.055710000001</v>
      </c>
      <c r="I10" s="370">
        <v>12438.4479908333</v>
      </c>
      <c r="J10" s="370">
        <v>11434.368481666599</v>
      </c>
      <c r="K10" s="370">
        <v>10053.2595525</v>
      </c>
      <c r="L10" s="370">
        <v>9097.8619433333297</v>
      </c>
      <c r="M10" s="370">
        <v>12618.857458115799</v>
      </c>
      <c r="N10" s="370">
        <v>11494.9346281158</v>
      </c>
      <c r="O10" s="370"/>
      <c r="P10" s="370">
        <v>13468.473723319899</v>
      </c>
      <c r="Q10" s="370">
        <v>12153.778883319899</v>
      </c>
      <c r="R10" s="370">
        <v>11002.684421529901</v>
      </c>
      <c r="S10" s="370">
        <v>10776.8170223299</v>
      </c>
      <c r="T10" s="370">
        <v>10035.459422329899</v>
      </c>
      <c r="U10" s="370">
        <v>10356.114572304899</v>
      </c>
      <c r="V10" s="370">
        <v>9329.4352923049792</v>
      </c>
      <c r="W10" s="370">
        <v>13586.1182139703</v>
      </c>
      <c r="X10" s="370">
        <v>12379.1845339703</v>
      </c>
      <c r="Y10" s="370">
        <v>10873.2771139703</v>
      </c>
      <c r="Z10" s="370">
        <v>15676.013681434601</v>
      </c>
      <c r="AA10" s="370">
        <v>14143.704061434601</v>
      </c>
      <c r="AB10" s="370">
        <v>14552.8727014346</v>
      </c>
      <c r="AC10" s="370"/>
    </row>
    <row r="11" spans="1:29">
      <c r="A11" s="368" t="s">
        <v>1699</v>
      </c>
      <c r="B11" s="370">
        <v>1239.11572</v>
      </c>
      <c r="C11" s="370">
        <v>1187.7292600000001</v>
      </c>
      <c r="D11" s="370">
        <v>1136.3427999999999</v>
      </c>
      <c r="E11" s="370">
        <v>1071.62301</v>
      </c>
      <c r="F11" s="370">
        <v>4488.2980200000002</v>
      </c>
      <c r="G11" s="370">
        <v>4305.1891699999996</v>
      </c>
      <c r="H11" s="370">
        <v>4314.5831900000003</v>
      </c>
      <c r="I11" s="370">
        <v>4314.5831900000003</v>
      </c>
      <c r="J11" s="370">
        <v>4314.5831900000003</v>
      </c>
      <c r="K11" s="370">
        <v>4314.5831900000003</v>
      </c>
      <c r="L11" s="370">
        <v>4314.5831900000003</v>
      </c>
      <c r="M11" s="370">
        <v>4314.5831900000003</v>
      </c>
      <c r="N11" s="370">
        <v>4314.5831900000003</v>
      </c>
      <c r="O11" s="370"/>
      <c r="P11" s="370">
        <v>4314.5831900000003</v>
      </c>
      <c r="Q11" s="370">
        <v>4314.5831900000003</v>
      </c>
      <c r="R11" s="370">
        <v>4314.5831900000003</v>
      </c>
      <c r="S11" s="370">
        <v>4314.5831900000003</v>
      </c>
      <c r="T11" s="370">
        <v>4314.5831900000003</v>
      </c>
      <c r="U11" s="370">
        <v>4314.5831900000003</v>
      </c>
      <c r="V11" s="370">
        <v>4314.5831900000003</v>
      </c>
      <c r="W11" s="370">
        <v>4314.5831900000003</v>
      </c>
      <c r="X11" s="370">
        <v>4314.5831900000003</v>
      </c>
      <c r="Y11" s="370">
        <v>4314.5831900000003</v>
      </c>
      <c r="Z11" s="370">
        <v>4314.5831900000003</v>
      </c>
      <c r="AA11" s="370">
        <v>4314.5831900000003</v>
      </c>
      <c r="AB11" s="370">
        <v>4314.5831900000003</v>
      </c>
      <c r="AC11" s="370"/>
    </row>
    <row r="12" spans="1:29">
      <c r="A12" s="368" t="s">
        <v>1700</v>
      </c>
      <c r="B12" s="370">
        <v>947.44851000000006</v>
      </c>
      <c r="C12" s="370">
        <v>710.58640000000003</v>
      </c>
      <c r="D12" s="370">
        <v>473.72429</v>
      </c>
      <c r="E12" s="370">
        <v>236.86218</v>
      </c>
      <c r="F12" s="370">
        <v>0</v>
      </c>
      <c r="G12" s="370">
        <v>2540.4175799999998</v>
      </c>
      <c r="H12" s="370">
        <v>2309.4705300000001</v>
      </c>
      <c r="I12" s="370">
        <v>2078.5234799999998</v>
      </c>
      <c r="J12" s="370">
        <v>1847.5764299999901</v>
      </c>
      <c r="K12" s="370">
        <v>1616.6293799999901</v>
      </c>
      <c r="L12" s="370">
        <v>1385.6823299999901</v>
      </c>
      <c r="M12" s="370">
        <v>1154.7352799999901</v>
      </c>
      <c r="N12" s="370">
        <v>923.78822999999898</v>
      </c>
      <c r="O12" s="370"/>
      <c r="P12" s="370">
        <v>-8.5265128291211997E-14</v>
      </c>
      <c r="Q12" s="370">
        <v>2591.2259300000001</v>
      </c>
      <c r="R12" s="370">
        <v>2355.65994</v>
      </c>
      <c r="S12" s="370">
        <v>2120.0939499999999</v>
      </c>
      <c r="T12" s="370">
        <v>1884.5279599999999</v>
      </c>
      <c r="U12" s="370">
        <v>1648.9619699999901</v>
      </c>
      <c r="V12" s="370">
        <v>1413.39597999999</v>
      </c>
      <c r="W12" s="370">
        <v>1177.8299899999899</v>
      </c>
      <c r="X12" s="370">
        <v>942.26399999999899</v>
      </c>
      <c r="Y12" s="370">
        <v>706.69800999999904</v>
      </c>
      <c r="Z12" s="370">
        <v>471.13201999999899</v>
      </c>
      <c r="AA12" s="370">
        <v>235.56602999999899</v>
      </c>
      <c r="AB12" s="370">
        <v>3.99999996147926E-5</v>
      </c>
      <c r="AC12" s="370"/>
    </row>
    <row r="13" spans="1:29">
      <c r="A13" s="368" t="s">
        <v>1036</v>
      </c>
      <c r="B13" s="118">
        <v>7401.07539</v>
      </c>
      <c r="C13" s="118">
        <v>6075.5194000000001</v>
      </c>
      <c r="D13" s="118">
        <v>6808.2119400000001</v>
      </c>
      <c r="E13" s="118">
        <v>6706.7991499999998</v>
      </c>
      <c r="F13" s="118">
        <v>5744.15427</v>
      </c>
      <c r="G13" s="118">
        <v>6645.13375</v>
      </c>
      <c r="H13" s="118">
        <v>6684.5847000000003</v>
      </c>
      <c r="I13" s="118">
        <v>6684.5847000000003</v>
      </c>
      <c r="J13" s="118">
        <v>6684.5847000000003</v>
      </c>
      <c r="K13" s="118">
        <v>6684.5847000000003</v>
      </c>
      <c r="L13" s="118">
        <v>6684.5847000000003</v>
      </c>
      <c r="M13" s="118">
        <v>6684.5847000000003</v>
      </c>
      <c r="N13" s="118">
        <v>6684.5847000000003</v>
      </c>
      <c r="O13" s="118"/>
      <c r="P13" s="118">
        <v>6684.5847000000003</v>
      </c>
      <c r="Q13" s="118">
        <v>6684.5847000000003</v>
      </c>
      <c r="R13" s="118">
        <v>6684.5847000000003</v>
      </c>
      <c r="S13" s="118">
        <v>6684.5847000000003</v>
      </c>
      <c r="T13" s="118">
        <v>6684.5847000000003</v>
      </c>
      <c r="U13" s="118">
        <v>6684.5847000000003</v>
      </c>
      <c r="V13" s="118">
        <v>6684.5847000000003</v>
      </c>
      <c r="W13" s="118">
        <v>6684.5847000000003</v>
      </c>
      <c r="X13" s="118">
        <v>6684.5847000000003</v>
      </c>
      <c r="Y13" s="118">
        <v>6684.5847000000003</v>
      </c>
      <c r="Z13" s="118">
        <v>6684.5847000000003</v>
      </c>
      <c r="AA13" s="118">
        <v>6684.5847000000003</v>
      </c>
      <c r="AB13" s="118">
        <v>6684.5847000000003</v>
      </c>
      <c r="AC13" s="118"/>
    </row>
    <row r="14" spans="1:29">
      <c r="A14" s="368" t="s">
        <v>1037</v>
      </c>
      <c r="B14" s="118">
        <v>93.259679999999904</v>
      </c>
      <c r="C14" s="118">
        <v>1220.5470700000001</v>
      </c>
      <c r="D14" s="118">
        <v>93.259679999999904</v>
      </c>
      <c r="E14" s="118">
        <v>93.259679999999904</v>
      </c>
      <c r="F14" s="118">
        <v>1018.55447</v>
      </c>
      <c r="G14" s="118">
        <v>93.259679999999904</v>
      </c>
      <c r="H14" s="118">
        <v>93.259679999999904</v>
      </c>
      <c r="I14" s="118">
        <v>93.259679999999904</v>
      </c>
      <c r="J14" s="118">
        <v>93.259679999999904</v>
      </c>
      <c r="K14" s="118">
        <v>93.259679999999904</v>
      </c>
      <c r="L14" s="118">
        <v>93.259679999999904</v>
      </c>
      <c r="M14" s="118">
        <v>93.259679999999904</v>
      </c>
      <c r="N14" s="118">
        <v>93.259679999999904</v>
      </c>
      <c r="O14" s="118"/>
      <c r="P14" s="118">
        <v>93.259679999999904</v>
      </c>
      <c r="Q14" s="118">
        <v>93.259679999999904</v>
      </c>
      <c r="R14" s="118">
        <v>93.259679999999904</v>
      </c>
      <c r="S14" s="118">
        <v>93.259679999999904</v>
      </c>
      <c r="T14" s="118">
        <v>93.259679999999904</v>
      </c>
      <c r="U14" s="118">
        <v>93.259679999999904</v>
      </c>
      <c r="V14" s="118">
        <v>93.259679999999904</v>
      </c>
      <c r="W14" s="118">
        <v>93.259679999999904</v>
      </c>
      <c r="X14" s="118">
        <v>93.259679999999904</v>
      </c>
      <c r="Y14" s="118">
        <v>93.259679999999904</v>
      </c>
      <c r="Z14" s="118">
        <v>93.259679999999904</v>
      </c>
      <c r="AA14" s="118">
        <v>93.259679999999904</v>
      </c>
      <c r="AB14" s="118">
        <v>93.259679999999904</v>
      </c>
      <c r="AC14" s="118"/>
    </row>
    <row r="16" spans="1:29">
      <c r="A16" s="371" t="s">
        <v>1701</v>
      </c>
      <c r="B16" s="372" t="s">
        <v>1696</v>
      </c>
      <c r="C16" s="373" t="s">
        <v>1696</v>
      </c>
      <c r="D16" s="373" t="s">
        <v>1696</v>
      </c>
      <c r="E16" s="373" t="s">
        <v>1696</v>
      </c>
      <c r="F16" s="373" t="s">
        <v>1697</v>
      </c>
      <c r="G16" s="373" t="s">
        <v>1697</v>
      </c>
      <c r="H16" s="373" t="s">
        <v>1698</v>
      </c>
      <c r="I16" s="373" t="s">
        <v>1698</v>
      </c>
      <c r="J16" s="373" t="s">
        <v>1698</v>
      </c>
      <c r="K16" s="373" t="s">
        <v>1698</v>
      </c>
      <c r="L16" s="373" t="s">
        <v>1698</v>
      </c>
      <c r="M16" s="373" t="s">
        <v>1698</v>
      </c>
      <c r="N16" s="373" t="s">
        <v>1698</v>
      </c>
      <c r="O16" s="373"/>
      <c r="P16" s="373" t="s">
        <v>1698</v>
      </c>
      <c r="Q16" s="373" t="s">
        <v>1698</v>
      </c>
      <c r="R16" s="373" t="s">
        <v>1698</v>
      </c>
      <c r="S16" s="373" t="s">
        <v>1698</v>
      </c>
      <c r="T16" s="373" t="s">
        <v>1698</v>
      </c>
      <c r="U16" s="373" t="s">
        <v>1698</v>
      </c>
      <c r="V16" s="373" t="s">
        <v>1698</v>
      </c>
      <c r="W16" s="373" t="s">
        <v>1698</v>
      </c>
      <c r="X16" s="373" t="s">
        <v>1698</v>
      </c>
      <c r="Y16" s="373" t="s">
        <v>1698</v>
      </c>
      <c r="Z16" s="373" t="s">
        <v>1698</v>
      </c>
      <c r="AA16" s="373" t="s">
        <v>1698</v>
      </c>
      <c r="AB16" s="373" t="s">
        <v>1698</v>
      </c>
      <c r="AC16" s="373"/>
    </row>
    <row r="17" spans="1:29">
      <c r="A17" s="368" t="s">
        <v>1038</v>
      </c>
      <c r="B17" s="368">
        <v>0.99339999999999995</v>
      </c>
      <c r="C17" s="368">
        <v>0.99339999999999995</v>
      </c>
      <c r="D17" s="368">
        <v>0.99339999999999995</v>
      </c>
      <c r="E17" s="368">
        <v>0.99339999999999995</v>
      </c>
      <c r="F17" s="368">
        <v>0.99280000000000002</v>
      </c>
      <c r="G17" s="368">
        <v>0.99280000000000002</v>
      </c>
      <c r="H17" s="368">
        <v>0.99199999999999999</v>
      </c>
      <c r="I17" s="368">
        <v>0.99199999999999999</v>
      </c>
      <c r="J17" s="368">
        <v>0.99199999999999999</v>
      </c>
      <c r="K17" s="368">
        <v>0.99199999999999999</v>
      </c>
      <c r="L17" s="368">
        <v>0.99199999999999999</v>
      </c>
      <c r="M17" s="368">
        <v>0.99199999999999999</v>
      </c>
      <c r="N17" s="368">
        <v>0.99199999999999999</v>
      </c>
      <c r="P17" s="368">
        <v>0.99199999999999999</v>
      </c>
      <c r="Q17" s="368">
        <v>0.99199999999999999</v>
      </c>
      <c r="R17" s="368">
        <v>0.99199999999999999</v>
      </c>
      <c r="S17" s="368">
        <v>0.99199999999999999</v>
      </c>
      <c r="T17" s="368">
        <v>0.99199999999999999</v>
      </c>
      <c r="U17" s="368">
        <v>0.99199999999999999</v>
      </c>
      <c r="V17" s="368">
        <v>0.99199999999999999</v>
      </c>
      <c r="W17" s="368">
        <v>0.99199999999999999</v>
      </c>
      <c r="X17" s="368">
        <v>0.99199999999999999</v>
      </c>
      <c r="Y17" s="368">
        <v>0.99199999999999999</v>
      </c>
      <c r="Z17" s="368">
        <v>0.99199999999999999</v>
      </c>
      <c r="AA17" s="368">
        <v>0.99199999999999999</v>
      </c>
      <c r="AB17" s="368">
        <v>0.99199999999999999</v>
      </c>
    </row>
    <row r="18" spans="1:29">
      <c r="A18" s="368" t="s">
        <v>1039</v>
      </c>
      <c r="B18" s="368">
        <v>0.85719999999999996</v>
      </c>
      <c r="C18" s="368">
        <v>0.85719999999999996</v>
      </c>
      <c r="D18" s="368">
        <v>0.85719999999999996</v>
      </c>
      <c r="E18" s="368">
        <v>0.85719999999999996</v>
      </c>
      <c r="F18" s="368">
        <v>0.85440000000000005</v>
      </c>
      <c r="G18" s="368">
        <v>0.85440000000000005</v>
      </c>
      <c r="H18" s="368">
        <v>0.84709999999999996</v>
      </c>
      <c r="I18" s="368">
        <v>0.84709999999999996</v>
      </c>
      <c r="J18" s="368">
        <v>0.84709999999999996</v>
      </c>
      <c r="K18" s="368">
        <v>0.84709999999999996</v>
      </c>
      <c r="L18" s="368">
        <v>0.84709999999999996</v>
      </c>
      <c r="M18" s="368">
        <v>0.84709999999999996</v>
      </c>
      <c r="N18" s="368">
        <v>0.84709999999999996</v>
      </c>
      <c r="P18" s="368">
        <v>0.84709999999999996</v>
      </c>
      <c r="Q18" s="368">
        <v>0.84709999999999996</v>
      </c>
      <c r="R18" s="368">
        <v>0.84709999999999996</v>
      </c>
      <c r="S18" s="368">
        <v>0.84709999999999996</v>
      </c>
      <c r="T18" s="368">
        <v>0.84709999999999996</v>
      </c>
      <c r="U18" s="368">
        <v>0.84709999999999996</v>
      </c>
      <c r="V18" s="368">
        <v>0.84709999999999996</v>
      </c>
      <c r="W18" s="368">
        <v>0.84709999999999996</v>
      </c>
      <c r="X18" s="368">
        <v>0.84709999999999996</v>
      </c>
      <c r="Y18" s="368">
        <v>0.84709999999999996</v>
      </c>
      <c r="Z18" s="368">
        <v>0.84709999999999996</v>
      </c>
      <c r="AA18" s="368">
        <v>0.84709999999999996</v>
      </c>
      <c r="AB18" s="368">
        <v>0.84709999999999996</v>
      </c>
    </row>
    <row r="19" spans="1:29">
      <c r="A19" s="368" t="s">
        <v>1040</v>
      </c>
      <c r="B19" s="368">
        <v>1.0438223602742507</v>
      </c>
      <c r="C19" s="368">
        <v>1.0438223602742507</v>
      </c>
      <c r="D19" s="368">
        <v>1.0438223602742507</v>
      </c>
      <c r="E19" s="368">
        <v>1.0438223602742507</v>
      </c>
      <c r="F19" s="368">
        <v>1.0837437414437687</v>
      </c>
      <c r="G19" s="368">
        <v>1.0837437414437687</v>
      </c>
      <c r="H19" s="368">
        <v>0.99340448928712055</v>
      </c>
      <c r="I19" s="368">
        <v>0.99340448928712055</v>
      </c>
      <c r="J19" s="368">
        <v>0.99340448928712055</v>
      </c>
      <c r="K19" s="368">
        <v>0.99340448928712055</v>
      </c>
      <c r="L19" s="368">
        <v>0.99340448928712055</v>
      </c>
      <c r="M19" s="368">
        <v>0.99340448928712055</v>
      </c>
      <c r="N19" s="486">
        <v>0.21304990200423615</v>
      </c>
      <c r="O19" s="486"/>
      <c r="P19" s="486">
        <v>0.21304990200423615</v>
      </c>
      <c r="Q19" s="486">
        <v>0.21304990200423615</v>
      </c>
      <c r="R19" s="486">
        <v>0.21304990200423615</v>
      </c>
      <c r="S19" s="486">
        <v>0.21304990200423615</v>
      </c>
      <c r="T19" s="486">
        <v>0.21304990200423615</v>
      </c>
      <c r="U19" s="486">
        <v>0.21304990200423615</v>
      </c>
      <c r="V19" s="486">
        <v>0.21304990200423615</v>
      </c>
      <c r="W19" s="486">
        <v>0.21304990200423615</v>
      </c>
      <c r="X19" s="486">
        <v>0.21304990200423615</v>
      </c>
      <c r="Y19" s="486">
        <v>0.21304990200423615</v>
      </c>
      <c r="Z19" s="486">
        <v>0.21304990200423615</v>
      </c>
      <c r="AA19" s="486">
        <v>0.21304990200423615</v>
      </c>
      <c r="AB19" s="486">
        <v>0.21304990200423615</v>
      </c>
    </row>
    <row r="20" spans="1:29">
      <c r="A20" s="368" t="s">
        <v>1041</v>
      </c>
      <c r="B20" s="368">
        <v>0.8997174341580414</v>
      </c>
      <c r="C20" s="368">
        <v>0.50210198775865322</v>
      </c>
      <c r="D20" s="368">
        <v>0.8997174341580414</v>
      </c>
      <c r="E20" s="368">
        <v>0.8997174341580414</v>
      </c>
      <c r="F20" s="368">
        <v>0.48287998775362501</v>
      </c>
      <c r="G20" s="368">
        <v>0.8997174341580414</v>
      </c>
      <c r="H20" s="368">
        <v>0.8997174341580414</v>
      </c>
      <c r="I20" s="368">
        <v>0.8997174341580414</v>
      </c>
      <c r="J20" s="368">
        <v>0.8997174341580414</v>
      </c>
      <c r="K20" s="368">
        <v>0.8997174341580414</v>
      </c>
      <c r="L20" s="368">
        <v>0.8997174341580414</v>
      </c>
      <c r="M20" s="368">
        <v>0.8997174341580414</v>
      </c>
      <c r="N20" s="486">
        <v>0.21304990200423615</v>
      </c>
      <c r="O20" s="486"/>
      <c r="P20" s="486">
        <v>0.21304990200423615</v>
      </c>
      <c r="Q20" s="486">
        <v>0.21304990200423615</v>
      </c>
      <c r="R20" s="486">
        <v>0.21304990200423615</v>
      </c>
      <c r="S20" s="486">
        <v>0.21304990200423615</v>
      </c>
      <c r="T20" s="486">
        <v>0.21304990200423615</v>
      </c>
      <c r="U20" s="486">
        <v>0.21304990200423615</v>
      </c>
      <c r="V20" s="486">
        <v>0.21304990200423615</v>
      </c>
      <c r="W20" s="486">
        <v>0.21304990200423615</v>
      </c>
      <c r="X20" s="486">
        <v>0.21304990200423615</v>
      </c>
      <c r="Y20" s="486">
        <v>0.21304990200423615</v>
      </c>
      <c r="Z20" s="486">
        <v>0.21304990200423615</v>
      </c>
      <c r="AA20" s="486">
        <v>0.21304990200423615</v>
      </c>
      <c r="AB20" s="486">
        <v>0.21304990200423615</v>
      </c>
    </row>
    <row r="22" spans="1:29">
      <c r="A22" s="369" t="s">
        <v>1042</v>
      </c>
    </row>
    <row r="23" spans="1:29">
      <c r="A23" s="368" t="s">
        <v>1030</v>
      </c>
      <c r="B23" s="118">
        <v>63462.099329999997</v>
      </c>
      <c r="C23" s="118">
        <v>64464.8734799999</v>
      </c>
      <c r="D23" s="118">
        <v>68429.613219999999</v>
      </c>
      <c r="E23" s="118">
        <v>71881.026709999904</v>
      </c>
      <c r="F23" s="118">
        <v>69101.03486</v>
      </c>
      <c r="G23" s="118">
        <v>65070.82632</v>
      </c>
      <c r="H23" s="118">
        <v>57459.519659999998</v>
      </c>
      <c r="I23" s="118">
        <v>57708.721127344397</v>
      </c>
      <c r="J23" s="118">
        <v>64073.122996775397</v>
      </c>
      <c r="K23" s="118">
        <v>65432.203242429699</v>
      </c>
      <c r="L23" s="118">
        <v>62038.884490619101</v>
      </c>
      <c r="M23" s="118">
        <v>56883.095255118198</v>
      </c>
      <c r="N23" s="118">
        <v>54561.335437750502</v>
      </c>
      <c r="O23" s="118">
        <f t="shared" ref="O23:O28" si="0">SUM(B23:L23,M23:N23)/13</f>
        <v>63120.488933079767</v>
      </c>
      <c r="P23" s="118">
        <v>50245.785878539296</v>
      </c>
      <c r="Q23" s="118">
        <v>44829.5372225346</v>
      </c>
      <c r="R23" s="118">
        <v>38786.667395345299</v>
      </c>
      <c r="S23" s="118">
        <v>37589.299844946101</v>
      </c>
      <c r="T23" s="118">
        <v>37048.611453771198</v>
      </c>
      <c r="U23" s="118">
        <v>39040.6306942464</v>
      </c>
      <c r="V23" s="118">
        <v>34880.400254440399</v>
      </c>
      <c r="W23" s="118">
        <v>33472.057235844397</v>
      </c>
      <c r="X23" s="118">
        <v>34454.174713190398</v>
      </c>
      <c r="Y23" s="118">
        <v>34727.425944850998</v>
      </c>
      <c r="Z23" s="118">
        <v>38004.258552525003</v>
      </c>
      <c r="AA23" s="118">
        <v>37624.031634211598</v>
      </c>
      <c r="AB23" s="118">
        <v>35273.366258125803</v>
      </c>
      <c r="AC23" s="118">
        <f t="shared" ref="AC23:AC28" si="1">SUM(P23:V23,W23:AB23)/13</f>
        <v>38152.019006351657</v>
      </c>
    </row>
    <row r="24" spans="1:29">
      <c r="A24" s="368" t="s">
        <v>1031</v>
      </c>
      <c r="B24" s="118">
        <v>32325.132865211999</v>
      </c>
      <c r="C24" s="118">
        <v>33478.449036254002</v>
      </c>
      <c r="D24" s="118">
        <v>32673.264491115999</v>
      </c>
      <c r="E24" s="118">
        <v>32732.227201745998</v>
      </c>
      <c r="F24" s="118">
        <v>33413.290908567898</v>
      </c>
      <c r="G24" s="118">
        <v>34046.657924192004</v>
      </c>
      <c r="H24" s="118">
        <v>34781.320341120001</v>
      </c>
      <c r="I24" s="118">
        <v>34627.559845119998</v>
      </c>
      <c r="J24" s="118">
        <v>34377.415855359999</v>
      </c>
      <c r="K24" s="118">
        <v>34292.103855359994</v>
      </c>
      <c r="L24" s="118">
        <v>34264.327637120005</v>
      </c>
      <c r="M24" s="118">
        <v>34249.510688639995</v>
      </c>
      <c r="N24" s="118">
        <v>34177.208580160004</v>
      </c>
      <c r="O24" s="118">
        <f t="shared" si="0"/>
        <v>33802.959171535993</v>
      </c>
      <c r="P24" s="118">
        <v>34088.30688928</v>
      </c>
      <c r="Q24" s="118">
        <v>34073.489940799998</v>
      </c>
      <c r="R24" s="118">
        <v>34058.672992319996</v>
      </c>
      <c r="S24" s="118">
        <v>34029.03909536</v>
      </c>
      <c r="T24" s="118">
        <v>33991.877386559994</v>
      </c>
      <c r="U24" s="118">
        <v>33753.860438080002</v>
      </c>
      <c r="V24" s="118">
        <v>33729.165133759998</v>
      </c>
      <c r="W24" s="118">
        <v>33712.8760176</v>
      </c>
      <c r="X24" s="118">
        <v>33638.526889840003</v>
      </c>
      <c r="Y24" s="118">
        <v>33607.420825200003</v>
      </c>
      <c r="Z24" s="118">
        <v>33591.131709040004</v>
      </c>
      <c r="AA24" s="118">
        <v>33574.842592879999</v>
      </c>
      <c r="AB24" s="118">
        <v>33543.736528239999</v>
      </c>
      <c r="AC24" s="118">
        <f t="shared" si="1"/>
        <v>33799.457418381542</v>
      </c>
    </row>
    <row r="25" spans="1:29">
      <c r="A25" s="368" t="s">
        <v>1032</v>
      </c>
      <c r="B25" s="118">
        <v>0.15687000000000001</v>
      </c>
      <c r="C25" s="118">
        <v>0.15608</v>
      </c>
      <c r="D25" s="118">
        <v>0.15551999999999999</v>
      </c>
      <c r="E25" s="118">
        <v>0.15515999999999999</v>
      </c>
      <c r="F25" s="118">
        <v>0.15468999999999999</v>
      </c>
      <c r="G25" s="118">
        <v>0.15411</v>
      </c>
      <c r="H25" s="118">
        <v>0.15343999999999999</v>
      </c>
      <c r="I25" s="118">
        <v>0.15343999999999999</v>
      </c>
      <c r="J25" s="118">
        <v>0.15343999999999999</v>
      </c>
      <c r="K25" s="118">
        <v>0.15343999999999999</v>
      </c>
      <c r="L25" s="118">
        <v>0.15343999999999999</v>
      </c>
      <c r="M25" s="118">
        <v>0.15343999999999999</v>
      </c>
      <c r="N25" s="118">
        <v>0.15343999999999999</v>
      </c>
      <c r="O25" s="118">
        <f t="shared" si="0"/>
        <v>0.15434692307692308</v>
      </c>
      <c r="P25" s="118">
        <v>0.15343999999999999</v>
      </c>
      <c r="Q25" s="118">
        <v>0.15343999999999999</v>
      </c>
      <c r="R25" s="118">
        <v>0.15343999999999999</v>
      </c>
      <c r="S25" s="118">
        <v>0.15343999999999999</v>
      </c>
      <c r="T25" s="118">
        <v>0.15343999999999999</v>
      </c>
      <c r="U25" s="118">
        <v>0.15343999999999999</v>
      </c>
      <c r="V25" s="118">
        <v>0.15343999999999999</v>
      </c>
      <c r="W25" s="118">
        <v>0.15343999999999999</v>
      </c>
      <c r="X25" s="118">
        <v>0.15343999999999999</v>
      </c>
      <c r="Y25" s="118">
        <v>0.15343999999999999</v>
      </c>
      <c r="Z25" s="118">
        <v>0.15343999999999999</v>
      </c>
      <c r="AA25" s="118">
        <v>0.15343999999999999</v>
      </c>
      <c r="AB25" s="118">
        <v>0.15343999999999999</v>
      </c>
      <c r="AC25" s="118">
        <f t="shared" si="1"/>
        <v>0.15343999999999999</v>
      </c>
    </row>
    <row r="26" spans="1:29">
      <c r="A26" s="368" t="s">
        <v>1033</v>
      </c>
      <c r="B26" s="118">
        <v>5594.9446006379994</v>
      </c>
      <c r="C26" s="118">
        <v>5736.2958740639897</v>
      </c>
      <c r="D26" s="118">
        <v>5709.1625239559999</v>
      </c>
      <c r="E26" s="118">
        <v>5810.7782543459998</v>
      </c>
      <c r="F26" s="118">
        <v>5992.6628151199902</v>
      </c>
      <c r="G26" s="118">
        <v>6095.3375755839998</v>
      </c>
      <c r="H26" s="118">
        <v>6370.4896137599899</v>
      </c>
      <c r="I26" s="118">
        <v>6370.4896137599899</v>
      </c>
      <c r="J26" s="118">
        <v>6370.4896137599899</v>
      </c>
      <c r="K26" s="118">
        <v>6370.4896137599899</v>
      </c>
      <c r="L26" s="118">
        <v>6370.4896137599899</v>
      </c>
      <c r="M26" s="118">
        <v>6370.4896137599899</v>
      </c>
      <c r="N26" s="118">
        <v>6370.4896137599899</v>
      </c>
      <c r="O26" s="118">
        <f t="shared" si="0"/>
        <v>6117.892995386761</v>
      </c>
      <c r="P26" s="118">
        <v>6370.4896137599899</v>
      </c>
      <c r="Q26" s="118">
        <v>6370.4896137599899</v>
      </c>
      <c r="R26" s="118">
        <v>6370.4896137599899</v>
      </c>
      <c r="S26" s="118">
        <v>6370.4896137599899</v>
      </c>
      <c r="T26" s="118">
        <v>6370.4896137599899</v>
      </c>
      <c r="U26" s="118">
        <v>6370.4896137599899</v>
      </c>
      <c r="V26" s="118">
        <v>6370.4896137599899</v>
      </c>
      <c r="W26" s="118">
        <v>6370.4896137599899</v>
      </c>
      <c r="X26" s="118">
        <v>6370.4896137599899</v>
      </c>
      <c r="Y26" s="118">
        <v>6370.4896137599899</v>
      </c>
      <c r="Z26" s="118">
        <v>6370.4896137599899</v>
      </c>
      <c r="AA26" s="118">
        <v>6370.4896137599899</v>
      </c>
      <c r="AB26" s="118">
        <v>6370.4896137599899</v>
      </c>
      <c r="AC26" s="118">
        <f t="shared" si="1"/>
        <v>6370.4896137599881</v>
      </c>
    </row>
    <row r="27" spans="1:29">
      <c r="A27" s="368" t="s">
        <v>1034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>
        <f t="shared" si="0"/>
        <v>0</v>
      </c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>
        <f t="shared" si="1"/>
        <v>0</v>
      </c>
    </row>
    <row r="28" spans="1:29">
      <c r="A28" s="368" t="s">
        <v>1035</v>
      </c>
      <c r="B28" s="118">
        <v>4272.9662997160003</v>
      </c>
      <c r="C28" s="118">
        <v>4974.5360164840004</v>
      </c>
      <c r="D28" s="118">
        <v>7712.6196689399994</v>
      </c>
      <c r="E28" s="118">
        <v>7082.0615745360001</v>
      </c>
      <c r="F28" s="118">
        <v>12241.674652512</v>
      </c>
      <c r="G28" s="118">
        <v>11103.052725312</v>
      </c>
      <c r="H28" s="118">
        <v>10848.009791941</v>
      </c>
      <c r="I28" s="118">
        <v>10536.609293034888</v>
      </c>
      <c r="J28" s="118">
        <v>9686.0535408197757</v>
      </c>
      <c r="K28" s="118">
        <v>8516.1161669227495</v>
      </c>
      <c r="L28" s="118">
        <v>7706.7988521976631</v>
      </c>
      <c r="M28" s="118">
        <v>10689.434152769893</v>
      </c>
      <c r="N28" s="118">
        <v>9737.3591234768937</v>
      </c>
      <c r="O28" s="118">
        <f t="shared" si="0"/>
        <v>8854.4070660509879</v>
      </c>
      <c r="P28" s="118">
        <v>11409.144091024285</v>
      </c>
      <c r="Q28" s="118">
        <v>10295.466092060286</v>
      </c>
      <c r="R28" s="118">
        <v>9320.3739734779792</v>
      </c>
      <c r="S28" s="118">
        <v>9129.0416996156582</v>
      </c>
      <c r="T28" s="118">
        <v>8501.0376766556565</v>
      </c>
      <c r="U28" s="118">
        <v>8772.6646541994796</v>
      </c>
      <c r="V28" s="118">
        <v>7902.9646361115474</v>
      </c>
      <c r="W28" s="118">
        <v>11508.800739054241</v>
      </c>
      <c r="X28" s="118">
        <v>10486.407218726241</v>
      </c>
      <c r="Y28" s="118">
        <v>9210.75304324424</v>
      </c>
      <c r="Z28" s="118">
        <v>13279.15118954325</v>
      </c>
      <c r="AA28" s="118">
        <v>11981.13171044125</v>
      </c>
      <c r="AB28" s="118">
        <v>12327.73846538525</v>
      </c>
      <c r="AC28" s="118">
        <f t="shared" si="1"/>
        <v>10317.282706887643</v>
      </c>
    </row>
    <row r="29" spans="1:29">
      <c r="A29" s="368" t="s">
        <v>1699</v>
      </c>
      <c r="B29" s="118">
        <v>1062.1699951840001</v>
      </c>
      <c r="C29" s="118">
        <v>1018.121521672</v>
      </c>
      <c r="D29" s="118">
        <v>974.07304815999987</v>
      </c>
      <c r="E29" s="118">
        <v>918.59524417199998</v>
      </c>
      <c r="F29" s="118">
        <v>3834.8018282880003</v>
      </c>
      <c r="G29" s="118">
        <v>3678.3536268479997</v>
      </c>
      <c r="H29" s="118">
        <v>3654.8834202490002</v>
      </c>
      <c r="I29" s="118">
        <v>3654.8834202490002</v>
      </c>
      <c r="J29" s="118">
        <v>3654.8834202490002</v>
      </c>
      <c r="K29" s="118">
        <v>3654.8834202490002</v>
      </c>
      <c r="L29" s="118">
        <v>3654.8834202490002</v>
      </c>
      <c r="M29" s="118">
        <v>3654.8834202490002</v>
      </c>
      <c r="N29" s="118">
        <v>3654.8834202490002</v>
      </c>
      <c r="O29" s="118">
        <f t="shared" ref="O29:O30" si="2">SUM(B29:L29,M29:N29)/13</f>
        <v>2851.5614773897696</v>
      </c>
      <c r="P29" s="118">
        <v>3654.8834202490002</v>
      </c>
      <c r="Q29" s="118">
        <v>3654.8834202490002</v>
      </c>
      <c r="R29" s="118">
        <v>3654.8834202490002</v>
      </c>
      <c r="S29" s="118">
        <v>3654.8834202490002</v>
      </c>
      <c r="T29" s="118">
        <v>3654.8834202490002</v>
      </c>
      <c r="U29" s="118">
        <v>3654.8834202490002</v>
      </c>
      <c r="V29" s="118">
        <v>3654.8834202490002</v>
      </c>
      <c r="W29" s="118">
        <v>3654.8834202490002</v>
      </c>
      <c r="X29" s="118">
        <v>3654.8834202490002</v>
      </c>
      <c r="Y29" s="118">
        <v>3654.8834202490002</v>
      </c>
      <c r="Z29" s="118">
        <v>3654.8834202490002</v>
      </c>
      <c r="AA29" s="118">
        <v>3654.8834202490002</v>
      </c>
      <c r="AB29" s="118">
        <v>3654.8834202490002</v>
      </c>
      <c r="AC29" s="118">
        <f t="shared" ref="AC29:AC30" si="3">SUM(P29:V29,W29:AB29)/13</f>
        <v>3654.8834202490011</v>
      </c>
    </row>
    <row r="30" spans="1:29">
      <c r="A30" s="368" t="s">
        <v>1700</v>
      </c>
      <c r="B30" s="118">
        <v>812.15286277200005</v>
      </c>
      <c r="C30" s="118">
        <v>609.11466208000002</v>
      </c>
      <c r="D30" s="118">
        <v>406.07646138799998</v>
      </c>
      <c r="E30" s="118">
        <v>203.03826069599998</v>
      </c>
      <c r="F30" s="118">
        <v>0</v>
      </c>
      <c r="G30" s="118">
        <v>2170.5327803519999</v>
      </c>
      <c r="H30" s="118">
        <v>1956.3524859629999</v>
      </c>
      <c r="I30" s="118">
        <v>1760.7172399079998</v>
      </c>
      <c r="J30" s="118">
        <v>1565.0819938529914</v>
      </c>
      <c r="K30" s="118">
        <v>1369.4467477979915</v>
      </c>
      <c r="L30" s="118">
        <v>1173.8115017429916</v>
      </c>
      <c r="M30" s="118">
        <v>978.17625568799156</v>
      </c>
      <c r="N30" s="118">
        <v>782.54100963299913</v>
      </c>
      <c r="O30" s="118">
        <f t="shared" si="2"/>
        <v>1060.5417124518435</v>
      </c>
      <c r="P30" s="118">
        <v>-7.2228090175485682E-14</v>
      </c>
      <c r="Q30" s="118">
        <v>2195.027485303</v>
      </c>
      <c r="R30" s="118">
        <v>1995.4795351739999</v>
      </c>
      <c r="S30" s="118">
        <v>1795.9315850449998</v>
      </c>
      <c r="T30" s="118">
        <v>1596.3836349159999</v>
      </c>
      <c r="U30" s="118">
        <v>1396.8356847869916</v>
      </c>
      <c r="V30" s="118">
        <v>1197.2877346579915</v>
      </c>
      <c r="W30" s="118">
        <v>997.73978452899144</v>
      </c>
      <c r="X30" s="118">
        <v>798.19183439999915</v>
      </c>
      <c r="Y30" s="118">
        <v>598.64388427099914</v>
      </c>
      <c r="Z30" s="118">
        <v>399.09593414199912</v>
      </c>
      <c r="AA30" s="118">
        <v>199.54798401299914</v>
      </c>
      <c r="AB30" s="118">
        <v>3.3883999673690812E-5</v>
      </c>
      <c r="AC30" s="118">
        <f t="shared" si="3"/>
        <v>1013.0896242401516</v>
      </c>
    </row>
    <row r="31" spans="1:29">
      <c r="A31" s="368" t="s">
        <v>1036</v>
      </c>
      <c r="B31" s="118">
        <v>7725.4079821574705</v>
      </c>
      <c r="C31" s="118">
        <v>6341.7629999999999</v>
      </c>
      <c r="D31" s="118">
        <v>7106.563856458135</v>
      </c>
      <c r="E31" s="118">
        <v>7000.7069186383378</v>
      </c>
      <c r="F31" s="118">
        <v>6225.1912400000001</v>
      </c>
      <c r="G31" s="118">
        <v>7201.6221126192613</v>
      </c>
      <c r="H31" s="118">
        <v>6640.4964500000006</v>
      </c>
      <c r="I31" s="118">
        <v>6640.4964500000006</v>
      </c>
      <c r="J31" s="118">
        <v>6640.4964500000006</v>
      </c>
      <c r="K31" s="118">
        <v>6640.4964500000006</v>
      </c>
      <c r="L31" s="118">
        <v>6640.4964500000006</v>
      </c>
      <c r="M31" s="118">
        <v>6640.4964500000006</v>
      </c>
      <c r="N31" s="118">
        <f>N13*N19</f>
        <v>1424.1501152740163</v>
      </c>
      <c r="O31" s="118">
        <f t="shared" ref="O31:O40" si="4">SUM(B31:L31,M31:N31)/13</f>
        <v>6374.491071165171</v>
      </c>
      <c r="P31" s="118">
        <f t="shared" ref="P31:AB32" si="5">P13*P19</f>
        <v>1424.1501152740163</v>
      </c>
      <c r="Q31" s="118">
        <f t="shared" si="5"/>
        <v>1424.1501152740163</v>
      </c>
      <c r="R31" s="118">
        <f t="shared" si="5"/>
        <v>1424.1501152740163</v>
      </c>
      <c r="S31" s="118">
        <f t="shared" si="5"/>
        <v>1424.1501152740163</v>
      </c>
      <c r="T31" s="118">
        <f t="shared" si="5"/>
        <v>1424.1501152740163</v>
      </c>
      <c r="U31" s="118">
        <f t="shared" si="5"/>
        <v>1424.1501152740163</v>
      </c>
      <c r="V31" s="118">
        <f t="shared" si="5"/>
        <v>1424.1501152740163</v>
      </c>
      <c r="W31" s="118">
        <f t="shared" si="5"/>
        <v>1424.1501152740163</v>
      </c>
      <c r="X31" s="118">
        <f t="shared" si="5"/>
        <v>1424.1501152740163</v>
      </c>
      <c r="Y31" s="118">
        <f t="shared" si="5"/>
        <v>1424.1501152740163</v>
      </c>
      <c r="Z31" s="118">
        <f t="shared" si="5"/>
        <v>1424.1501152740163</v>
      </c>
      <c r="AA31" s="118">
        <f t="shared" si="5"/>
        <v>1424.1501152740163</v>
      </c>
      <c r="AB31" s="118">
        <f t="shared" si="5"/>
        <v>1424.1501152740163</v>
      </c>
      <c r="AC31" s="118">
        <f t="shared" ref="AC31:AC40" si="6">SUM(P31:V31,W31:AB31)/13</f>
        <v>1424.1501152740163</v>
      </c>
    </row>
    <row r="32" spans="1:29">
      <c r="A32" s="368" t="s">
        <v>1037</v>
      </c>
      <c r="B32" s="118">
        <v>83.907359999999926</v>
      </c>
      <c r="C32" s="118">
        <v>612.83911000000012</v>
      </c>
      <c r="D32" s="118">
        <v>83.907359999999926</v>
      </c>
      <c r="E32" s="118">
        <v>83.907359999999926</v>
      </c>
      <c r="F32" s="118">
        <v>491.83957000000004</v>
      </c>
      <c r="G32" s="118">
        <v>83.907359999999926</v>
      </c>
      <c r="H32" s="118">
        <v>83.907359999999926</v>
      </c>
      <c r="I32" s="118">
        <v>83.907359999999926</v>
      </c>
      <c r="J32" s="118">
        <v>83.907359999999926</v>
      </c>
      <c r="K32" s="118">
        <v>83.907359999999926</v>
      </c>
      <c r="L32" s="118">
        <v>83.907359999999926</v>
      </c>
      <c r="M32" s="118">
        <v>83.907359999999926</v>
      </c>
      <c r="N32" s="118">
        <f>N14*N20</f>
        <v>19.868965684946403</v>
      </c>
      <c r="O32" s="118">
        <f t="shared" si="4"/>
        <v>151.04778812961123</v>
      </c>
      <c r="P32" s="118">
        <f t="shared" si="5"/>
        <v>19.868965684946403</v>
      </c>
      <c r="Q32" s="118">
        <f t="shared" si="5"/>
        <v>19.868965684946403</v>
      </c>
      <c r="R32" s="118">
        <f t="shared" si="5"/>
        <v>19.868965684946403</v>
      </c>
      <c r="S32" s="118">
        <f t="shared" si="5"/>
        <v>19.868965684946403</v>
      </c>
      <c r="T32" s="118">
        <f t="shared" si="5"/>
        <v>19.868965684946403</v>
      </c>
      <c r="U32" s="118">
        <f t="shared" si="5"/>
        <v>19.868965684946403</v>
      </c>
      <c r="V32" s="118">
        <f t="shared" si="5"/>
        <v>19.868965684946403</v>
      </c>
      <c r="W32" s="118">
        <f t="shared" si="5"/>
        <v>19.868965684946403</v>
      </c>
      <c r="X32" s="118">
        <f t="shared" si="5"/>
        <v>19.868965684946403</v>
      </c>
      <c r="Y32" s="118">
        <f t="shared" si="5"/>
        <v>19.868965684946403</v>
      </c>
      <c r="Z32" s="118">
        <f t="shared" si="5"/>
        <v>19.868965684946403</v>
      </c>
      <c r="AA32" s="118">
        <f t="shared" si="5"/>
        <v>19.868965684946403</v>
      </c>
      <c r="AB32" s="118">
        <f t="shared" si="5"/>
        <v>19.868965684946403</v>
      </c>
      <c r="AC32" s="118">
        <f t="shared" si="6"/>
        <v>19.868965684946399</v>
      </c>
    </row>
    <row r="33" spans="1:29">
      <c r="N33" s="352">
        <f>N31+N32</f>
        <v>1444.0190809589628</v>
      </c>
      <c r="O33" s="118">
        <f t="shared" si="4"/>
        <v>111.07839084299714</v>
      </c>
      <c r="AC33" s="118">
        <f t="shared" si="6"/>
        <v>0</v>
      </c>
    </row>
    <row r="34" spans="1:29">
      <c r="A34" s="369" t="s">
        <v>1043</v>
      </c>
      <c r="O34" s="118">
        <f t="shared" si="4"/>
        <v>0</v>
      </c>
      <c r="AC34" s="118">
        <f t="shared" si="6"/>
        <v>0</v>
      </c>
    </row>
    <row r="35" spans="1:29">
      <c r="A35" s="368" t="s">
        <v>1030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>
        <f t="shared" si="4"/>
        <v>0</v>
      </c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>
        <f t="shared" si="6"/>
        <v>0</v>
      </c>
    </row>
    <row r="36" spans="1:29">
      <c r="A36" s="368" t="s">
        <v>1031</v>
      </c>
      <c r="B36" s="118">
        <v>214.76331478800162</v>
      </c>
      <c r="C36" s="118">
        <v>222.42577374600171</v>
      </c>
      <c r="D36" s="118">
        <v>217.07624888400164</v>
      </c>
      <c r="E36" s="118">
        <v>217.46798825400165</v>
      </c>
      <c r="F36" s="118">
        <v>242.32040143199873</v>
      </c>
      <c r="G36" s="118">
        <v>246.91371580799947</v>
      </c>
      <c r="H36" s="118">
        <v>280.49451888000021</v>
      </c>
      <c r="I36" s="118">
        <v>279.25451488000022</v>
      </c>
      <c r="J36" s="118">
        <v>277.23722464000019</v>
      </c>
      <c r="K36" s="118">
        <v>276.5492246400002</v>
      </c>
      <c r="L36" s="118">
        <v>276.32522288000024</v>
      </c>
      <c r="M36" s="118">
        <v>276.20573136000024</v>
      </c>
      <c r="N36" s="118">
        <v>275.62264984000029</v>
      </c>
      <c r="O36" s="118">
        <f t="shared" si="4"/>
        <v>254.05050231015431</v>
      </c>
      <c r="P36" s="118">
        <v>274.90570072000025</v>
      </c>
      <c r="Q36" s="118">
        <v>274.7862092000002</v>
      </c>
      <c r="R36" s="118">
        <v>274.66671768000026</v>
      </c>
      <c r="S36" s="118">
        <v>274.42773464000021</v>
      </c>
      <c r="T36" s="118">
        <v>274.12804344000023</v>
      </c>
      <c r="U36" s="118">
        <v>272.20855192000022</v>
      </c>
      <c r="V36" s="118">
        <v>272.00939624000023</v>
      </c>
      <c r="W36" s="118">
        <v>271.87803240000028</v>
      </c>
      <c r="X36" s="118">
        <v>271.27844266000022</v>
      </c>
      <c r="Y36" s="118">
        <v>271.02758730000028</v>
      </c>
      <c r="Z36" s="118">
        <v>270.89622346000027</v>
      </c>
      <c r="AA36" s="118">
        <v>270.76485962000027</v>
      </c>
      <c r="AB36" s="118">
        <v>270.51400426000026</v>
      </c>
      <c r="AC36" s="118">
        <f t="shared" si="6"/>
        <v>272.57626950307713</v>
      </c>
    </row>
    <row r="37" spans="1:29">
      <c r="A37" s="368" t="s">
        <v>1032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>
        <f t="shared" si="4"/>
        <v>0</v>
      </c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>
        <f t="shared" si="6"/>
        <v>0</v>
      </c>
    </row>
    <row r="38" spans="1:29">
      <c r="A38" s="368" t="s">
        <v>1033</v>
      </c>
      <c r="B38" s="118">
        <v>37.171969362000283</v>
      </c>
      <c r="C38" s="118">
        <v>38.111085936000229</v>
      </c>
      <c r="D38" s="118">
        <v>37.930816044000288</v>
      </c>
      <c r="E38" s="118">
        <v>38.605935654000291</v>
      </c>
      <c r="F38" s="118">
        <v>43.460084879999833</v>
      </c>
      <c r="G38" s="118">
        <v>44.204704415999899</v>
      </c>
      <c r="H38" s="118">
        <v>51.374916239999962</v>
      </c>
      <c r="I38" s="118">
        <v>51.374916239999962</v>
      </c>
      <c r="J38" s="118">
        <v>51.374916239999962</v>
      </c>
      <c r="K38" s="118">
        <v>51.374916239999962</v>
      </c>
      <c r="L38" s="118">
        <v>51.374916239999962</v>
      </c>
      <c r="M38" s="118">
        <v>51.374916239999962</v>
      </c>
      <c r="N38" s="118">
        <v>51.374916239999962</v>
      </c>
      <c r="O38" s="118">
        <f t="shared" si="4"/>
        <v>46.085308459384656</v>
      </c>
      <c r="P38" s="118">
        <v>51.374916239999962</v>
      </c>
      <c r="Q38" s="118">
        <v>51.374916239999962</v>
      </c>
      <c r="R38" s="118">
        <v>51.374916239999962</v>
      </c>
      <c r="S38" s="118">
        <v>51.374916239999962</v>
      </c>
      <c r="T38" s="118">
        <v>51.374916239999962</v>
      </c>
      <c r="U38" s="118">
        <v>51.374916239999962</v>
      </c>
      <c r="V38" s="118">
        <v>51.374916239999962</v>
      </c>
      <c r="W38" s="118">
        <v>51.374916239999962</v>
      </c>
      <c r="X38" s="118">
        <v>51.374916239999962</v>
      </c>
      <c r="Y38" s="118">
        <v>51.374916239999962</v>
      </c>
      <c r="Z38" s="118">
        <v>51.374916239999962</v>
      </c>
      <c r="AA38" s="118">
        <v>51.374916239999962</v>
      </c>
      <c r="AB38" s="118">
        <v>51.374916239999962</v>
      </c>
      <c r="AC38" s="118">
        <f t="shared" si="6"/>
        <v>51.374916239999955</v>
      </c>
    </row>
    <row r="39" spans="1:29">
      <c r="A39" s="368" t="s">
        <v>1034</v>
      </c>
      <c r="B39" s="118">
        <v>20623.07372</v>
      </c>
      <c r="C39" s="118">
        <v>16012.154060000001</v>
      </c>
      <c r="D39" s="118">
        <v>11233.91029</v>
      </c>
      <c r="E39" s="118">
        <v>9513.7679800000005</v>
      </c>
      <c r="F39" s="118">
        <v>13251.952590000001</v>
      </c>
      <c r="G39" s="118">
        <v>20943.285449999999</v>
      </c>
      <c r="H39" s="118">
        <v>30462.2140799999</v>
      </c>
      <c r="I39" s="118">
        <v>41388.0747619666</v>
      </c>
      <c r="J39" s="118">
        <v>50447.770720697197</v>
      </c>
      <c r="K39" s="118">
        <v>51126.775838808499</v>
      </c>
      <c r="L39" s="118">
        <v>42327.856618504899</v>
      </c>
      <c r="M39" s="118">
        <v>28235.509906085899</v>
      </c>
      <c r="N39" s="118">
        <v>15380.3838237823</v>
      </c>
      <c r="O39" s="118">
        <f t="shared" si="4"/>
        <v>26995.902295372718</v>
      </c>
      <c r="P39" s="118">
        <v>10989.973738352401</v>
      </c>
      <c r="Q39" s="118">
        <v>20093.992861252002</v>
      </c>
      <c r="R39" s="118">
        <v>31243.473293043298</v>
      </c>
      <c r="S39" s="118">
        <v>41797.623980795397</v>
      </c>
      <c r="T39" s="118">
        <v>51110.041677018802</v>
      </c>
      <c r="U39" s="118">
        <v>52085.411799909103</v>
      </c>
      <c r="V39" s="118">
        <v>43204.758555537497</v>
      </c>
      <c r="W39" s="118">
        <v>28740.971358860301</v>
      </c>
      <c r="X39" s="118">
        <v>15543.7084417145</v>
      </c>
      <c r="Y39" s="118">
        <v>7858.5644241501304</v>
      </c>
      <c r="Z39" s="118">
        <v>5143.1920152127004</v>
      </c>
      <c r="AA39" s="118">
        <v>5188.9884327460004</v>
      </c>
      <c r="AB39" s="118">
        <v>10637.0474875948</v>
      </c>
      <c r="AC39" s="118">
        <f t="shared" si="6"/>
        <v>24895.211389706696</v>
      </c>
    </row>
    <row r="40" spans="1:29">
      <c r="A40" s="368" t="s">
        <v>1035</v>
      </c>
      <c r="B40" s="118">
        <v>711.82873028400024</v>
      </c>
      <c r="C40" s="118">
        <v>828.70245351600022</v>
      </c>
      <c r="D40" s="118">
        <v>1284.8367810600002</v>
      </c>
      <c r="E40" s="118">
        <v>1179.7928054640004</v>
      </c>
      <c r="F40" s="118">
        <v>2086.1280774879992</v>
      </c>
      <c r="G40" s="118">
        <v>1892.0932546879992</v>
      </c>
      <c r="H40" s="118">
        <v>1958.0459180590005</v>
      </c>
      <c r="I40" s="118">
        <v>1901.8386977984119</v>
      </c>
      <c r="J40" s="118">
        <v>1748.3149408468234</v>
      </c>
      <c r="K40" s="118">
        <v>1537.1433855772502</v>
      </c>
      <c r="L40" s="118">
        <v>1391.0630911356664</v>
      </c>
      <c r="M40" s="118">
        <v>1929.4233053459061</v>
      </c>
      <c r="N40" s="118">
        <v>1757.5755046389061</v>
      </c>
      <c r="O40" s="118">
        <f t="shared" si="4"/>
        <v>1554.3682266078433</v>
      </c>
      <c r="P40" s="118">
        <v>2059.329632295613</v>
      </c>
      <c r="Q40" s="118">
        <v>1858.312791259613</v>
      </c>
      <c r="R40" s="118">
        <v>1682.3104480519221</v>
      </c>
      <c r="S40" s="118">
        <v>1647.7753227142421</v>
      </c>
      <c r="T40" s="118">
        <v>1534.4217456742419</v>
      </c>
      <c r="U40" s="118">
        <v>1583.4499181054196</v>
      </c>
      <c r="V40" s="118">
        <v>1426.4706561934318</v>
      </c>
      <c r="W40" s="118">
        <v>2077.3174749160594</v>
      </c>
      <c r="X40" s="118">
        <v>1892.7773152440593</v>
      </c>
      <c r="Y40" s="118">
        <v>1662.5240707260593</v>
      </c>
      <c r="Z40" s="118">
        <v>2396.8624918913511</v>
      </c>
      <c r="AA40" s="118">
        <v>2162.5723509933509</v>
      </c>
      <c r="AB40" s="118">
        <v>2225.1342360493509</v>
      </c>
      <c r="AC40" s="118">
        <f t="shared" si="6"/>
        <v>1862.2506503165166</v>
      </c>
    </row>
    <row r="41" spans="1:29">
      <c r="A41" s="368" t="s">
        <v>1699</v>
      </c>
      <c r="B41" s="118">
        <v>176.94572481600005</v>
      </c>
      <c r="C41" s="118">
        <v>169.60773832800007</v>
      </c>
      <c r="D41" s="118">
        <v>162.26975184000003</v>
      </c>
      <c r="E41" s="118">
        <v>153.02776582800004</v>
      </c>
      <c r="F41" s="118">
        <v>653.49619171199981</v>
      </c>
      <c r="G41" s="118">
        <v>626.83554315199979</v>
      </c>
      <c r="H41" s="118">
        <v>659.69976975100019</v>
      </c>
      <c r="I41" s="118">
        <v>659.69976975100019</v>
      </c>
      <c r="J41" s="118">
        <v>659.69976975100019</v>
      </c>
      <c r="K41" s="118">
        <v>659.69976975100019</v>
      </c>
      <c r="L41" s="118">
        <v>659.69976975100019</v>
      </c>
      <c r="M41" s="118">
        <v>659.69976975100019</v>
      </c>
      <c r="N41" s="118">
        <v>659.69976975100019</v>
      </c>
      <c r="O41" s="118">
        <f t="shared" ref="O41:O42" si="7">SUM(B41:L41,M41:N41)/13</f>
        <v>504.62162337946171</v>
      </c>
      <c r="P41" s="118">
        <v>659.69976975100019</v>
      </c>
      <c r="Q41" s="118">
        <v>659.69976975100019</v>
      </c>
      <c r="R41" s="118">
        <v>659.69976975100019</v>
      </c>
      <c r="S41" s="118">
        <v>659.69976975100019</v>
      </c>
      <c r="T41" s="118">
        <v>659.69976975100019</v>
      </c>
      <c r="U41" s="118">
        <v>659.69976975100019</v>
      </c>
      <c r="V41" s="118">
        <v>659.69976975100019</v>
      </c>
      <c r="W41" s="118">
        <v>659.69976975100019</v>
      </c>
      <c r="X41" s="118">
        <v>659.69976975100019</v>
      </c>
      <c r="Y41" s="118">
        <v>659.69976975100019</v>
      </c>
      <c r="Z41" s="118">
        <v>659.69976975100019</v>
      </c>
      <c r="AA41" s="118">
        <v>659.69976975100019</v>
      </c>
      <c r="AB41" s="118">
        <v>659.69976975100019</v>
      </c>
      <c r="AC41" s="118">
        <f t="shared" ref="AC41:AC42" si="8">SUM(P41:V41,W41:AB41)/13</f>
        <v>659.6997697510003</v>
      </c>
    </row>
    <row r="42" spans="1:29">
      <c r="A42" s="368" t="s">
        <v>1700</v>
      </c>
      <c r="B42" s="118">
        <v>135.29564722800004</v>
      </c>
      <c r="C42" s="118">
        <v>101.47173792000002</v>
      </c>
      <c r="D42" s="118">
        <v>67.647828612000012</v>
      </c>
      <c r="E42" s="118">
        <v>33.823919304000007</v>
      </c>
      <c r="F42" s="118">
        <v>0</v>
      </c>
      <c r="G42" s="118">
        <v>369.88479964799984</v>
      </c>
      <c r="H42" s="118">
        <v>353.11804403700012</v>
      </c>
      <c r="I42" s="118">
        <v>317.80624009200005</v>
      </c>
      <c r="J42" s="118">
        <v>282.49443614699857</v>
      </c>
      <c r="K42" s="118">
        <v>247.18263220199853</v>
      </c>
      <c r="L42" s="118">
        <v>211.87082825699852</v>
      </c>
      <c r="M42" s="118">
        <v>176.55902431199854</v>
      </c>
      <c r="N42" s="118">
        <v>141.24722036699987</v>
      </c>
      <c r="O42" s="118">
        <f t="shared" si="7"/>
        <v>187.56941216353803</v>
      </c>
      <c r="P42" s="118">
        <v>-1.3037038115726318E-14</v>
      </c>
      <c r="Q42" s="118">
        <v>396.19844469700013</v>
      </c>
      <c r="R42" s="118">
        <v>360.18040482600009</v>
      </c>
      <c r="S42" s="118">
        <v>324.16236495500004</v>
      </c>
      <c r="T42" s="118">
        <v>288.14432508400006</v>
      </c>
      <c r="U42" s="118">
        <v>252.12628521299854</v>
      </c>
      <c r="V42" s="118">
        <v>216.10824534199853</v>
      </c>
      <c r="W42" s="118">
        <v>180.09020547099851</v>
      </c>
      <c r="X42" s="118">
        <v>144.07216559999989</v>
      </c>
      <c r="Y42" s="118">
        <v>108.05412572899988</v>
      </c>
      <c r="Z42" s="118">
        <v>72.036085857999865</v>
      </c>
      <c r="AA42" s="118">
        <v>36.018045986999851</v>
      </c>
      <c r="AB42" s="118">
        <v>6.1159999411017897E-6</v>
      </c>
      <c r="AC42" s="118">
        <f t="shared" si="8"/>
        <v>182.86082345215345</v>
      </c>
    </row>
    <row r="43" spans="1:29">
      <c r="A43" s="368" t="s">
        <v>1036</v>
      </c>
      <c r="B43" s="118">
        <v>-324.3325921574704</v>
      </c>
      <c r="C43" s="118">
        <v>-266.24359999999933</v>
      </c>
      <c r="D43" s="118">
        <v>-298.35191645813518</v>
      </c>
      <c r="E43" s="118">
        <v>-293.90776863833821</v>
      </c>
      <c r="F43" s="118">
        <v>-481.03697000000011</v>
      </c>
      <c r="G43" s="118">
        <v>-556.48836261926124</v>
      </c>
      <c r="H43" s="118">
        <v>44.088250000000059</v>
      </c>
      <c r="I43" s="118">
        <v>44.088250000000059</v>
      </c>
      <c r="J43" s="118">
        <v>44.088250000000059</v>
      </c>
      <c r="K43" s="118">
        <v>44.088250000000059</v>
      </c>
      <c r="L43" s="118">
        <v>44.088250000000059</v>
      </c>
      <c r="M43" s="118">
        <v>44.088250000000059</v>
      </c>
      <c r="N43" s="118">
        <f>N13-N31</f>
        <v>5260.4345847259838</v>
      </c>
      <c r="O43" s="118">
        <f>SUM(B43:L43,M43:N43)/13</f>
        <v>254.20022114252151</v>
      </c>
      <c r="P43" s="118">
        <f t="shared" ref="P43:AB44" si="9">P13-P31</f>
        <v>5260.4345847259838</v>
      </c>
      <c r="Q43" s="118">
        <f t="shared" si="9"/>
        <v>5260.4345847259838</v>
      </c>
      <c r="R43" s="118">
        <f t="shared" si="9"/>
        <v>5260.4345847259838</v>
      </c>
      <c r="S43" s="118">
        <f t="shared" si="9"/>
        <v>5260.4345847259838</v>
      </c>
      <c r="T43" s="118">
        <f t="shared" si="9"/>
        <v>5260.4345847259838</v>
      </c>
      <c r="U43" s="118">
        <f t="shared" si="9"/>
        <v>5260.4345847259838</v>
      </c>
      <c r="V43" s="118">
        <f t="shared" si="9"/>
        <v>5260.4345847259838</v>
      </c>
      <c r="W43" s="118">
        <f t="shared" si="9"/>
        <v>5260.4345847259838</v>
      </c>
      <c r="X43" s="118">
        <f t="shared" si="9"/>
        <v>5260.4345847259838</v>
      </c>
      <c r="Y43" s="118">
        <f t="shared" si="9"/>
        <v>5260.4345847259838</v>
      </c>
      <c r="Z43" s="118">
        <f t="shared" si="9"/>
        <v>5260.4345847259838</v>
      </c>
      <c r="AA43" s="118">
        <f t="shared" si="9"/>
        <v>5260.4345847259838</v>
      </c>
      <c r="AB43" s="118">
        <f t="shared" si="9"/>
        <v>5260.4345847259838</v>
      </c>
      <c r="AC43" s="118">
        <f>SUM(P43:V43,W43:AB43)/13</f>
        <v>5260.4345847259838</v>
      </c>
    </row>
    <row r="44" spans="1:29">
      <c r="A44" s="368" t="s">
        <v>1037</v>
      </c>
      <c r="B44" s="118">
        <v>9.3523199999999811</v>
      </c>
      <c r="C44" s="118">
        <v>607.70795999999996</v>
      </c>
      <c r="D44" s="118">
        <v>9.3523199999999811</v>
      </c>
      <c r="E44" s="118">
        <v>9.3523199999999811</v>
      </c>
      <c r="F44" s="118">
        <v>526.71490000000006</v>
      </c>
      <c r="G44" s="118">
        <v>9.3523199999999811</v>
      </c>
      <c r="H44" s="118">
        <v>9.3523199999999811</v>
      </c>
      <c r="I44" s="118">
        <v>9.3523199999999811</v>
      </c>
      <c r="J44" s="118">
        <v>9.3523199999999811</v>
      </c>
      <c r="K44" s="118">
        <v>9.3523199999999811</v>
      </c>
      <c r="L44" s="118">
        <v>9.3523199999999811</v>
      </c>
      <c r="M44" s="118">
        <v>9.3523199999999811</v>
      </c>
      <c r="N44" s="118">
        <f>N14-N32</f>
        <v>73.390714315053501</v>
      </c>
      <c r="O44" s="118">
        <f>SUM(B44:L44,M44:N44)/13</f>
        <v>100.10282879346563</v>
      </c>
      <c r="P44" s="118">
        <f t="shared" si="9"/>
        <v>73.390714315053501</v>
      </c>
      <c r="Q44" s="118">
        <f t="shared" si="9"/>
        <v>73.390714315053501</v>
      </c>
      <c r="R44" s="118">
        <f t="shared" si="9"/>
        <v>73.390714315053501</v>
      </c>
      <c r="S44" s="118">
        <f t="shared" si="9"/>
        <v>73.390714315053501</v>
      </c>
      <c r="T44" s="118">
        <f t="shared" si="9"/>
        <v>73.390714315053501</v>
      </c>
      <c r="U44" s="118">
        <f t="shared" si="9"/>
        <v>73.390714315053501</v>
      </c>
      <c r="V44" s="118">
        <f t="shared" si="9"/>
        <v>73.390714315053501</v>
      </c>
      <c r="W44" s="118">
        <f t="shared" si="9"/>
        <v>73.390714315053501</v>
      </c>
      <c r="X44" s="118">
        <f t="shared" si="9"/>
        <v>73.390714315053501</v>
      </c>
      <c r="Y44" s="118">
        <f t="shared" si="9"/>
        <v>73.390714315053501</v>
      </c>
      <c r="Z44" s="118">
        <f t="shared" si="9"/>
        <v>73.390714315053501</v>
      </c>
      <c r="AA44" s="118">
        <f t="shared" si="9"/>
        <v>73.390714315053501</v>
      </c>
      <c r="AB44" s="118">
        <f t="shared" si="9"/>
        <v>73.390714315053501</v>
      </c>
      <c r="AC44" s="118">
        <f>SUM(P44:V44,W44:AB44)/13</f>
        <v>73.390714315053501</v>
      </c>
    </row>
    <row r="46" spans="1:29">
      <c r="A46" s="368" t="s">
        <v>732</v>
      </c>
      <c r="B46" s="374">
        <v>0</v>
      </c>
      <c r="C46" s="374">
        <v>0</v>
      </c>
      <c r="D46" s="374">
        <v>0</v>
      </c>
      <c r="E46" s="374">
        <v>-4.1836756281554699E-11</v>
      </c>
      <c r="F46" s="374">
        <v>0</v>
      </c>
      <c r="G46" s="374">
        <v>0</v>
      </c>
      <c r="H46" s="374">
        <v>0</v>
      </c>
      <c r="I46" s="374">
        <v>0</v>
      </c>
      <c r="J46" s="374">
        <v>0</v>
      </c>
      <c r="K46" s="374">
        <v>0</v>
      </c>
      <c r="L46" s="374">
        <v>0</v>
      </c>
      <c r="M46" s="374">
        <v>0</v>
      </c>
      <c r="N46" s="374">
        <v>0</v>
      </c>
      <c r="O46" s="374"/>
      <c r="P46" s="374">
        <v>2.9103830456733704E-11</v>
      </c>
      <c r="Q46" s="374">
        <v>0</v>
      </c>
      <c r="R46" s="374">
        <v>0</v>
      </c>
      <c r="S46" s="374">
        <v>0</v>
      </c>
      <c r="T46" s="374">
        <v>0</v>
      </c>
      <c r="U46" s="374">
        <v>0</v>
      </c>
      <c r="V46" s="374">
        <v>0</v>
      </c>
      <c r="W46" s="374">
        <v>0</v>
      </c>
      <c r="X46" s="374">
        <v>0</v>
      </c>
      <c r="Y46" s="374">
        <v>0</v>
      </c>
      <c r="Z46" s="374">
        <v>2.0008883439004421E-11</v>
      </c>
      <c r="AA46" s="374">
        <v>3.2741809263825417E-11</v>
      </c>
      <c r="AB46" s="374">
        <v>1.6370904631912708E-11</v>
      </c>
      <c r="AC46" s="374"/>
    </row>
  </sheetData>
  <pageMargins left="0.7" right="0.7" top="0.75" bottom="0.75" header="0.3" footer="0.3"/>
  <pageSetup scale="42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J13"/>
  <sheetViews>
    <sheetView zoomScaleNormal="100" workbookViewId="0">
      <pane xSplit="1" ySplit="4" topLeftCell="B5" activePane="bottomRight" state="frozen"/>
      <selection activeCell="C30" sqref="C30"/>
      <selection pane="topRight" activeCell="C30" sqref="C30"/>
      <selection pane="bottomLeft" activeCell="C30" sqref="C30"/>
      <selection pane="bottomRight" activeCell="B17" sqref="B17"/>
    </sheetView>
  </sheetViews>
  <sheetFormatPr defaultColWidth="9" defaultRowHeight="12.75"/>
  <cols>
    <col min="1" max="1" width="38.77734375" style="260" customWidth="1"/>
    <col min="2" max="2" width="17.6640625" style="260" customWidth="1"/>
    <col min="3" max="6" width="11.33203125" style="260" customWidth="1"/>
    <col min="7" max="7" width="12.44140625" style="260" customWidth="1"/>
    <col min="8" max="10" width="11.33203125" style="260" customWidth="1"/>
    <col min="11" max="11" width="11" style="260" customWidth="1"/>
    <col min="12" max="12" width="12.88671875" style="260" customWidth="1"/>
    <col min="13" max="13" width="13.6640625" style="260" bestFit="1" customWidth="1"/>
    <col min="14" max="14" width="14.44140625" style="260" bestFit="1" customWidth="1"/>
    <col min="15" max="16384" width="9" style="260"/>
  </cols>
  <sheetData>
    <row r="1" spans="1:10">
      <c r="A1" s="260" t="s">
        <v>434</v>
      </c>
      <c r="B1" s="261"/>
      <c r="C1" s="261"/>
      <c r="D1" s="261"/>
      <c r="E1" s="261"/>
      <c r="F1" s="261"/>
      <c r="G1" s="261"/>
      <c r="H1" s="261"/>
      <c r="I1" s="261"/>
      <c r="J1" s="261"/>
    </row>
    <row r="2" spans="1:10">
      <c r="A2" s="260" t="s">
        <v>1047</v>
      </c>
      <c r="B2" s="261"/>
      <c r="C2" s="261"/>
      <c r="D2" s="261"/>
      <c r="E2" s="261"/>
      <c r="F2" s="261"/>
      <c r="G2" s="261"/>
      <c r="H2" s="261"/>
      <c r="I2" s="261"/>
      <c r="J2" s="261"/>
    </row>
    <row r="3" spans="1:10">
      <c r="A3" s="260" t="s">
        <v>47</v>
      </c>
      <c r="B3" s="261"/>
      <c r="C3" s="261"/>
      <c r="D3" s="261"/>
      <c r="E3" s="261"/>
      <c r="F3" s="261"/>
      <c r="G3" s="261"/>
      <c r="H3" s="261"/>
      <c r="I3" s="261"/>
      <c r="J3" s="261"/>
    </row>
    <row r="4" spans="1:10">
      <c r="B4" s="261"/>
      <c r="C4" s="261"/>
      <c r="D4" s="261"/>
      <c r="E4" s="261"/>
      <c r="F4" s="261"/>
      <c r="G4" s="261"/>
      <c r="H4" s="261"/>
      <c r="I4" s="261"/>
      <c r="J4" s="261"/>
    </row>
    <row r="5" spans="1:10">
      <c r="B5" s="410" t="s">
        <v>1325</v>
      </c>
    </row>
    <row r="6" spans="1:10">
      <c r="B6" s="378"/>
    </row>
    <row r="7" spans="1:10">
      <c r="A7" s="260" t="s">
        <v>1048</v>
      </c>
      <c r="B7" s="377">
        <v>965880794.42497873</v>
      </c>
    </row>
    <row r="8" spans="1:10">
      <c r="A8" s="260" t="s">
        <v>1049</v>
      </c>
      <c r="B8" s="377">
        <v>752994854.36087084</v>
      </c>
    </row>
    <row r="9" spans="1:10">
      <c r="A9" s="260" t="s">
        <v>1050</v>
      </c>
      <c r="B9" s="377">
        <v>212885940.06410787</v>
      </c>
    </row>
    <row r="10" spans="1:10">
      <c r="B10" s="378"/>
    </row>
    <row r="11" spans="1:10">
      <c r="A11" s="262" t="s">
        <v>1051</v>
      </c>
      <c r="B11" s="377">
        <v>36229736.650318868</v>
      </c>
    </row>
    <row r="12" spans="1:10">
      <c r="A12" s="260" t="s">
        <v>1049</v>
      </c>
      <c r="B12" s="377">
        <v>36155583.983652204</v>
      </c>
    </row>
    <row r="13" spans="1:10">
      <c r="A13" s="260" t="s">
        <v>1050</v>
      </c>
      <c r="B13" s="377">
        <v>74152.666666666773</v>
      </c>
    </row>
  </sheetData>
  <pageMargins left="0.75" right="0.75" top="1" bottom="1" header="0.5" footer="0.5"/>
  <pageSetup scale="70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P13"/>
  <sheetViews>
    <sheetView zoomScale="70" zoomScaleNormal="70" workbookViewId="0">
      <pane xSplit="1" ySplit="4" topLeftCell="B5" activePane="bottomRight" state="frozen"/>
      <selection activeCell="C30" sqref="C30"/>
      <selection pane="topRight" activeCell="C30" sqref="C30"/>
      <selection pane="bottomLeft" activeCell="C30" sqref="C30"/>
      <selection pane="bottomRight" activeCell="O8" sqref="O8"/>
    </sheetView>
  </sheetViews>
  <sheetFormatPr defaultColWidth="9" defaultRowHeight="12.75"/>
  <cols>
    <col min="1" max="1" width="38.77734375" style="260" customWidth="1"/>
    <col min="2" max="2" width="14.44140625" style="260" customWidth="1"/>
    <col min="3" max="15" width="13.33203125" style="260" customWidth="1"/>
    <col min="16" max="16384" width="9" style="260"/>
  </cols>
  <sheetData>
    <row r="1" spans="1:16">
      <c r="A1" s="260" t="s">
        <v>434</v>
      </c>
      <c r="B1" s="261"/>
      <c r="C1" s="261"/>
      <c r="D1" s="261"/>
      <c r="E1" s="261"/>
      <c r="F1" s="261"/>
      <c r="G1" s="261"/>
      <c r="H1" s="261"/>
      <c r="I1" s="261"/>
      <c r="J1" s="261"/>
    </row>
    <row r="2" spans="1:16">
      <c r="A2" s="260" t="s">
        <v>47</v>
      </c>
      <c r="B2" s="261"/>
      <c r="C2" s="261"/>
      <c r="D2" s="261"/>
      <c r="E2" s="261"/>
      <c r="F2" s="261"/>
      <c r="G2" s="261"/>
      <c r="H2" s="261"/>
      <c r="I2" s="261"/>
      <c r="J2" s="261"/>
    </row>
    <row r="3" spans="1:16">
      <c r="A3" s="260" t="s">
        <v>1047</v>
      </c>
      <c r="B3" s="261"/>
      <c r="C3" s="261"/>
      <c r="D3" s="261"/>
      <c r="E3" s="261"/>
      <c r="F3" s="261"/>
      <c r="G3" s="261"/>
      <c r="H3" s="261"/>
      <c r="I3" s="261"/>
      <c r="J3" s="261"/>
    </row>
    <row r="4" spans="1:16">
      <c r="B4" s="261"/>
      <c r="C4" s="261"/>
      <c r="D4" s="261"/>
      <c r="E4" s="261"/>
      <c r="F4" s="261"/>
      <c r="G4" s="261"/>
      <c r="H4" s="261"/>
      <c r="I4" s="261"/>
      <c r="J4" s="261"/>
    </row>
    <row r="5" spans="1:16">
      <c r="B5" s="410" t="s">
        <v>1335</v>
      </c>
      <c r="C5" s="410" t="s">
        <v>1336</v>
      </c>
      <c r="D5" s="410" t="s">
        <v>1337</v>
      </c>
      <c r="E5" s="410" t="s">
        <v>1338</v>
      </c>
      <c r="F5" s="410" t="s">
        <v>1339</v>
      </c>
      <c r="G5" s="410" t="s">
        <v>1340</v>
      </c>
      <c r="H5" s="410" t="s">
        <v>1341</v>
      </c>
      <c r="I5" s="410" t="s">
        <v>1342</v>
      </c>
      <c r="J5" s="410" t="s">
        <v>1343</v>
      </c>
      <c r="K5" s="410" t="s">
        <v>1344</v>
      </c>
      <c r="L5" s="410" t="s">
        <v>1345</v>
      </c>
      <c r="M5" s="410" t="s">
        <v>1346</v>
      </c>
      <c r="N5" s="410" t="s">
        <v>1347</v>
      </c>
      <c r="O5" s="411" t="s">
        <v>1052</v>
      </c>
      <c r="P5" s="378"/>
    </row>
    <row r="6" spans="1:16"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</row>
    <row r="7" spans="1:16">
      <c r="A7" s="260" t="s">
        <v>1048</v>
      </c>
      <c r="B7" s="377">
        <v>1019780259.8665239</v>
      </c>
      <c r="C7" s="377">
        <v>1019794493.6998572</v>
      </c>
      <c r="D7" s="377">
        <v>1019808727.5331906</v>
      </c>
      <c r="E7" s="377">
        <v>1046770662.9852625</v>
      </c>
      <c r="F7" s="377">
        <v>1046784896.8185959</v>
      </c>
      <c r="G7" s="377">
        <v>1046799130.6519293</v>
      </c>
      <c r="H7" s="377">
        <v>1073761066.1609566</v>
      </c>
      <c r="I7" s="377">
        <v>1073775299.9942899</v>
      </c>
      <c r="J7" s="377">
        <v>1073789533.8276234</v>
      </c>
      <c r="K7" s="377">
        <v>1096061343.2013085</v>
      </c>
      <c r="L7" s="377">
        <v>1096075577.0346417</v>
      </c>
      <c r="M7" s="377">
        <v>1096089810.8679752</v>
      </c>
      <c r="N7" s="377">
        <v>1118361620.2416599</v>
      </c>
      <c r="O7" s="412">
        <v>1052080538.02037</v>
      </c>
      <c r="P7" s="413" t="s">
        <v>1725</v>
      </c>
    </row>
    <row r="8" spans="1:16">
      <c r="A8" s="260" t="s">
        <v>1049</v>
      </c>
      <c r="B8" s="377">
        <v>797147837.38280022</v>
      </c>
      <c r="C8" s="377">
        <v>797162071.21613359</v>
      </c>
      <c r="D8" s="377">
        <v>797176305.04946697</v>
      </c>
      <c r="E8" s="377">
        <v>819264999.291731</v>
      </c>
      <c r="F8" s="377">
        <v>819279233.12506437</v>
      </c>
      <c r="G8" s="377">
        <v>819293466.95839775</v>
      </c>
      <c r="H8" s="377">
        <v>841382161.25761712</v>
      </c>
      <c r="I8" s="377">
        <v>841396395.09095049</v>
      </c>
      <c r="J8" s="377">
        <v>841410628.92428386</v>
      </c>
      <c r="K8" s="377">
        <v>858756658.97085416</v>
      </c>
      <c r="L8" s="377">
        <v>858770892.80418742</v>
      </c>
      <c r="M8" s="377">
        <v>858785126.63752079</v>
      </c>
      <c r="N8" s="377">
        <v>876131156.68409038</v>
      </c>
      <c r="O8" s="412">
        <v>823481074.30587721</v>
      </c>
      <c r="P8" s="413" t="s">
        <v>1725</v>
      </c>
    </row>
    <row r="9" spans="1:16">
      <c r="A9" s="260" t="s">
        <v>1050</v>
      </c>
      <c r="B9" s="377">
        <v>222632422.48372364</v>
      </c>
      <c r="C9" s="377">
        <v>222632422.48372364</v>
      </c>
      <c r="D9" s="377">
        <v>222632422.48372364</v>
      </c>
      <c r="E9" s="377">
        <v>227505663.69353154</v>
      </c>
      <c r="F9" s="377">
        <v>227505663.69353154</v>
      </c>
      <c r="G9" s="377">
        <v>227505663.69353154</v>
      </c>
      <c r="H9" s="377">
        <v>232378904.90333942</v>
      </c>
      <c r="I9" s="377">
        <v>232378904.90333942</v>
      </c>
      <c r="J9" s="377">
        <v>232378904.90333942</v>
      </c>
      <c r="K9" s="377">
        <v>237304684.23045436</v>
      </c>
      <c r="L9" s="377">
        <v>237304684.23045436</v>
      </c>
      <c r="M9" s="377">
        <v>237304684.23045436</v>
      </c>
      <c r="N9" s="377">
        <v>242230463.55756941</v>
      </c>
      <c r="O9" s="412">
        <v>228599464.09910825</v>
      </c>
      <c r="P9" s="413" t="s">
        <v>1725</v>
      </c>
    </row>
    <row r="10" spans="1:16">
      <c r="B10" s="378"/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78"/>
      <c r="P10" s="378"/>
    </row>
    <row r="11" spans="1:16">
      <c r="A11" s="262" t="s">
        <v>1051</v>
      </c>
      <c r="B11" s="377">
        <v>35860724.320318863</v>
      </c>
      <c r="C11" s="377">
        <v>35768471.820318863</v>
      </c>
      <c r="D11" s="377">
        <v>35676219.320318855</v>
      </c>
      <c r="E11" s="377">
        <v>35583966.820318855</v>
      </c>
      <c r="F11" s="377">
        <v>35491714.320318855</v>
      </c>
      <c r="G11" s="377">
        <v>35399461.820318848</v>
      </c>
      <c r="H11" s="377">
        <v>35307209.320318848</v>
      </c>
      <c r="I11" s="377">
        <v>35226394.320318848</v>
      </c>
      <c r="J11" s="377">
        <v>35145579.32031884</v>
      </c>
      <c r="K11" s="377">
        <v>35064764.32031884</v>
      </c>
      <c r="L11" s="377">
        <v>34983949.32031884</v>
      </c>
      <c r="M11" s="377">
        <v>34903134.320318833</v>
      </c>
      <c r="N11" s="377">
        <v>34822319.320318833</v>
      </c>
      <c r="O11" s="412">
        <v>35325685.281857297</v>
      </c>
      <c r="P11" s="378"/>
    </row>
    <row r="12" spans="1:16">
      <c r="A12" s="260" t="s">
        <v>1049</v>
      </c>
      <c r="B12" s="377">
        <v>35802078.320318863</v>
      </c>
      <c r="C12" s="377">
        <v>35713702.486985527</v>
      </c>
      <c r="D12" s="377">
        <v>35625326.653652191</v>
      </c>
      <c r="E12" s="377">
        <v>35536950.820318855</v>
      </c>
      <c r="F12" s="377">
        <v>35448574.98698552</v>
      </c>
      <c r="G12" s="377">
        <v>35360199.153652184</v>
      </c>
      <c r="H12" s="377">
        <v>35271823.320318848</v>
      </c>
      <c r="I12" s="377">
        <v>35193109.986985512</v>
      </c>
      <c r="J12" s="377">
        <v>35114396.653652176</v>
      </c>
      <c r="K12" s="377">
        <v>35035683.32031884</v>
      </c>
      <c r="L12" s="377">
        <v>34956969.986985505</v>
      </c>
      <c r="M12" s="377">
        <v>34878256.653652169</v>
      </c>
      <c r="N12" s="377">
        <v>34799543.320318833</v>
      </c>
      <c r="O12" s="412">
        <v>35287431.974165007</v>
      </c>
      <c r="P12" s="378"/>
    </row>
    <row r="13" spans="1:16">
      <c r="A13" s="260" t="s">
        <v>1050</v>
      </c>
      <c r="B13" s="377">
        <v>58646.000000000102</v>
      </c>
      <c r="C13" s="377">
        <v>54769.333333333438</v>
      </c>
      <c r="D13" s="377">
        <v>50892.666666666773</v>
      </c>
      <c r="E13" s="377">
        <v>47016.000000000109</v>
      </c>
      <c r="F13" s="377">
        <v>43139.333333333445</v>
      </c>
      <c r="G13" s="377">
        <v>39262.666666666781</v>
      </c>
      <c r="H13" s="377">
        <v>35386.000000000116</v>
      </c>
      <c r="I13" s="377">
        <v>33284.333333333452</v>
      </c>
      <c r="J13" s="377">
        <v>31182.666666666784</v>
      </c>
      <c r="K13" s="377">
        <v>29081.000000000116</v>
      </c>
      <c r="L13" s="377">
        <v>26979.333333333449</v>
      </c>
      <c r="M13" s="377">
        <v>24877.666666666781</v>
      </c>
      <c r="N13" s="377">
        <v>22776.000000000113</v>
      </c>
      <c r="O13" s="412">
        <v>38253.307692307812</v>
      </c>
      <c r="P13" s="378"/>
    </row>
  </sheetData>
  <pageMargins left="0.25" right="0.25" top="1" bottom="1" header="0.5" footer="0.5"/>
  <pageSetup scale="57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H6"/>
  <sheetViews>
    <sheetView zoomScale="85" zoomScaleNormal="85" workbookViewId="0">
      <selection activeCell="F12" sqref="F12"/>
    </sheetView>
  </sheetViews>
  <sheetFormatPr defaultColWidth="9" defaultRowHeight="15"/>
  <cols>
    <col min="1" max="1" width="21.77734375" style="445" customWidth="1"/>
    <col min="2" max="34" width="12.6640625" style="445" customWidth="1"/>
    <col min="35" max="16384" width="9" style="445"/>
  </cols>
  <sheetData>
    <row r="1" spans="1:34" s="440" customFormat="1">
      <c r="A1" s="439" t="s">
        <v>1289</v>
      </c>
      <c r="B1" s="440" t="s">
        <v>1312</v>
      </c>
      <c r="C1" s="440" t="s">
        <v>1313</v>
      </c>
      <c r="D1" s="440" t="s">
        <v>1314</v>
      </c>
      <c r="E1" s="440" t="s">
        <v>1315</v>
      </c>
      <c r="F1" s="440" t="s">
        <v>1316</v>
      </c>
      <c r="G1" s="440" t="s">
        <v>1317</v>
      </c>
      <c r="H1" s="440" t="s">
        <v>1318</v>
      </c>
      <c r="I1" s="440" t="s">
        <v>1319</v>
      </c>
      <c r="J1" s="440" t="s">
        <v>1320</v>
      </c>
      <c r="K1" s="440" t="s">
        <v>1321</v>
      </c>
      <c r="L1" s="440" t="s">
        <v>1322</v>
      </c>
      <c r="M1" s="440" t="s">
        <v>1323</v>
      </c>
      <c r="N1" s="440" t="s">
        <v>1690</v>
      </c>
      <c r="O1" s="440" t="s">
        <v>1324</v>
      </c>
      <c r="P1" s="440" t="s">
        <v>1325</v>
      </c>
      <c r="Q1" s="440" t="s">
        <v>1691</v>
      </c>
      <c r="R1" s="440" t="s">
        <v>1692</v>
      </c>
      <c r="S1" s="440" t="s">
        <v>1693</v>
      </c>
      <c r="T1" s="440" t="s">
        <v>1335</v>
      </c>
      <c r="U1" s="440" t="s">
        <v>1336</v>
      </c>
      <c r="V1" s="440" t="s">
        <v>1337</v>
      </c>
      <c r="W1" s="440" t="s">
        <v>1338</v>
      </c>
      <c r="X1" s="440" t="s">
        <v>1339</v>
      </c>
      <c r="Y1" s="440" t="s">
        <v>1340</v>
      </c>
      <c r="Z1" s="440" t="s">
        <v>1341</v>
      </c>
      <c r="AA1" s="440" t="s">
        <v>1694</v>
      </c>
      <c r="AB1" s="440" t="s">
        <v>1342</v>
      </c>
      <c r="AC1" s="440" t="s">
        <v>1343</v>
      </c>
      <c r="AD1" s="440" t="s">
        <v>1344</v>
      </c>
      <c r="AE1" s="440" t="s">
        <v>1345</v>
      </c>
      <c r="AF1" s="440" t="s">
        <v>1346</v>
      </c>
      <c r="AG1" s="440" t="s">
        <v>1347</v>
      </c>
      <c r="AH1" s="440" t="s">
        <v>1044</v>
      </c>
    </row>
    <row r="2" spans="1:34" s="440" customFormat="1">
      <c r="A2" s="441"/>
    </row>
    <row r="3" spans="1:34" s="444" customFormat="1">
      <c r="A3" s="442" t="s">
        <v>1101</v>
      </c>
      <c r="B3" s="443">
        <f>B6</f>
        <v>-26694.672289999999</v>
      </c>
      <c r="C3" s="443">
        <f t="shared" ref="C3:O3" si="0">C6</f>
        <v>-26841.122059999998</v>
      </c>
      <c r="D3" s="443">
        <f t="shared" si="0"/>
        <v>-27238.406489999998</v>
      </c>
      <c r="E3" s="443">
        <f t="shared" si="0"/>
        <v>-27670.47149</v>
      </c>
      <c r="F3" s="443">
        <f t="shared" si="0"/>
        <v>-28314.107350000002</v>
      </c>
      <c r="G3" s="443">
        <f t="shared" si="0"/>
        <v>-29110.393980000001</v>
      </c>
      <c r="H3" s="443">
        <f t="shared" si="0"/>
        <v>-29966.2111</v>
      </c>
      <c r="I3" s="443">
        <f t="shared" si="0"/>
        <v>-29996.75763</v>
      </c>
      <c r="J3" s="443">
        <f t="shared" si="0"/>
        <v>-30871.547380078599</v>
      </c>
      <c r="K3" s="443">
        <f t="shared" si="0"/>
        <v>-31662.306322728771</v>
      </c>
      <c r="L3" s="443">
        <f t="shared" si="0"/>
        <v>-32450.696801586684</v>
      </c>
      <c r="M3" s="443">
        <f t="shared" si="0"/>
        <v>-33235.488613447102</v>
      </c>
      <c r="N3" s="443">
        <f t="shared" si="0"/>
        <v>0</v>
      </c>
      <c r="O3" s="443">
        <f t="shared" si="0"/>
        <v>-35145.796846129546</v>
      </c>
      <c r="P3" s="444">
        <f>-36037.0470038453*1000</f>
        <v>-36037047.003845297</v>
      </c>
      <c r="Q3" s="443">
        <f t="shared" ref="Q3:AG3" si="1">Q6</f>
        <v>-36957.161770187362</v>
      </c>
      <c r="R3" s="443">
        <f t="shared" si="1"/>
        <v>-37851.768456948019</v>
      </c>
      <c r="S3" s="443">
        <f t="shared" si="1"/>
        <v>-38758.773851312653</v>
      </c>
      <c r="T3" s="443">
        <f t="shared" si="1"/>
        <v>-39674.282414241032</v>
      </c>
      <c r="U3" s="443">
        <f t="shared" si="1"/>
        <v>-3595.599455457123</v>
      </c>
      <c r="V3" s="443">
        <f t="shared" si="1"/>
        <v>-4184.6408460810189</v>
      </c>
      <c r="W3" s="443">
        <f t="shared" si="1"/>
        <v>-4750.790788674738</v>
      </c>
      <c r="X3" s="443">
        <f t="shared" si="1"/>
        <v>-5305.3575211893558</v>
      </c>
      <c r="Y3" s="443">
        <f t="shared" si="1"/>
        <v>-5850.944403914179</v>
      </c>
      <c r="Z3" s="443">
        <f t="shared" si="1"/>
        <v>-6344.875389283894</v>
      </c>
      <c r="AA3" s="443">
        <f t="shared" si="1"/>
        <v>0</v>
      </c>
      <c r="AB3" s="443">
        <f t="shared" si="1"/>
        <v>-6970.0321750154808</v>
      </c>
      <c r="AC3" s="443">
        <f t="shared" si="1"/>
        <v>-7594.8842407949196</v>
      </c>
      <c r="AD3" s="443">
        <f t="shared" si="1"/>
        <v>-8217.9958606976506</v>
      </c>
      <c r="AE3" s="443">
        <f t="shared" si="1"/>
        <v>-8842.5645241192342</v>
      </c>
      <c r="AF3" s="443">
        <f t="shared" si="1"/>
        <v>-9471.2627439742391</v>
      </c>
      <c r="AG3" s="443">
        <f t="shared" si="1"/>
        <v>-10097.534377484113</v>
      </c>
      <c r="AH3" s="444">
        <f>SUM(U3:Z3,AB3:AG3)/13*1000</f>
        <v>-6248190.948206611</v>
      </c>
    </row>
    <row r="4" spans="1:34">
      <c r="AH4" s="446"/>
    </row>
    <row r="5" spans="1:34" s="444" customFormat="1">
      <c r="A5" s="442" t="s">
        <v>1101</v>
      </c>
      <c r="B5" s="443">
        <v>-26694672.289999999</v>
      </c>
      <c r="C5" s="443">
        <v>-26841122.059999999</v>
      </c>
      <c r="D5" s="443">
        <v>-27238406.489999998</v>
      </c>
      <c r="E5" s="443">
        <v>-27670471.489999998</v>
      </c>
      <c r="F5" s="443">
        <v>-28314107.350000001</v>
      </c>
      <c r="G5" s="443">
        <v>-29110393.98</v>
      </c>
      <c r="H5" s="443">
        <v>-29966211.100000001</v>
      </c>
      <c r="I5" s="443">
        <v>-29996757.629999999</v>
      </c>
      <c r="J5" s="444">
        <v>-30871547.380078599</v>
      </c>
      <c r="K5" s="444">
        <v>-31662306.322728772</v>
      </c>
      <c r="L5" s="444">
        <v>-32450696.801586684</v>
      </c>
      <c r="M5" s="444">
        <v>-33235488.6134471</v>
      </c>
      <c r="O5" s="444">
        <v>-35145796.846129544</v>
      </c>
      <c r="P5" s="444">
        <v>-36037047.003845274</v>
      </c>
      <c r="Q5" s="444">
        <v>-36957161.770187363</v>
      </c>
      <c r="R5" s="444">
        <v>-37851768.45694802</v>
      </c>
      <c r="S5" s="444">
        <v>-38758773.851312652</v>
      </c>
      <c r="T5" s="444">
        <v>-39674282.414241031</v>
      </c>
      <c r="U5" s="444">
        <v>-3595599.455457123</v>
      </c>
      <c r="V5" s="444">
        <v>-4184640.8460810189</v>
      </c>
      <c r="W5" s="444">
        <v>-4750790.7886747383</v>
      </c>
      <c r="X5" s="444">
        <v>-5305357.5211893562</v>
      </c>
      <c r="Y5" s="444">
        <v>-5850944.4039141787</v>
      </c>
      <c r="Z5" s="444">
        <v>-6344875.3892838936</v>
      </c>
      <c r="AB5" s="444">
        <v>-6970032.1750154812</v>
      </c>
      <c r="AC5" s="444">
        <v>-7594884.2407949194</v>
      </c>
      <c r="AD5" s="444">
        <v>-8217995.8606976513</v>
      </c>
      <c r="AE5" s="444">
        <v>-8842564.5241192337</v>
      </c>
      <c r="AF5" s="444">
        <v>-9471262.7439742386</v>
      </c>
      <c r="AG5" s="444">
        <v>-10097534.377484113</v>
      </c>
    </row>
    <row r="6" spans="1:34" s="444" customFormat="1">
      <c r="A6" s="442"/>
      <c r="B6" s="443">
        <f>B5/1000</f>
        <v>-26694.672289999999</v>
      </c>
      <c r="C6" s="443">
        <f t="shared" ref="C6:AG6" si="2">C5/1000</f>
        <v>-26841.122059999998</v>
      </c>
      <c r="D6" s="443">
        <f t="shared" si="2"/>
        <v>-27238.406489999998</v>
      </c>
      <c r="E6" s="443">
        <f t="shared" si="2"/>
        <v>-27670.47149</v>
      </c>
      <c r="F6" s="443">
        <f t="shared" si="2"/>
        <v>-28314.107350000002</v>
      </c>
      <c r="G6" s="443">
        <f t="shared" si="2"/>
        <v>-29110.393980000001</v>
      </c>
      <c r="H6" s="443">
        <f t="shared" si="2"/>
        <v>-29966.2111</v>
      </c>
      <c r="I6" s="443">
        <f t="shared" si="2"/>
        <v>-29996.75763</v>
      </c>
      <c r="J6" s="444">
        <f t="shared" si="2"/>
        <v>-30871.547380078599</v>
      </c>
      <c r="K6" s="444">
        <f t="shared" si="2"/>
        <v>-31662.306322728771</v>
      </c>
      <c r="L6" s="444">
        <f t="shared" si="2"/>
        <v>-32450.696801586684</v>
      </c>
      <c r="M6" s="444">
        <f t="shared" si="2"/>
        <v>-33235.488613447102</v>
      </c>
      <c r="N6" s="444">
        <f t="shared" si="2"/>
        <v>0</v>
      </c>
      <c r="O6" s="444">
        <f t="shared" si="2"/>
        <v>-35145.796846129546</v>
      </c>
      <c r="P6" s="444">
        <f t="shared" si="2"/>
        <v>-36037.047003845277</v>
      </c>
      <c r="Q6" s="444">
        <f t="shared" si="2"/>
        <v>-36957.161770187362</v>
      </c>
      <c r="R6" s="444">
        <f t="shared" si="2"/>
        <v>-37851.768456948019</v>
      </c>
      <c r="S6" s="444">
        <f t="shared" si="2"/>
        <v>-38758.773851312653</v>
      </c>
      <c r="T6" s="444">
        <f t="shared" si="2"/>
        <v>-39674.282414241032</v>
      </c>
      <c r="U6" s="444">
        <f t="shared" si="2"/>
        <v>-3595.599455457123</v>
      </c>
      <c r="V6" s="444">
        <f t="shared" si="2"/>
        <v>-4184.6408460810189</v>
      </c>
      <c r="W6" s="444">
        <f t="shared" si="2"/>
        <v>-4750.790788674738</v>
      </c>
      <c r="X6" s="444">
        <f t="shared" si="2"/>
        <v>-5305.3575211893558</v>
      </c>
      <c r="Y6" s="444">
        <f t="shared" si="2"/>
        <v>-5850.944403914179</v>
      </c>
      <c r="Z6" s="444">
        <f t="shared" si="2"/>
        <v>-6344.875389283894</v>
      </c>
      <c r="AA6" s="444">
        <f t="shared" si="2"/>
        <v>0</v>
      </c>
      <c r="AB6" s="444">
        <f t="shared" si="2"/>
        <v>-6970.0321750154808</v>
      </c>
      <c r="AC6" s="444">
        <f t="shared" si="2"/>
        <v>-7594.8842407949196</v>
      </c>
      <c r="AD6" s="444">
        <f t="shared" si="2"/>
        <v>-8217.9958606976506</v>
      </c>
      <c r="AE6" s="444">
        <f t="shared" si="2"/>
        <v>-8842.5645241192342</v>
      </c>
      <c r="AF6" s="444">
        <f t="shared" si="2"/>
        <v>-9471.2627439742391</v>
      </c>
      <c r="AG6" s="444">
        <f t="shared" si="2"/>
        <v>-10097.534377484113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R273"/>
  <sheetViews>
    <sheetView topLeftCell="A67" zoomScale="85" zoomScaleNormal="85" workbookViewId="0">
      <selection activeCell="J100" sqref="J100"/>
    </sheetView>
  </sheetViews>
  <sheetFormatPr defaultColWidth="9" defaultRowHeight="15.75"/>
  <cols>
    <col min="1" max="2" width="9" style="185"/>
    <col min="3" max="3" width="1.6640625" style="185" customWidth="1"/>
    <col min="4" max="4" width="63" style="185" bestFit="1" customWidth="1"/>
    <col min="5" max="5" width="1.6640625" style="185" customWidth="1"/>
    <col min="6" max="6" width="10.109375" style="185" bestFit="1" customWidth="1"/>
    <col min="7" max="7" width="1.6640625" style="185" customWidth="1"/>
    <col min="8" max="8" width="14.33203125" style="185" bestFit="1" customWidth="1"/>
    <col min="9" max="9" width="1.6640625" style="185" customWidth="1"/>
    <col min="10" max="10" width="11.88671875" style="185" bestFit="1" customWidth="1"/>
    <col min="11" max="11" width="1.6640625" style="185" customWidth="1"/>
    <col min="12" max="12" width="11.109375" style="185" bestFit="1" customWidth="1"/>
    <col min="13" max="13" width="1.6640625" style="185" customWidth="1"/>
    <col min="14" max="14" width="10.44140625" style="185" bestFit="1" customWidth="1"/>
    <col min="15" max="15" width="1.6640625" style="185" customWidth="1"/>
    <col min="16" max="16" width="11.33203125" style="185" bestFit="1" customWidth="1"/>
    <col min="17" max="17" width="1.6640625" style="185" customWidth="1"/>
    <col min="18" max="18" width="13.109375" style="185" bestFit="1" customWidth="1"/>
    <col min="19" max="16384" width="9" style="185"/>
  </cols>
  <sheetData>
    <row r="1" spans="1:18">
      <c r="B1" s="502" t="s">
        <v>434</v>
      </c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</row>
    <row r="2" spans="1:18">
      <c r="B2" s="502" t="s">
        <v>665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</row>
    <row r="3" spans="1:18"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7"/>
      <c r="P3" s="188"/>
      <c r="Q3" s="188"/>
      <c r="R3" s="188"/>
    </row>
    <row r="4" spans="1:18"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7"/>
      <c r="P4" s="188"/>
      <c r="Q4" s="188"/>
      <c r="R4" s="188"/>
    </row>
    <row r="5" spans="1:18"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</row>
    <row r="6" spans="1:18">
      <c r="B6" s="502" t="s">
        <v>209</v>
      </c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</row>
    <row r="7" spans="1:18">
      <c r="B7" s="186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7"/>
      <c r="P7" s="188"/>
      <c r="Q7" s="188"/>
      <c r="R7" s="188"/>
    </row>
    <row r="8" spans="1:18">
      <c r="B8" s="189"/>
      <c r="C8" s="190"/>
      <c r="D8" s="190"/>
      <c r="E8" s="190"/>
      <c r="F8" s="191"/>
      <c r="G8" s="190"/>
      <c r="H8" s="348" t="s">
        <v>666</v>
      </c>
      <c r="I8" s="188"/>
      <c r="J8" s="192" t="s">
        <v>210</v>
      </c>
      <c r="K8" s="193"/>
      <c r="L8" s="192" t="s">
        <v>211</v>
      </c>
      <c r="M8" s="193"/>
      <c r="N8" s="192" t="s">
        <v>212</v>
      </c>
      <c r="O8" s="194"/>
      <c r="P8" s="188"/>
      <c r="Q8" s="188"/>
      <c r="R8" s="188"/>
    </row>
    <row r="9" spans="1:18">
      <c r="B9" s="195"/>
      <c r="C9" s="196"/>
      <c r="D9" s="197"/>
      <c r="E9" s="348"/>
      <c r="F9" s="198" t="s">
        <v>213</v>
      </c>
      <c r="G9" s="348"/>
      <c r="H9" s="348" t="s">
        <v>214</v>
      </c>
      <c r="I9" s="199"/>
      <c r="J9" s="192" t="s">
        <v>215</v>
      </c>
      <c r="K9" s="193"/>
      <c r="L9" s="192" t="s">
        <v>216</v>
      </c>
      <c r="M9" s="193"/>
      <c r="N9" s="192" t="s">
        <v>217</v>
      </c>
      <c r="O9" s="194"/>
      <c r="P9" s="188"/>
      <c r="Q9" s="188"/>
      <c r="R9" s="200" t="s">
        <v>218</v>
      </c>
    </row>
    <row r="10" spans="1:18">
      <c r="B10" s="195"/>
      <c r="C10" s="196"/>
      <c r="D10" s="348"/>
      <c r="E10" s="348"/>
      <c r="F10" s="198" t="s">
        <v>217</v>
      </c>
      <c r="G10" s="348"/>
      <c r="H10" s="201" t="s">
        <v>219</v>
      </c>
      <c r="I10" s="199"/>
      <c r="J10" s="200" t="s">
        <v>219</v>
      </c>
      <c r="K10" s="202"/>
      <c r="L10" s="200" t="s">
        <v>219</v>
      </c>
      <c r="M10" s="202"/>
      <c r="N10" s="200" t="s">
        <v>219</v>
      </c>
      <c r="O10" s="200"/>
      <c r="P10" s="200" t="s">
        <v>220</v>
      </c>
      <c r="Q10" s="200"/>
      <c r="R10" s="200" t="s">
        <v>221</v>
      </c>
    </row>
    <row r="11" spans="1:18">
      <c r="A11" s="503" t="s">
        <v>222</v>
      </c>
      <c r="B11" s="503"/>
      <c r="C11" s="503"/>
      <c r="D11" s="503"/>
      <c r="E11" s="348"/>
      <c r="F11" s="204" t="s">
        <v>223</v>
      </c>
      <c r="G11" s="348"/>
      <c r="H11" s="205" t="s">
        <v>224</v>
      </c>
      <c r="I11" s="199"/>
      <c r="J11" s="203" t="s">
        <v>224</v>
      </c>
      <c r="K11" s="193"/>
      <c r="L11" s="203" t="s">
        <v>224</v>
      </c>
      <c r="M11" s="193"/>
      <c r="N11" s="203" t="s">
        <v>224</v>
      </c>
      <c r="O11" s="200"/>
      <c r="P11" s="206" t="s">
        <v>225</v>
      </c>
      <c r="Q11" s="194"/>
      <c r="R11" s="203" t="s">
        <v>226</v>
      </c>
    </row>
    <row r="12" spans="1:18">
      <c r="B12" s="195"/>
      <c r="C12" s="196"/>
      <c r="D12" s="207"/>
      <c r="E12" s="207"/>
      <c r="F12" s="198"/>
      <c r="G12" s="207"/>
      <c r="H12" s="207"/>
      <c r="I12" s="188"/>
      <c r="J12" s="207"/>
      <c r="K12" s="188"/>
      <c r="L12" s="207"/>
      <c r="M12" s="188"/>
      <c r="N12" s="207"/>
      <c r="O12" s="208"/>
      <c r="P12" s="188"/>
      <c r="Q12" s="188"/>
      <c r="R12" s="188"/>
    </row>
    <row r="13" spans="1:18">
      <c r="B13" s="195"/>
      <c r="C13" s="188"/>
      <c r="D13" s="209" t="s">
        <v>227</v>
      </c>
      <c r="E13" s="188"/>
      <c r="F13" s="191"/>
      <c r="G13" s="188"/>
      <c r="H13" s="210"/>
      <c r="I13" s="188"/>
      <c r="J13" s="211"/>
      <c r="K13" s="188"/>
      <c r="L13" s="211"/>
      <c r="M13" s="188"/>
      <c r="N13" s="211"/>
      <c r="O13" s="212"/>
      <c r="P13" s="188"/>
      <c r="Q13" s="188"/>
      <c r="R13" s="188"/>
    </row>
    <row r="14" spans="1:18">
      <c r="B14" s="195"/>
      <c r="C14" s="188"/>
      <c r="D14" s="188"/>
      <c r="E14" s="188"/>
      <c r="F14" s="191"/>
      <c r="G14" s="188"/>
      <c r="H14" s="210"/>
      <c r="I14" s="188"/>
      <c r="J14" s="188"/>
      <c r="K14" s="188"/>
      <c r="L14" s="188"/>
      <c r="M14" s="188"/>
      <c r="N14" s="188"/>
      <c r="O14" s="188"/>
      <c r="P14" s="188"/>
      <c r="Q14" s="188"/>
      <c r="R14" s="188"/>
    </row>
    <row r="15" spans="1:18">
      <c r="B15" s="195"/>
      <c r="C15" s="188"/>
      <c r="D15" s="205" t="s">
        <v>118</v>
      </c>
      <c r="E15" s="188"/>
      <c r="F15" s="191"/>
      <c r="G15" s="188"/>
      <c r="H15" s="210"/>
      <c r="I15" s="188"/>
      <c r="J15" s="188"/>
      <c r="K15" s="188"/>
      <c r="L15" s="188"/>
      <c r="M15" s="188"/>
      <c r="N15" s="188"/>
      <c r="O15" s="188"/>
      <c r="P15" s="188"/>
      <c r="Q15" s="188"/>
      <c r="R15" s="188"/>
    </row>
    <row r="16" spans="1:18">
      <c r="B16" s="195"/>
      <c r="C16" s="188"/>
      <c r="D16" s="197"/>
      <c r="E16" s="188"/>
      <c r="F16" s="191"/>
      <c r="G16" s="188"/>
      <c r="H16" s="210"/>
      <c r="I16" s="188"/>
      <c r="J16" s="188"/>
      <c r="K16" s="188"/>
      <c r="L16" s="188"/>
      <c r="M16" s="188"/>
      <c r="N16" s="188"/>
      <c r="O16" s="188"/>
      <c r="P16" s="188"/>
      <c r="Q16" s="188"/>
      <c r="R16" s="188"/>
    </row>
    <row r="17" spans="1:18">
      <c r="A17" s="185">
        <v>302</v>
      </c>
      <c r="B17" s="210"/>
      <c r="C17" s="188"/>
      <c r="D17" s="213" t="s">
        <v>667</v>
      </c>
      <c r="E17" s="188"/>
      <c r="F17" s="430">
        <v>0</v>
      </c>
      <c r="G17" s="188"/>
      <c r="H17" s="210">
        <v>10.580918217244315</v>
      </c>
      <c r="I17" s="188"/>
      <c r="J17" s="210">
        <v>10.580918217244315</v>
      </c>
      <c r="K17" s="213"/>
      <c r="L17" s="214">
        <v>0</v>
      </c>
      <c r="M17" s="213"/>
      <c r="N17" s="214">
        <v>0</v>
      </c>
      <c r="O17" s="215"/>
      <c r="P17" s="216" t="s">
        <v>228</v>
      </c>
      <c r="Q17" s="217"/>
      <c r="R17" s="218">
        <v>0</v>
      </c>
    </row>
    <row r="18" spans="1:18">
      <c r="B18" s="195"/>
      <c r="C18" s="188"/>
      <c r="D18" s="196"/>
      <c r="E18" s="188"/>
      <c r="F18" s="191"/>
      <c r="G18" s="188"/>
      <c r="H18" s="210"/>
      <c r="I18" s="188"/>
      <c r="J18" s="188"/>
      <c r="K18" s="188"/>
      <c r="L18" s="188"/>
      <c r="M18" s="188"/>
      <c r="N18" s="188"/>
      <c r="O18" s="188"/>
      <c r="P18" s="188"/>
      <c r="Q18" s="188"/>
      <c r="R18" s="188"/>
    </row>
    <row r="19" spans="1:18">
      <c r="B19" s="195"/>
      <c r="C19" s="188"/>
      <c r="D19" s="219" t="s">
        <v>232</v>
      </c>
      <c r="E19" s="188"/>
      <c r="F19" s="191"/>
      <c r="G19" s="188"/>
      <c r="H19" s="220"/>
      <c r="I19" s="196"/>
      <c r="J19" s="221"/>
      <c r="K19" s="196"/>
      <c r="L19" s="221"/>
      <c r="M19" s="196"/>
      <c r="N19" s="221"/>
      <c r="O19" s="222"/>
      <c r="P19" s="188"/>
      <c r="Q19" s="188"/>
      <c r="R19" s="188"/>
    </row>
    <row r="20" spans="1:18">
      <c r="B20" s="195"/>
      <c r="C20" s="188"/>
      <c r="D20" s="219"/>
      <c r="E20" s="188"/>
      <c r="F20" s="191"/>
      <c r="G20" s="188"/>
      <c r="H20" s="210"/>
      <c r="I20" s="188"/>
      <c r="J20" s="188"/>
      <c r="K20" s="188"/>
      <c r="L20" s="188"/>
      <c r="M20" s="188"/>
      <c r="N20" s="188"/>
      <c r="O20" s="188"/>
      <c r="P20" s="188"/>
      <c r="Q20" s="188"/>
      <c r="R20" s="188"/>
    </row>
    <row r="21" spans="1:18">
      <c r="B21" s="195"/>
      <c r="C21" s="188"/>
      <c r="D21" s="188"/>
      <c r="E21" s="188"/>
      <c r="F21" s="191"/>
      <c r="G21" s="188"/>
      <c r="H21" s="210"/>
      <c r="I21" s="188"/>
      <c r="J21" s="188"/>
      <c r="K21" s="188"/>
      <c r="L21" s="188"/>
      <c r="M21" s="188"/>
      <c r="N21" s="188"/>
      <c r="O21" s="188"/>
      <c r="P21" s="188"/>
      <c r="Q21" s="188"/>
      <c r="R21" s="188"/>
    </row>
    <row r="22" spans="1:18">
      <c r="B22" s="195"/>
      <c r="C22" s="188"/>
      <c r="D22" s="197" t="s">
        <v>668</v>
      </c>
      <c r="E22" s="188"/>
      <c r="F22" s="191"/>
      <c r="G22" s="188"/>
      <c r="H22" s="210"/>
      <c r="I22" s="188"/>
      <c r="J22" s="188"/>
      <c r="K22" s="188"/>
      <c r="L22" s="188"/>
      <c r="M22" s="188"/>
      <c r="N22" s="188"/>
      <c r="O22" s="188"/>
      <c r="P22" s="188"/>
      <c r="Q22" s="188"/>
      <c r="R22" s="188"/>
    </row>
    <row r="23" spans="1:18">
      <c r="B23" s="195"/>
      <c r="C23" s="188"/>
      <c r="D23" s="223"/>
      <c r="E23" s="188"/>
      <c r="F23" s="191"/>
      <c r="G23" s="188"/>
      <c r="H23" s="210"/>
      <c r="I23" s="188"/>
      <c r="J23" s="188"/>
      <c r="K23" s="188"/>
      <c r="L23" s="188"/>
      <c r="M23" s="188"/>
      <c r="N23" s="188"/>
      <c r="O23" s="188"/>
      <c r="P23" s="188"/>
      <c r="Q23" s="188"/>
      <c r="R23" s="188"/>
    </row>
    <row r="24" spans="1:18">
      <c r="A24" s="185">
        <v>350</v>
      </c>
      <c r="B24" s="210">
        <v>350.2</v>
      </c>
      <c r="C24" s="188"/>
      <c r="D24" s="213" t="s">
        <v>669</v>
      </c>
      <c r="E24" s="188"/>
      <c r="F24" s="430">
        <v>0</v>
      </c>
      <c r="G24" s="188"/>
      <c r="H24" s="210">
        <v>0.55640625982143344</v>
      </c>
      <c r="I24" s="188"/>
      <c r="J24" s="210">
        <v>0.55640625982143344</v>
      </c>
      <c r="K24" s="213"/>
      <c r="L24" s="214">
        <v>0</v>
      </c>
      <c r="M24" s="213"/>
      <c r="N24" s="214">
        <v>0</v>
      </c>
      <c r="O24" s="215"/>
      <c r="P24" s="216" t="s">
        <v>243</v>
      </c>
      <c r="Q24" s="217"/>
      <c r="R24" s="199">
        <v>47.3</v>
      </c>
    </row>
    <row r="25" spans="1:18">
      <c r="B25" s="210">
        <v>351.2</v>
      </c>
      <c r="C25" s="188"/>
      <c r="D25" s="213" t="s">
        <v>670</v>
      </c>
      <c r="E25" s="188"/>
      <c r="F25" s="430">
        <v>-0.1</v>
      </c>
      <c r="G25" s="188"/>
      <c r="H25" s="210">
        <v>2.0084318946733215</v>
      </c>
      <c r="I25" s="188"/>
      <c r="J25" s="210">
        <v>1.8284318946733216</v>
      </c>
      <c r="K25" s="213"/>
      <c r="L25" s="214">
        <v>0.18</v>
      </c>
      <c r="M25" s="213"/>
      <c r="N25" s="214">
        <v>0</v>
      </c>
      <c r="O25" s="215"/>
      <c r="P25" s="216" t="s">
        <v>671</v>
      </c>
      <c r="Q25" s="217"/>
      <c r="R25" s="199">
        <v>46.2</v>
      </c>
    </row>
    <row r="26" spans="1:18">
      <c r="B26" s="210">
        <v>351.3</v>
      </c>
      <c r="C26" s="188"/>
      <c r="D26" s="213" t="s">
        <v>672</v>
      </c>
      <c r="E26" s="188"/>
      <c r="F26" s="430">
        <v>-0.05</v>
      </c>
      <c r="G26" s="188"/>
      <c r="H26" s="210">
        <v>1.1371996714488375</v>
      </c>
      <c r="I26" s="188"/>
      <c r="J26" s="210">
        <v>1.0871996714488374</v>
      </c>
      <c r="K26" s="213"/>
      <c r="L26" s="214">
        <v>0.05</v>
      </c>
      <c r="M26" s="213"/>
      <c r="N26" s="214">
        <v>0</v>
      </c>
      <c r="O26" s="215"/>
      <c r="P26" s="216" t="s">
        <v>673</v>
      </c>
      <c r="Q26" s="217"/>
      <c r="R26" s="199">
        <v>53.5</v>
      </c>
    </row>
    <row r="27" spans="1:18">
      <c r="B27" s="210">
        <v>351.4</v>
      </c>
      <c r="C27" s="188"/>
      <c r="D27" s="213" t="s">
        <v>674</v>
      </c>
      <c r="E27" s="188"/>
      <c r="F27" s="430">
        <v>-0.1</v>
      </c>
      <c r="G27" s="188"/>
      <c r="H27" s="210">
        <v>1.8241249342329655</v>
      </c>
      <c r="I27" s="188"/>
      <c r="J27" s="210">
        <v>1.6541249342329656</v>
      </c>
      <c r="K27" s="213"/>
      <c r="L27" s="214">
        <v>0.17</v>
      </c>
      <c r="M27" s="213"/>
      <c r="N27" s="214">
        <v>0</v>
      </c>
      <c r="O27" s="215"/>
      <c r="P27" s="216" t="s">
        <v>675</v>
      </c>
      <c r="Q27" s="217"/>
      <c r="R27" s="199">
        <v>43.7</v>
      </c>
    </row>
    <row r="28" spans="1:18">
      <c r="A28" s="185">
        <v>352.1</v>
      </c>
      <c r="B28" s="210">
        <v>352.1</v>
      </c>
      <c r="C28" s="188"/>
      <c r="D28" s="213" t="s">
        <v>676</v>
      </c>
      <c r="E28" s="188"/>
      <c r="F28" s="430">
        <v>0</v>
      </c>
      <c r="G28" s="188"/>
      <c r="H28" s="224" t="s">
        <v>677</v>
      </c>
      <c r="I28" s="188"/>
      <c r="J28" s="210">
        <v>0</v>
      </c>
      <c r="K28" s="213"/>
      <c r="L28" s="214">
        <v>0</v>
      </c>
      <c r="M28" s="213"/>
      <c r="N28" s="214">
        <v>0</v>
      </c>
      <c r="O28" s="215"/>
      <c r="P28" s="216" t="s">
        <v>242</v>
      </c>
      <c r="Q28" s="217"/>
      <c r="R28" s="218">
        <v>0</v>
      </c>
    </row>
    <row r="29" spans="1:18">
      <c r="A29" s="185">
        <v>352.2</v>
      </c>
      <c r="B29" s="210">
        <v>352.2</v>
      </c>
      <c r="C29" s="188"/>
      <c r="D29" s="213" t="s">
        <v>678</v>
      </c>
      <c r="E29" s="188"/>
      <c r="F29" s="430">
        <v>0</v>
      </c>
      <c r="G29" s="188"/>
      <c r="H29" s="224" t="s">
        <v>677</v>
      </c>
      <c r="I29" s="188"/>
      <c r="J29" s="210">
        <v>0</v>
      </c>
      <c r="K29" s="213"/>
      <c r="L29" s="214">
        <v>0</v>
      </c>
      <c r="M29" s="213"/>
      <c r="N29" s="214">
        <v>0</v>
      </c>
      <c r="O29" s="215"/>
      <c r="P29" s="216" t="s">
        <v>235</v>
      </c>
      <c r="Q29" s="217"/>
      <c r="R29" s="218">
        <v>0</v>
      </c>
    </row>
    <row r="30" spans="1:18">
      <c r="A30" s="185">
        <v>352.3</v>
      </c>
      <c r="B30" s="210">
        <v>352.3</v>
      </c>
      <c r="C30" s="188"/>
      <c r="D30" s="213" t="s">
        <v>679</v>
      </c>
      <c r="E30" s="188"/>
      <c r="F30" s="430">
        <v>0</v>
      </c>
      <c r="G30" s="188"/>
      <c r="H30" s="210">
        <v>0.83382950619529472</v>
      </c>
      <c r="I30" s="188"/>
      <c r="J30" s="210">
        <v>0.83382950619529472</v>
      </c>
      <c r="K30" s="213"/>
      <c r="L30" s="214">
        <v>0</v>
      </c>
      <c r="M30" s="213"/>
      <c r="N30" s="214">
        <v>0</v>
      </c>
      <c r="O30" s="215"/>
      <c r="P30" s="216" t="s">
        <v>680</v>
      </c>
      <c r="Q30" s="217"/>
      <c r="R30" s="199">
        <v>23.3</v>
      </c>
    </row>
    <row r="31" spans="1:18">
      <c r="B31" s="210">
        <v>352.4</v>
      </c>
      <c r="C31" s="188"/>
      <c r="D31" s="213" t="s">
        <v>681</v>
      </c>
      <c r="E31" s="188"/>
      <c r="F31" s="430">
        <v>-0.2</v>
      </c>
      <c r="G31" s="188"/>
      <c r="H31" s="210">
        <v>0.71814558839531584</v>
      </c>
      <c r="I31" s="188"/>
      <c r="J31" s="210">
        <v>0.59814558839531584</v>
      </c>
      <c r="K31" s="213"/>
      <c r="L31" s="214">
        <v>0.13</v>
      </c>
      <c r="M31" s="213"/>
      <c r="N31" s="214">
        <v>-0.01</v>
      </c>
      <c r="O31" s="215"/>
      <c r="P31" s="216" t="s">
        <v>682</v>
      </c>
      <c r="Q31" s="217"/>
      <c r="R31" s="199">
        <v>34.4</v>
      </c>
    </row>
    <row r="32" spans="1:18">
      <c r="B32" s="210">
        <v>352.5</v>
      </c>
      <c r="C32" s="188"/>
      <c r="D32" s="213" t="s">
        <v>683</v>
      </c>
      <c r="E32" s="188"/>
      <c r="F32" s="430">
        <v>-0.2</v>
      </c>
      <c r="G32" s="188"/>
      <c r="H32" s="210">
        <v>2.7008395403055672</v>
      </c>
      <c r="I32" s="188"/>
      <c r="J32" s="210">
        <v>2.250839540305567</v>
      </c>
      <c r="K32" s="213"/>
      <c r="L32" s="214">
        <v>0.52</v>
      </c>
      <c r="M32" s="213"/>
      <c r="N32" s="214">
        <v>-7.0000000000000007E-2</v>
      </c>
      <c r="O32" s="215"/>
      <c r="P32" s="216" t="s">
        <v>684</v>
      </c>
      <c r="Q32" s="217"/>
      <c r="R32" s="199">
        <v>35.4</v>
      </c>
    </row>
    <row r="33" spans="1:18">
      <c r="A33" s="185">
        <v>353</v>
      </c>
      <c r="B33" s="210"/>
      <c r="C33" s="188"/>
      <c r="D33" s="213" t="s">
        <v>685</v>
      </c>
      <c r="E33" s="188"/>
      <c r="F33" s="430">
        <v>-0.1</v>
      </c>
      <c r="G33" s="188"/>
      <c r="H33" s="210">
        <v>1.8241275611174581</v>
      </c>
      <c r="I33" s="188"/>
      <c r="J33" s="210">
        <v>1.6641275611174582</v>
      </c>
      <c r="K33" s="213"/>
      <c r="L33" s="214">
        <v>0.18</v>
      </c>
      <c r="M33" s="213"/>
      <c r="N33" s="214">
        <v>-0.02</v>
      </c>
      <c r="O33" s="215"/>
      <c r="P33" s="216" t="s">
        <v>686</v>
      </c>
      <c r="Q33" s="217"/>
      <c r="R33" s="199">
        <v>33.4</v>
      </c>
    </row>
    <row r="34" spans="1:18">
      <c r="A34" s="185">
        <v>354</v>
      </c>
      <c r="B34" s="210"/>
      <c r="C34" s="188"/>
      <c r="D34" s="213" t="s">
        <v>687</v>
      </c>
      <c r="E34" s="188"/>
      <c r="F34" s="430">
        <v>-0.05</v>
      </c>
      <c r="G34" s="188"/>
      <c r="H34" s="210">
        <v>2.3651574103644388</v>
      </c>
      <c r="I34" s="188"/>
      <c r="J34" s="210">
        <v>2.2551574103644385</v>
      </c>
      <c r="K34" s="213"/>
      <c r="L34" s="214">
        <v>0.16</v>
      </c>
      <c r="M34" s="213"/>
      <c r="N34" s="214">
        <v>-0.05</v>
      </c>
      <c r="O34" s="215"/>
      <c r="P34" s="216" t="s">
        <v>688</v>
      </c>
      <c r="Q34" s="217"/>
      <c r="R34" s="199">
        <v>33.299999999999997</v>
      </c>
    </row>
    <row r="35" spans="1:18">
      <c r="A35" s="185">
        <v>355</v>
      </c>
      <c r="B35" s="210"/>
      <c r="C35" s="188"/>
      <c r="D35" s="213" t="s">
        <v>689</v>
      </c>
      <c r="E35" s="188"/>
      <c r="F35" s="430">
        <v>-0.05</v>
      </c>
      <c r="G35" s="188"/>
      <c r="H35" s="210">
        <v>1.5280563336829953</v>
      </c>
      <c r="I35" s="188"/>
      <c r="J35" s="210">
        <v>1.4580563336829953</v>
      </c>
      <c r="K35" s="213"/>
      <c r="L35" s="214">
        <v>0.1</v>
      </c>
      <c r="M35" s="213"/>
      <c r="N35" s="214">
        <v>-0.03</v>
      </c>
      <c r="O35" s="215"/>
      <c r="P35" s="216" t="s">
        <v>690</v>
      </c>
      <c r="Q35" s="217"/>
      <c r="R35" s="199">
        <v>33.4</v>
      </c>
    </row>
    <row r="36" spans="1:18">
      <c r="A36" s="185">
        <v>356</v>
      </c>
      <c r="B36" s="210"/>
      <c r="C36" s="188"/>
      <c r="D36" s="213" t="s">
        <v>691</v>
      </c>
      <c r="E36" s="188"/>
      <c r="F36" s="430">
        <v>-0.15</v>
      </c>
      <c r="G36" s="188"/>
      <c r="H36" s="210">
        <v>1.9691774790336416</v>
      </c>
      <c r="I36" s="188"/>
      <c r="J36" s="210">
        <v>1.7191774790336416</v>
      </c>
      <c r="K36" s="213"/>
      <c r="L36" s="214">
        <v>0.27</v>
      </c>
      <c r="M36" s="213"/>
      <c r="N36" s="214">
        <v>-0.02</v>
      </c>
      <c r="O36" s="215"/>
      <c r="P36" s="216" t="s">
        <v>236</v>
      </c>
      <c r="Q36" s="217"/>
      <c r="R36" s="199">
        <v>35.9</v>
      </c>
    </row>
    <row r="37" spans="1:18">
      <c r="A37" s="185">
        <v>357</v>
      </c>
      <c r="B37" s="210"/>
      <c r="C37" s="188"/>
      <c r="D37" s="225" t="s">
        <v>692</v>
      </c>
      <c r="E37" s="188"/>
      <c r="F37" s="430">
        <v>-0.05</v>
      </c>
      <c r="G37" s="188"/>
      <c r="H37" s="210">
        <v>2.2477727310239706</v>
      </c>
      <c r="I37" s="188"/>
      <c r="J37" s="210">
        <v>2.1377727310239707</v>
      </c>
      <c r="K37" s="213"/>
      <c r="L37" s="214">
        <v>0.13</v>
      </c>
      <c r="M37" s="213"/>
      <c r="N37" s="214">
        <v>-0.02</v>
      </c>
      <c r="O37" s="215"/>
      <c r="P37" s="216" t="s">
        <v>693</v>
      </c>
      <c r="Q37" s="217"/>
      <c r="R37" s="199">
        <v>37.299999999999997</v>
      </c>
    </row>
    <row r="38" spans="1:18">
      <c r="B38" s="210"/>
      <c r="C38" s="188"/>
      <c r="D38" s="188"/>
      <c r="E38" s="188"/>
      <c r="F38" s="191"/>
      <c r="G38" s="188"/>
      <c r="H38" s="210"/>
      <c r="I38" s="188"/>
      <c r="J38" s="211"/>
      <c r="K38" s="188"/>
      <c r="L38" s="211"/>
      <c r="M38" s="188"/>
      <c r="N38" s="211"/>
      <c r="O38" s="212"/>
      <c r="P38" s="188"/>
      <c r="Q38" s="188"/>
      <c r="R38" s="188"/>
    </row>
    <row r="39" spans="1:18">
      <c r="B39" s="210"/>
      <c r="C39" s="188"/>
      <c r="D39" s="219" t="s">
        <v>694</v>
      </c>
      <c r="E39" s="188"/>
      <c r="F39" s="198"/>
      <c r="G39" s="196"/>
      <c r="H39" s="220">
        <v>1.9040726904630074</v>
      </c>
      <c r="I39" s="196"/>
      <c r="J39" s="221"/>
      <c r="K39" s="196"/>
      <c r="L39" s="221"/>
      <c r="M39" s="196"/>
      <c r="N39" s="221"/>
      <c r="O39" s="222"/>
      <c r="P39" s="188"/>
      <c r="Q39" s="188"/>
      <c r="R39" s="188"/>
    </row>
    <row r="40" spans="1:18">
      <c r="B40" s="210"/>
      <c r="C40" s="188"/>
      <c r="D40" s="219"/>
      <c r="E40" s="188"/>
      <c r="F40" s="243"/>
      <c r="G40" s="196"/>
      <c r="H40" s="226"/>
      <c r="I40" s="188"/>
      <c r="J40" s="226"/>
      <c r="K40" s="188"/>
      <c r="L40" s="226"/>
      <c r="M40" s="188"/>
      <c r="N40" s="226"/>
      <c r="O40" s="227"/>
      <c r="P40" s="188"/>
      <c r="Q40" s="188"/>
      <c r="R40" s="188"/>
    </row>
    <row r="41" spans="1:18">
      <c r="B41" s="210">
        <v>351.2</v>
      </c>
      <c r="C41" s="188"/>
      <c r="D41" s="213" t="s">
        <v>670</v>
      </c>
      <c r="E41" s="188"/>
      <c r="F41" s="243">
        <v>-10</v>
      </c>
      <c r="G41" s="188"/>
      <c r="H41" s="210">
        <v>2.0084318946733215</v>
      </c>
      <c r="I41" s="188"/>
      <c r="J41" s="210">
        <v>1.8284318946733216</v>
      </c>
      <c r="K41" s="213"/>
      <c r="L41" s="214">
        <v>0.18</v>
      </c>
      <c r="M41" s="213"/>
      <c r="N41" s="214">
        <v>0</v>
      </c>
      <c r="O41" s="215"/>
      <c r="P41" s="216" t="s">
        <v>671</v>
      </c>
      <c r="Q41" s="217"/>
      <c r="R41" s="199">
        <v>46.2</v>
      </c>
    </row>
    <row r="42" spans="1:18">
      <c r="B42" s="210">
        <v>351.3</v>
      </c>
      <c r="C42" s="188"/>
      <c r="D42" s="213" t="s">
        <v>672</v>
      </c>
      <c r="E42" s="188"/>
      <c r="F42" s="243">
        <v>-5</v>
      </c>
      <c r="G42" s="188"/>
      <c r="H42" s="210">
        <v>1.1371996714488375</v>
      </c>
      <c r="I42" s="188"/>
      <c r="J42" s="210">
        <v>1.0871996714488374</v>
      </c>
      <c r="K42" s="213"/>
      <c r="L42" s="214">
        <v>0.05</v>
      </c>
      <c r="M42" s="213"/>
      <c r="N42" s="214">
        <v>0</v>
      </c>
      <c r="O42" s="215"/>
      <c r="P42" s="216" t="s">
        <v>673</v>
      </c>
      <c r="Q42" s="217"/>
      <c r="R42" s="199">
        <v>53.5</v>
      </c>
    </row>
    <row r="43" spans="1:18">
      <c r="B43" s="210">
        <v>351.4</v>
      </c>
      <c r="C43" s="188"/>
      <c r="D43" s="213" t="s">
        <v>674</v>
      </c>
      <c r="E43" s="188"/>
      <c r="F43" s="243">
        <v>-10</v>
      </c>
      <c r="G43" s="188"/>
      <c r="H43" s="228">
        <v>1.8241249342329655</v>
      </c>
      <c r="I43" s="188"/>
      <c r="J43" s="210">
        <v>1.6541249342329656</v>
      </c>
      <c r="K43" s="213"/>
      <c r="L43" s="214">
        <v>0.17</v>
      </c>
      <c r="M43" s="213"/>
      <c r="N43" s="214">
        <v>0</v>
      </c>
      <c r="O43" s="215"/>
      <c r="P43" s="216" t="s">
        <v>675</v>
      </c>
      <c r="Q43" s="217"/>
      <c r="R43" s="199">
        <v>43.7</v>
      </c>
    </row>
    <row r="44" spans="1:18">
      <c r="A44" s="185">
        <v>351</v>
      </c>
      <c r="B44" s="210"/>
      <c r="C44" s="188"/>
      <c r="D44" s="219"/>
      <c r="E44" s="188"/>
      <c r="F44" s="244" t="s">
        <v>1794</v>
      </c>
      <c r="G44" s="196"/>
      <c r="H44" s="229">
        <f>((108660+377+47900)/(5410190.92+33151.61+2625916.63)*100)</f>
        <v>1.9448749493379762</v>
      </c>
      <c r="I44" s="188"/>
      <c r="J44" s="226"/>
      <c r="K44" s="188"/>
      <c r="L44" s="226"/>
      <c r="M44" s="188"/>
      <c r="N44" s="226"/>
      <c r="O44" s="227"/>
      <c r="P44" s="188" t="s">
        <v>736</v>
      </c>
      <c r="Q44" s="188"/>
      <c r="R44" s="245" t="s">
        <v>735</v>
      </c>
    </row>
    <row r="45" spans="1:18">
      <c r="B45" s="210"/>
      <c r="C45" s="188"/>
      <c r="D45" s="219"/>
      <c r="E45" s="188"/>
      <c r="F45" s="243"/>
      <c r="G45" s="196"/>
      <c r="H45" s="226"/>
      <c r="I45" s="188"/>
      <c r="J45" s="226"/>
      <c r="K45" s="188"/>
      <c r="L45" s="226"/>
      <c r="M45" s="188"/>
      <c r="N45" s="226"/>
      <c r="O45" s="227"/>
      <c r="P45" s="188"/>
      <c r="Q45" s="188"/>
      <c r="R45" s="188"/>
    </row>
    <row r="46" spans="1:18">
      <c r="B46" s="210">
        <v>352.4</v>
      </c>
      <c r="C46" s="188"/>
      <c r="D46" s="213" t="s">
        <v>681</v>
      </c>
      <c r="E46" s="188"/>
      <c r="F46" s="243">
        <v>-20</v>
      </c>
      <c r="G46" s="188"/>
      <c r="H46" s="210">
        <v>0.71814558839531584</v>
      </c>
      <c r="I46" s="188"/>
      <c r="J46" s="210">
        <v>0.59814558839531584</v>
      </c>
      <c r="K46" s="213"/>
      <c r="L46" s="214">
        <v>0.13</v>
      </c>
      <c r="M46" s="213"/>
      <c r="N46" s="214">
        <v>-0.01</v>
      </c>
      <c r="O46" s="215"/>
      <c r="P46" s="216" t="s">
        <v>682</v>
      </c>
      <c r="Q46" s="217"/>
      <c r="R46" s="199">
        <v>34.4</v>
      </c>
    </row>
    <row r="47" spans="1:18">
      <c r="B47" s="210">
        <v>352.5</v>
      </c>
      <c r="C47" s="188"/>
      <c r="D47" s="213" t="s">
        <v>683</v>
      </c>
      <c r="E47" s="188"/>
      <c r="F47" s="243">
        <v>-20</v>
      </c>
      <c r="G47" s="188"/>
      <c r="H47" s="228">
        <v>2.7008395403055672</v>
      </c>
      <c r="I47" s="188"/>
      <c r="J47" s="210">
        <v>2.250839540305567</v>
      </c>
      <c r="K47" s="213"/>
      <c r="L47" s="214">
        <v>0.52</v>
      </c>
      <c r="M47" s="213"/>
      <c r="N47" s="214">
        <v>-7.0000000000000007E-2</v>
      </c>
      <c r="O47" s="215"/>
      <c r="P47" s="216" t="s">
        <v>684</v>
      </c>
      <c r="Q47" s="217"/>
      <c r="R47" s="199">
        <v>35.4</v>
      </c>
    </row>
    <row r="48" spans="1:18">
      <c r="A48" s="185">
        <v>352</v>
      </c>
      <c r="B48" s="210"/>
      <c r="C48" s="188"/>
      <c r="D48" s="219"/>
      <c r="E48" s="188"/>
      <c r="F48" s="430">
        <v>-0.2</v>
      </c>
      <c r="G48" s="196"/>
      <c r="H48" s="229">
        <f>((17808+249929)/(2479720.03+9253752.26)*100)</f>
        <v>2.2818224084287673</v>
      </c>
      <c r="I48" s="188"/>
      <c r="J48" s="226"/>
      <c r="K48" s="188"/>
      <c r="L48" s="226"/>
      <c r="M48" s="188"/>
      <c r="N48" s="226"/>
      <c r="O48" s="227"/>
      <c r="P48" s="188" t="s">
        <v>738</v>
      </c>
      <c r="Q48" s="188"/>
      <c r="R48" s="245" t="s">
        <v>737</v>
      </c>
    </row>
    <row r="49" spans="1:18">
      <c r="B49" s="210"/>
      <c r="C49" s="188"/>
      <c r="D49" s="196"/>
      <c r="E49" s="188"/>
      <c r="F49" s="243"/>
      <c r="G49" s="196"/>
      <c r="H49" s="226"/>
      <c r="I49" s="188"/>
      <c r="J49" s="226"/>
      <c r="K49" s="188"/>
      <c r="L49" s="226"/>
      <c r="M49" s="188"/>
      <c r="N49" s="226"/>
      <c r="O49" s="227"/>
      <c r="P49" s="188"/>
      <c r="Q49" s="188"/>
      <c r="R49" s="188"/>
    </row>
    <row r="50" spans="1:18">
      <c r="B50" s="210"/>
      <c r="C50" s="195"/>
      <c r="D50" s="197" t="s">
        <v>239</v>
      </c>
      <c r="E50" s="195"/>
      <c r="F50" s="243"/>
      <c r="G50" s="195"/>
      <c r="H50" s="226"/>
      <c r="I50" s="195"/>
      <c r="J50" s="226"/>
      <c r="K50" s="195"/>
      <c r="L50" s="226"/>
      <c r="M50" s="195"/>
      <c r="N50" s="226"/>
      <c r="O50" s="227"/>
      <c r="P50" s="188"/>
      <c r="Q50" s="188"/>
      <c r="R50" s="188"/>
    </row>
    <row r="51" spans="1:18">
      <c r="B51" s="210"/>
      <c r="C51" s="188"/>
      <c r="D51" s="223"/>
      <c r="E51" s="188"/>
      <c r="F51" s="243"/>
      <c r="G51" s="188"/>
      <c r="H51" s="226"/>
      <c r="I51" s="188"/>
      <c r="J51" s="226"/>
      <c r="K51" s="188"/>
      <c r="L51" s="226"/>
      <c r="M51" s="188"/>
      <c r="N51" s="226"/>
      <c r="O51" s="227"/>
      <c r="P51" s="188"/>
      <c r="Q51" s="188"/>
      <c r="R51" s="188"/>
    </row>
    <row r="52" spans="1:18">
      <c r="A52" s="185">
        <v>365</v>
      </c>
      <c r="B52" s="210">
        <v>365.2</v>
      </c>
      <c r="C52" s="188"/>
      <c r="D52" s="213" t="s">
        <v>695</v>
      </c>
      <c r="E52" s="188"/>
      <c r="F52" s="430">
        <v>0</v>
      </c>
      <c r="G52" s="188"/>
      <c r="H52" s="210">
        <v>0.16269443741373854</v>
      </c>
      <c r="I52" s="188"/>
      <c r="J52" s="210">
        <v>0.16269443741373854</v>
      </c>
      <c r="K52" s="213"/>
      <c r="L52" s="214">
        <v>0</v>
      </c>
      <c r="M52" s="213"/>
      <c r="N52" s="214">
        <v>0</v>
      </c>
      <c r="O52" s="215"/>
      <c r="P52" s="216" t="s">
        <v>696</v>
      </c>
      <c r="Q52" s="217"/>
      <c r="R52" s="199">
        <v>32.9</v>
      </c>
    </row>
    <row r="53" spans="1:18">
      <c r="A53" s="185">
        <v>367</v>
      </c>
      <c r="B53" s="210">
        <v>367</v>
      </c>
      <c r="C53" s="188"/>
      <c r="D53" s="225" t="s">
        <v>697</v>
      </c>
      <c r="E53" s="188"/>
      <c r="F53" s="430">
        <v>-0.1</v>
      </c>
      <c r="G53" s="188"/>
      <c r="H53" s="210">
        <v>0.78973708826345934</v>
      </c>
      <c r="I53" s="188"/>
      <c r="J53" s="210">
        <v>0.71973708826345939</v>
      </c>
      <c r="K53" s="213"/>
      <c r="L53" s="214">
        <v>0.08</v>
      </c>
      <c r="M53" s="213"/>
      <c r="N53" s="214">
        <v>-0.01</v>
      </c>
      <c r="O53" s="215"/>
      <c r="P53" s="216" t="s">
        <v>698</v>
      </c>
      <c r="Q53" s="217"/>
      <c r="R53" s="199">
        <v>58.4</v>
      </c>
    </row>
    <row r="54" spans="1:18">
      <c r="B54" s="210"/>
      <c r="C54" s="188"/>
      <c r="D54" s="196"/>
      <c r="E54" s="188"/>
      <c r="F54" s="243"/>
      <c r="G54" s="196"/>
      <c r="H54" s="226"/>
      <c r="I54" s="188"/>
      <c r="J54" s="226"/>
      <c r="K54" s="188"/>
      <c r="L54" s="226"/>
      <c r="M54" s="188"/>
      <c r="N54" s="226"/>
      <c r="O54" s="227"/>
      <c r="P54" s="188"/>
      <c r="Q54" s="188"/>
      <c r="R54" s="188"/>
    </row>
    <row r="55" spans="1:18">
      <c r="B55" s="210"/>
      <c r="C55" s="188"/>
      <c r="D55" s="219" t="s">
        <v>240</v>
      </c>
      <c r="E55" s="188"/>
      <c r="F55" s="243"/>
      <c r="G55" s="188"/>
      <c r="H55" s="220">
        <v>0.78247775578227463</v>
      </c>
      <c r="I55" s="196"/>
      <c r="J55" s="221"/>
      <c r="K55" s="196"/>
      <c r="L55" s="221"/>
      <c r="M55" s="196"/>
      <c r="N55" s="221"/>
      <c r="O55" s="222"/>
      <c r="P55" s="188"/>
      <c r="Q55" s="188"/>
      <c r="R55" s="188"/>
    </row>
    <row r="56" spans="1:18">
      <c r="B56" s="210"/>
      <c r="C56" s="188"/>
      <c r="D56" s="196"/>
      <c r="E56" s="188"/>
      <c r="F56" s="243"/>
      <c r="G56" s="196"/>
      <c r="H56" s="226"/>
      <c r="I56" s="188"/>
      <c r="J56" s="226"/>
      <c r="K56" s="188"/>
      <c r="L56" s="226"/>
      <c r="M56" s="188"/>
      <c r="N56" s="226"/>
      <c r="O56" s="227"/>
      <c r="P56" s="188"/>
      <c r="Q56" s="188"/>
      <c r="R56" s="188"/>
    </row>
    <row r="57" spans="1:18">
      <c r="B57" s="210"/>
      <c r="C57" s="188"/>
      <c r="D57" s="196"/>
      <c r="E57" s="188"/>
      <c r="F57" s="243"/>
      <c r="G57" s="196"/>
      <c r="H57" s="226"/>
      <c r="I57" s="188"/>
      <c r="J57" s="226"/>
      <c r="K57" s="188"/>
      <c r="L57" s="226"/>
      <c r="M57" s="188"/>
      <c r="N57" s="226"/>
      <c r="O57" s="227"/>
      <c r="P57" s="188"/>
      <c r="Q57" s="188"/>
      <c r="R57" s="188"/>
    </row>
    <row r="58" spans="1:18">
      <c r="B58" s="210"/>
      <c r="C58" s="188"/>
      <c r="D58" s="196"/>
      <c r="E58" s="188"/>
      <c r="F58" s="243"/>
      <c r="G58" s="196"/>
      <c r="H58" s="226"/>
      <c r="I58" s="188"/>
      <c r="J58" s="226"/>
      <c r="K58" s="188"/>
      <c r="L58" s="226"/>
      <c r="M58" s="188"/>
      <c r="N58" s="226"/>
      <c r="O58" s="227"/>
      <c r="P58" s="188"/>
      <c r="Q58" s="188"/>
      <c r="R58" s="188"/>
    </row>
    <row r="59" spans="1:18">
      <c r="B59" s="210"/>
      <c r="C59" s="188"/>
      <c r="D59" s="197" t="s">
        <v>241</v>
      </c>
      <c r="E59" s="188"/>
      <c r="F59" s="243"/>
      <c r="G59" s="188"/>
      <c r="H59" s="226"/>
      <c r="I59" s="188"/>
      <c r="J59" s="226"/>
      <c r="K59" s="188"/>
      <c r="L59" s="226"/>
      <c r="M59" s="188"/>
      <c r="N59" s="226"/>
      <c r="O59" s="227"/>
      <c r="P59" s="188"/>
      <c r="Q59" s="188"/>
      <c r="R59" s="188"/>
    </row>
    <row r="60" spans="1:18">
      <c r="B60" s="210"/>
      <c r="C60" s="188"/>
      <c r="D60" s="223"/>
      <c r="E60" s="188"/>
      <c r="F60" s="243"/>
      <c r="G60" s="188"/>
      <c r="H60" s="226"/>
      <c r="I60" s="188"/>
      <c r="J60" s="226"/>
      <c r="K60" s="188"/>
      <c r="L60" s="226"/>
      <c r="M60" s="188"/>
      <c r="N60" s="226"/>
      <c r="O60" s="227"/>
      <c r="P60" s="188"/>
      <c r="Q60" s="188"/>
      <c r="R60" s="188"/>
    </row>
    <row r="61" spans="1:18">
      <c r="A61" s="185">
        <v>374</v>
      </c>
      <c r="B61" s="210">
        <v>374.22</v>
      </c>
      <c r="C61" s="188"/>
      <c r="D61" s="213" t="s">
        <v>699</v>
      </c>
      <c r="E61" s="188"/>
      <c r="F61" s="430">
        <v>0</v>
      </c>
      <c r="G61" s="188"/>
      <c r="H61" s="224" t="s">
        <v>677</v>
      </c>
      <c r="I61" s="188"/>
      <c r="J61" s="210">
        <v>0</v>
      </c>
      <c r="K61" s="213"/>
      <c r="L61" s="214">
        <v>0</v>
      </c>
      <c r="M61" s="213"/>
      <c r="N61" s="214">
        <v>0</v>
      </c>
      <c r="O61" s="215"/>
      <c r="P61" s="216" t="s">
        <v>696</v>
      </c>
      <c r="Q61" s="217"/>
      <c r="R61" s="218">
        <v>0</v>
      </c>
    </row>
    <row r="62" spans="1:18">
      <c r="B62" s="210">
        <v>375.1</v>
      </c>
      <c r="C62" s="188"/>
      <c r="D62" s="213" t="s">
        <v>700</v>
      </c>
      <c r="E62" s="188"/>
      <c r="F62" s="243">
        <v>-5</v>
      </c>
      <c r="G62" s="188"/>
      <c r="H62" s="210">
        <v>1.4572007608207687</v>
      </c>
      <c r="I62" s="188"/>
      <c r="J62" s="210">
        <v>1.3872007608207686</v>
      </c>
      <c r="K62" s="213"/>
      <c r="L62" s="214">
        <v>7.0000000000000007E-2</v>
      </c>
      <c r="M62" s="213"/>
      <c r="N62" s="214">
        <v>0</v>
      </c>
      <c r="O62" s="215"/>
      <c r="P62" s="216" t="s">
        <v>701</v>
      </c>
      <c r="Q62" s="217"/>
      <c r="R62" s="199">
        <v>50.4</v>
      </c>
    </row>
    <row r="63" spans="1:18">
      <c r="B63" s="210">
        <v>375.2</v>
      </c>
      <c r="C63" s="188"/>
      <c r="D63" s="213" t="s">
        <v>702</v>
      </c>
      <c r="E63" s="188"/>
      <c r="F63" s="243">
        <v>-5</v>
      </c>
      <c r="G63" s="188"/>
      <c r="H63" s="210">
        <v>5.2610595396446138</v>
      </c>
      <c r="I63" s="188"/>
      <c r="J63" s="210">
        <v>5.0110595396446138</v>
      </c>
      <c r="K63" s="213"/>
      <c r="L63" s="214">
        <v>0.25</v>
      </c>
      <c r="M63" s="213"/>
      <c r="N63" s="214">
        <v>0</v>
      </c>
      <c r="O63" s="215"/>
      <c r="P63" s="216" t="s">
        <v>703</v>
      </c>
      <c r="Q63" s="217"/>
      <c r="R63" s="199">
        <v>12.9</v>
      </c>
    </row>
    <row r="64" spans="1:18">
      <c r="A64" s="185">
        <v>376</v>
      </c>
      <c r="B64" s="210"/>
      <c r="C64" s="188"/>
      <c r="D64" s="213" t="s">
        <v>704</v>
      </c>
      <c r="E64" s="188"/>
      <c r="F64" s="430">
        <v>-0.3</v>
      </c>
      <c r="G64" s="188"/>
      <c r="H64" s="210">
        <v>1.8921364673710501</v>
      </c>
      <c r="I64" s="188"/>
      <c r="J64" s="210">
        <v>1.4521364673710502</v>
      </c>
      <c r="K64" s="213"/>
      <c r="L64" s="214">
        <v>0.47</v>
      </c>
      <c r="M64" s="213"/>
      <c r="N64" s="214">
        <v>-0.03</v>
      </c>
      <c r="O64" s="215"/>
      <c r="P64" s="216" t="s">
        <v>705</v>
      </c>
      <c r="Q64" s="217"/>
      <c r="R64" s="199">
        <v>51.2</v>
      </c>
    </row>
    <row r="65" spans="1:18">
      <c r="A65" s="185">
        <v>378</v>
      </c>
      <c r="B65" s="210"/>
      <c r="C65" s="188"/>
      <c r="D65" s="213" t="s">
        <v>706</v>
      </c>
      <c r="E65" s="188"/>
      <c r="F65" s="430">
        <v>-0.1</v>
      </c>
      <c r="G65" s="188"/>
      <c r="H65" s="210">
        <v>2.5793858941301893</v>
      </c>
      <c r="I65" s="188"/>
      <c r="J65" s="210">
        <v>2.339385894130189</v>
      </c>
      <c r="K65" s="213"/>
      <c r="L65" s="214">
        <v>0.26</v>
      </c>
      <c r="M65" s="213"/>
      <c r="N65" s="214">
        <v>-0.02</v>
      </c>
      <c r="O65" s="215"/>
      <c r="P65" s="216" t="s">
        <v>707</v>
      </c>
      <c r="Q65" s="217"/>
      <c r="R65" s="199">
        <v>34.1</v>
      </c>
    </row>
    <row r="66" spans="1:18">
      <c r="A66" s="185">
        <v>379</v>
      </c>
      <c r="B66" s="210"/>
      <c r="C66" s="188"/>
      <c r="D66" s="213" t="s">
        <v>708</v>
      </c>
      <c r="E66" s="188"/>
      <c r="F66" s="430">
        <v>-0.15</v>
      </c>
      <c r="G66" s="188"/>
      <c r="H66" s="210">
        <v>2.1201814254478872</v>
      </c>
      <c r="I66" s="188"/>
      <c r="J66" s="210">
        <v>1.8501814254478872</v>
      </c>
      <c r="K66" s="213"/>
      <c r="L66" s="214">
        <v>0.31</v>
      </c>
      <c r="M66" s="213"/>
      <c r="N66" s="214">
        <v>-0.04</v>
      </c>
      <c r="O66" s="215"/>
      <c r="P66" s="216" t="s">
        <v>709</v>
      </c>
      <c r="Q66" s="217"/>
      <c r="R66" s="199">
        <v>36.299999999999997</v>
      </c>
    </row>
    <row r="67" spans="1:18">
      <c r="A67" s="185">
        <v>380</v>
      </c>
      <c r="B67" s="210"/>
      <c r="C67" s="188"/>
      <c r="D67" s="225" t="s">
        <v>710</v>
      </c>
      <c r="E67" s="188"/>
      <c r="F67" s="430">
        <v>-0.6</v>
      </c>
      <c r="G67" s="188"/>
      <c r="H67" s="210">
        <v>3.7856369969343051</v>
      </c>
      <c r="I67" s="188"/>
      <c r="J67" s="210">
        <v>2.3656369969343052</v>
      </c>
      <c r="K67" s="213"/>
      <c r="L67" s="214">
        <v>1.42</v>
      </c>
      <c r="M67" s="213"/>
      <c r="N67" s="214">
        <v>0</v>
      </c>
      <c r="O67" s="215"/>
      <c r="P67" s="216" t="s">
        <v>711</v>
      </c>
      <c r="Q67" s="217"/>
      <c r="R67" s="199">
        <v>32.700000000000003</v>
      </c>
    </row>
    <row r="68" spans="1:18">
      <c r="A68" s="185">
        <v>381</v>
      </c>
      <c r="B68" s="210"/>
      <c r="C68" s="188"/>
      <c r="D68" s="225" t="s">
        <v>712</v>
      </c>
      <c r="E68" s="188"/>
      <c r="F68" s="430">
        <v>0</v>
      </c>
      <c r="G68" s="188"/>
      <c r="H68" s="210">
        <v>4.0274514420127101</v>
      </c>
      <c r="I68" s="188"/>
      <c r="J68" s="210">
        <v>4.0274514420127101</v>
      </c>
      <c r="K68" s="213"/>
      <c r="L68" s="214">
        <v>0</v>
      </c>
      <c r="M68" s="213"/>
      <c r="N68" s="214">
        <v>0</v>
      </c>
      <c r="O68" s="215"/>
      <c r="P68" s="216" t="s">
        <v>713</v>
      </c>
      <c r="Q68" s="217"/>
      <c r="R68" s="199">
        <v>20.100000000000001</v>
      </c>
    </row>
    <row r="69" spans="1:18">
      <c r="A69" s="185">
        <v>383</v>
      </c>
      <c r="B69" s="210"/>
      <c r="C69" s="188"/>
      <c r="D69" s="213" t="s">
        <v>714</v>
      </c>
      <c r="E69" s="188"/>
      <c r="F69" s="430">
        <v>-0.1</v>
      </c>
      <c r="G69" s="188"/>
      <c r="H69" s="210">
        <v>4.0999397967144029</v>
      </c>
      <c r="I69" s="188"/>
      <c r="J69" s="210">
        <v>3.7299397967144028</v>
      </c>
      <c r="K69" s="213"/>
      <c r="L69" s="214">
        <v>0.41</v>
      </c>
      <c r="M69" s="213"/>
      <c r="N69" s="214">
        <v>-0.04</v>
      </c>
      <c r="O69" s="215"/>
      <c r="P69" s="216" t="s">
        <v>715</v>
      </c>
      <c r="Q69" s="217"/>
      <c r="R69" s="199">
        <v>26.2</v>
      </c>
    </row>
    <row r="70" spans="1:18">
      <c r="A70" s="185">
        <v>385</v>
      </c>
      <c r="B70" s="210"/>
      <c r="C70" s="188"/>
      <c r="D70" s="225" t="s">
        <v>716</v>
      </c>
      <c r="E70" s="188"/>
      <c r="F70" s="430">
        <v>-0.05</v>
      </c>
      <c r="G70" s="188"/>
      <c r="H70" s="210">
        <v>2.8530428777622605</v>
      </c>
      <c r="I70" s="188"/>
      <c r="J70" s="210">
        <v>2.7130428777622604</v>
      </c>
      <c r="K70" s="213"/>
      <c r="L70" s="214">
        <v>0.19</v>
      </c>
      <c r="M70" s="213"/>
      <c r="N70" s="214">
        <v>-0.05</v>
      </c>
      <c r="O70" s="215"/>
      <c r="P70" s="216" t="s">
        <v>717</v>
      </c>
      <c r="Q70" s="217"/>
      <c r="R70" s="199">
        <v>33.1</v>
      </c>
    </row>
    <row r="71" spans="1:18">
      <c r="A71" s="185">
        <v>387</v>
      </c>
      <c r="B71" s="210"/>
      <c r="C71" s="188"/>
      <c r="D71" s="225" t="s">
        <v>718</v>
      </c>
      <c r="E71" s="188"/>
      <c r="F71" s="430">
        <v>0</v>
      </c>
      <c r="G71" s="188"/>
      <c r="H71" s="210">
        <v>2.77819407211644</v>
      </c>
      <c r="I71" s="188"/>
      <c r="J71" s="210">
        <v>2.77819407211644</v>
      </c>
      <c r="K71" s="213"/>
      <c r="L71" s="214">
        <v>0</v>
      </c>
      <c r="M71" s="213"/>
      <c r="N71" s="214">
        <v>0</v>
      </c>
      <c r="O71" s="215"/>
      <c r="P71" s="216" t="s">
        <v>719</v>
      </c>
      <c r="Q71" s="217"/>
      <c r="R71" s="199">
        <v>22.2</v>
      </c>
    </row>
    <row r="72" spans="1:18">
      <c r="B72" s="210"/>
      <c r="C72" s="188"/>
      <c r="D72" s="188"/>
      <c r="E72" s="188"/>
      <c r="F72" s="243"/>
      <c r="G72" s="188"/>
      <c r="H72" s="210" t="s">
        <v>47</v>
      </c>
      <c r="I72" s="188"/>
      <c r="J72" s="211"/>
      <c r="K72" s="188"/>
      <c r="L72" s="211"/>
      <c r="M72" s="188"/>
      <c r="N72" s="211"/>
      <c r="O72" s="212"/>
      <c r="P72" s="188"/>
      <c r="Q72" s="188"/>
      <c r="R72" s="188"/>
    </row>
    <row r="73" spans="1:18">
      <c r="B73" s="210"/>
      <c r="C73" s="188"/>
      <c r="D73" s="219" t="s">
        <v>244</v>
      </c>
      <c r="E73" s="188"/>
      <c r="F73" s="243"/>
      <c r="G73" s="188"/>
      <c r="H73" s="220">
        <v>2.7515939291626759</v>
      </c>
      <c r="I73" s="196"/>
      <c r="J73" s="221"/>
      <c r="K73" s="196"/>
      <c r="L73" s="221"/>
      <c r="M73" s="196"/>
      <c r="N73" s="221"/>
      <c r="O73" s="222"/>
      <c r="P73" s="188"/>
      <c r="Q73" s="188"/>
      <c r="R73" s="188"/>
    </row>
    <row r="74" spans="1:18">
      <c r="B74" s="210"/>
      <c r="C74" s="188"/>
      <c r="D74" s="219"/>
      <c r="E74" s="188"/>
      <c r="F74" s="243"/>
      <c r="G74" s="188"/>
      <c r="H74" s="220"/>
      <c r="I74" s="196"/>
      <c r="J74" s="221"/>
      <c r="K74" s="196"/>
      <c r="L74" s="221"/>
      <c r="M74" s="196"/>
      <c r="N74" s="221"/>
      <c r="O74" s="222"/>
      <c r="P74" s="188"/>
      <c r="Q74" s="188"/>
      <c r="R74" s="188"/>
    </row>
    <row r="75" spans="1:18">
      <c r="B75" s="210">
        <v>375.1</v>
      </c>
      <c r="C75" s="188"/>
      <c r="D75" s="213" t="s">
        <v>700</v>
      </c>
      <c r="E75" s="188"/>
      <c r="F75" s="243">
        <v>-5</v>
      </c>
      <c r="G75" s="188"/>
      <c r="H75" s="210">
        <v>1.4572007608207687</v>
      </c>
      <c r="I75" s="188"/>
      <c r="J75" s="210">
        <v>1.3872007608207686</v>
      </c>
      <c r="K75" s="213"/>
      <c r="L75" s="214">
        <v>7.0000000000000007E-2</v>
      </c>
      <c r="M75" s="213"/>
      <c r="N75" s="214">
        <v>0</v>
      </c>
      <c r="O75" s="215"/>
      <c r="P75" s="216" t="s">
        <v>701</v>
      </c>
      <c r="Q75" s="217"/>
      <c r="R75" s="199">
        <v>50.4</v>
      </c>
    </row>
    <row r="76" spans="1:18">
      <c r="B76" s="210">
        <v>375.2</v>
      </c>
      <c r="C76" s="188"/>
      <c r="D76" s="213" t="s">
        <v>702</v>
      </c>
      <c r="E76" s="188"/>
      <c r="F76" s="243">
        <v>-5</v>
      </c>
      <c r="G76" s="188"/>
      <c r="H76" s="228">
        <v>5.2610595396446138</v>
      </c>
      <c r="I76" s="188"/>
      <c r="J76" s="210">
        <v>5.0110595396446138</v>
      </c>
      <c r="K76" s="213"/>
      <c r="L76" s="214">
        <v>0.25</v>
      </c>
      <c r="M76" s="213"/>
      <c r="N76" s="214">
        <v>0</v>
      </c>
      <c r="O76" s="215"/>
      <c r="P76" s="216" t="s">
        <v>703</v>
      </c>
      <c r="Q76" s="217"/>
      <c r="R76" s="199">
        <v>12.9</v>
      </c>
    </row>
    <row r="77" spans="1:18">
      <c r="A77" s="185">
        <v>375</v>
      </c>
      <c r="B77" s="210"/>
      <c r="C77" s="188"/>
      <c r="D77" s="219"/>
      <c r="E77" s="188"/>
      <c r="F77" s="430">
        <v>-0.05</v>
      </c>
      <c r="G77" s="188"/>
      <c r="H77" s="210">
        <f>((5362+28015)/(367965.77+532497.3)*100)</f>
        <v>3.7066484025824624</v>
      </c>
      <c r="I77" s="196"/>
      <c r="J77" s="221"/>
      <c r="K77" s="196"/>
      <c r="L77" s="221"/>
      <c r="M77" s="196"/>
      <c r="N77" s="221"/>
      <c r="O77" s="222"/>
      <c r="P77" s="188" t="s">
        <v>739</v>
      </c>
      <c r="Q77" s="188"/>
      <c r="R77" s="245" t="s">
        <v>740</v>
      </c>
    </row>
    <row r="78" spans="1:18">
      <c r="B78" s="210"/>
      <c r="C78" s="188"/>
      <c r="D78" s="219"/>
      <c r="E78" s="188"/>
      <c r="F78" s="243"/>
      <c r="G78" s="188"/>
      <c r="H78" s="226"/>
      <c r="I78" s="188"/>
      <c r="J78" s="226"/>
      <c r="K78" s="188"/>
      <c r="L78" s="226"/>
      <c r="M78" s="188"/>
      <c r="N78" s="226"/>
      <c r="O78" s="227"/>
      <c r="P78" s="188"/>
      <c r="Q78" s="188"/>
      <c r="R78" s="188"/>
    </row>
    <row r="79" spans="1:18">
      <c r="B79" s="210"/>
      <c r="C79" s="188"/>
      <c r="D79" s="188"/>
      <c r="E79" s="188"/>
      <c r="F79" s="243"/>
      <c r="G79" s="188"/>
      <c r="H79" s="226"/>
      <c r="I79" s="188"/>
      <c r="J79" s="226"/>
      <c r="K79" s="188"/>
      <c r="L79" s="226"/>
      <c r="M79" s="188"/>
      <c r="N79" s="226"/>
      <c r="O79" s="227"/>
      <c r="P79" s="188"/>
      <c r="Q79" s="188"/>
      <c r="R79" s="188"/>
    </row>
    <row r="80" spans="1:18">
      <c r="B80" s="210"/>
      <c r="C80" s="188"/>
      <c r="D80" s="197" t="s">
        <v>245</v>
      </c>
      <c r="E80" s="188"/>
      <c r="F80" s="243"/>
      <c r="G80" s="188"/>
      <c r="H80" s="226"/>
      <c r="I80" s="188"/>
      <c r="J80" s="226"/>
      <c r="K80" s="188"/>
      <c r="L80" s="226"/>
      <c r="M80" s="188"/>
      <c r="N80" s="226"/>
      <c r="O80" s="227"/>
      <c r="P80" s="188"/>
      <c r="Q80" s="188"/>
      <c r="R80" s="188"/>
    </row>
    <row r="81" spans="1:18">
      <c r="B81" s="210"/>
      <c r="C81" s="188"/>
      <c r="D81" s="223"/>
      <c r="E81" s="188"/>
      <c r="F81" s="243"/>
      <c r="G81" s="188"/>
      <c r="H81" s="226"/>
      <c r="I81" s="188"/>
      <c r="J81" s="226"/>
      <c r="K81" s="188"/>
      <c r="L81" s="226"/>
      <c r="M81" s="188"/>
      <c r="N81" s="226"/>
      <c r="O81" s="227"/>
      <c r="P81" s="188"/>
      <c r="Q81" s="188"/>
      <c r="R81" s="188"/>
    </row>
    <row r="82" spans="1:18">
      <c r="B82" s="230"/>
      <c r="C82" s="188"/>
      <c r="D82" s="231" t="s">
        <v>247</v>
      </c>
      <c r="E82" s="188"/>
      <c r="F82" s="243">
        <v>0</v>
      </c>
      <c r="G82" s="188"/>
      <c r="H82" s="210">
        <v>2.6256462222421124</v>
      </c>
      <c r="I82" s="188"/>
      <c r="J82" s="210">
        <v>2.6256462222421124</v>
      </c>
      <c r="K82" s="213"/>
      <c r="L82" s="214">
        <v>0</v>
      </c>
      <c r="M82" s="213"/>
      <c r="N82" s="214">
        <v>0</v>
      </c>
      <c r="O82" s="215"/>
      <c r="P82" s="216" t="s">
        <v>248</v>
      </c>
      <c r="Q82" s="217"/>
      <c r="R82" s="199">
        <v>6.3</v>
      </c>
    </row>
    <row r="83" spans="1:18">
      <c r="B83" s="210">
        <v>392.1</v>
      </c>
      <c r="C83" s="188"/>
      <c r="D83" s="231" t="s">
        <v>249</v>
      </c>
      <c r="E83" s="188"/>
      <c r="F83" s="243">
        <v>0</v>
      </c>
      <c r="G83" s="188"/>
      <c r="H83" s="210">
        <v>1.7512498264443253</v>
      </c>
      <c r="I83" s="188"/>
      <c r="J83" s="210">
        <v>1.7512498264443253</v>
      </c>
      <c r="K83" s="213"/>
      <c r="L83" s="214">
        <v>0</v>
      </c>
      <c r="M83" s="213"/>
      <c r="N83" s="214">
        <v>0</v>
      </c>
      <c r="O83" s="215"/>
      <c r="P83" s="216" t="s">
        <v>250</v>
      </c>
      <c r="Q83" s="217"/>
      <c r="R83" s="199">
        <v>10.7</v>
      </c>
    </row>
    <row r="84" spans="1:18">
      <c r="B84" s="210">
        <v>392.2</v>
      </c>
      <c r="C84" s="188"/>
      <c r="D84" s="225" t="s">
        <v>720</v>
      </c>
      <c r="E84" s="188"/>
      <c r="F84" s="243">
        <v>5</v>
      </c>
      <c r="G84" s="188"/>
      <c r="H84" s="210">
        <v>4.8029402323395223</v>
      </c>
      <c r="I84" s="188"/>
      <c r="J84" s="210">
        <v>5.0529402323395223</v>
      </c>
      <c r="K84" s="213"/>
      <c r="L84" s="214">
        <v>0</v>
      </c>
      <c r="M84" s="213"/>
      <c r="N84" s="214">
        <v>-0.25</v>
      </c>
      <c r="O84" s="215"/>
      <c r="P84" s="216" t="s">
        <v>721</v>
      </c>
      <c r="Q84" s="217"/>
      <c r="R84" s="199">
        <v>12.4</v>
      </c>
    </row>
    <row r="85" spans="1:18">
      <c r="A85" s="185">
        <v>394</v>
      </c>
      <c r="B85" s="210"/>
      <c r="C85" s="188"/>
      <c r="D85" s="213" t="s">
        <v>722</v>
      </c>
      <c r="E85" s="188"/>
      <c r="F85" s="430">
        <v>0</v>
      </c>
      <c r="G85" s="188"/>
      <c r="H85" s="210">
        <v>4.658900803257553</v>
      </c>
      <c r="I85" s="188"/>
      <c r="J85" s="210">
        <v>4.658900803257553</v>
      </c>
      <c r="K85" s="213"/>
      <c r="L85" s="214">
        <v>0</v>
      </c>
      <c r="M85" s="213"/>
      <c r="N85" s="214">
        <v>0</v>
      </c>
      <c r="O85" s="215"/>
      <c r="P85" s="216" t="s">
        <v>251</v>
      </c>
      <c r="Q85" s="217"/>
      <c r="R85" s="199">
        <v>13.5</v>
      </c>
    </row>
    <row r="86" spans="1:18">
      <c r="B86" s="210"/>
      <c r="C86" s="188"/>
      <c r="D86" s="225" t="s">
        <v>723</v>
      </c>
      <c r="E86" s="188"/>
      <c r="F86" s="243">
        <v>0</v>
      </c>
      <c r="G86" s="188"/>
      <c r="H86" s="210">
        <v>1.1588717214649709</v>
      </c>
      <c r="I86" s="188"/>
      <c r="J86" s="210">
        <v>1.1588717214649709</v>
      </c>
      <c r="K86" s="213"/>
      <c r="L86" s="214">
        <v>0</v>
      </c>
      <c r="M86" s="213"/>
      <c r="N86" s="214">
        <v>0</v>
      </c>
      <c r="O86" s="215"/>
      <c r="P86" s="216" t="s">
        <v>252</v>
      </c>
      <c r="Q86" s="217"/>
      <c r="R86" s="199">
        <v>11.3</v>
      </c>
    </row>
    <row r="87" spans="1:18">
      <c r="B87" s="230">
        <v>396.1</v>
      </c>
      <c r="C87" s="188"/>
      <c r="D87" s="225" t="s">
        <v>724</v>
      </c>
      <c r="E87" s="188"/>
      <c r="F87" s="243">
        <v>0</v>
      </c>
      <c r="G87" s="188"/>
      <c r="H87" s="224" t="s">
        <v>677</v>
      </c>
      <c r="I87" s="188"/>
      <c r="J87" s="210">
        <v>0</v>
      </c>
      <c r="K87" s="213"/>
      <c r="L87" s="214">
        <v>0</v>
      </c>
      <c r="M87" s="213"/>
      <c r="N87" s="214">
        <v>0</v>
      </c>
      <c r="O87" s="215"/>
      <c r="P87" s="216" t="s">
        <v>725</v>
      </c>
      <c r="Q87" s="217"/>
      <c r="R87" s="218">
        <v>0</v>
      </c>
    </row>
    <row r="88" spans="1:18">
      <c r="B88" s="210">
        <v>396.2</v>
      </c>
      <c r="C88" s="188"/>
      <c r="D88" s="225" t="s">
        <v>726</v>
      </c>
      <c r="E88" s="188"/>
      <c r="F88" s="243">
        <v>5</v>
      </c>
      <c r="G88" s="188"/>
      <c r="H88" s="210">
        <v>5.897116577737429</v>
      </c>
      <c r="I88" s="188"/>
      <c r="J88" s="210">
        <v>6.2071165777374286</v>
      </c>
      <c r="K88" s="213"/>
      <c r="L88" s="214">
        <v>0</v>
      </c>
      <c r="M88" s="213"/>
      <c r="N88" s="214">
        <v>-0.31</v>
      </c>
      <c r="O88" s="215"/>
      <c r="P88" s="216" t="s">
        <v>727</v>
      </c>
      <c r="Q88" s="217"/>
      <c r="R88" s="199">
        <v>12.6</v>
      </c>
    </row>
    <row r="89" spans="1:18">
      <c r="A89" s="185">
        <v>397</v>
      </c>
      <c r="B89" s="210">
        <v>397.2</v>
      </c>
      <c r="C89" s="213"/>
      <c r="D89" s="225" t="s">
        <v>728</v>
      </c>
      <c r="E89" s="213"/>
      <c r="F89" s="430">
        <v>0</v>
      </c>
      <c r="G89" s="213"/>
      <c r="H89" s="213">
        <v>13.14</v>
      </c>
      <c r="I89" s="213"/>
      <c r="J89" s="213">
        <v>13.14</v>
      </c>
      <c r="K89" s="213"/>
      <c r="L89" s="214">
        <v>0</v>
      </c>
      <c r="M89" s="213"/>
      <c r="N89" s="214">
        <v>0</v>
      </c>
      <c r="O89" s="213"/>
      <c r="P89" s="199" t="s">
        <v>254</v>
      </c>
      <c r="Q89" s="213"/>
      <c r="R89" s="232">
        <v>3.5</v>
      </c>
    </row>
    <row r="90" spans="1:18">
      <c r="B90" s="195"/>
      <c r="C90" s="188"/>
      <c r="D90" s="219" t="s">
        <v>256</v>
      </c>
      <c r="E90" s="188"/>
      <c r="F90" s="243"/>
      <c r="G90" s="188"/>
      <c r="H90" s="220">
        <v>3.3249298731568131</v>
      </c>
      <c r="I90" s="196"/>
      <c r="J90" s="221"/>
      <c r="K90" s="196"/>
      <c r="L90" s="221"/>
      <c r="M90" s="196"/>
      <c r="N90" s="221"/>
      <c r="O90" s="222"/>
      <c r="P90" s="188"/>
      <c r="Q90" s="188"/>
      <c r="R90" s="188"/>
    </row>
    <row r="91" spans="1:18">
      <c r="B91" s="195"/>
      <c r="C91" s="188"/>
      <c r="D91" s="233"/>
      <c r="E91" s="188"/>
      <c r="F91" s="243"/>
      <c r="G91" s="188"/>
      <c r="H91" s="226"/>
      <c r="I91" s="188"/>
      <c r="J91" s="234"/>
      <c r="K91" s="188"/>
      <c r="L91" s="234"/>
      <c r="M91" s="188"/>
      <c r="N91" s="234"/>
      <c r="O91" s="235"/>
      <c r="P91" s="188"/>
      <c r="Q91" s="188"/>
      <c r="R91" s="188"/>
    </row>
    <row r="92" spans="1:18">
      <c r="B92" s="195"/>
      <c r="C92" s="188"/>
      <c r="D92" s="219" t="s">
        <v>257</v>
      </c>
      <c r="E92" s="188"/>
      <c r="F92" s="243"/>
      <c r="G92" s="188"/>
      <c r="H92" s="220">
        <v>2.613702529245697</v>
      </c>
      <c r="I92" s="196"/>
      <c r="J92" s="221"/>
      <c r="K92" s="196"/>
      <c r="L92" s="221"/>
      <c r="M92" s="196"/>
      <c r="N92" s="221"/>
      <c r="O92" s="222"/>
      <c r="P92" s="188"/>
      <c r="Q92" s="188"/>
      <c r="R92" s="188"/>
    </row>
    <row r="93" spans="1:18">
      <c r="B93" s="195"/>
      <c r="C93" s="188"/>
      <c r="D93" s="219"/>
      <c r="E93" s="188"/>
      <c r="F93" s="243"/>
      <c r="G93" s="188"/>
      <c r="H93" s="226"/>
      <c r="I93" s="188"/>
      <c r="J93" s="234"/>
      <c r="K93" s="188"/>
      <c r="L93" s="234"/>
      <c r="M93" s="188"/>
      <c r="N93" s="234"/>
      <c r="O93" s="235"/>
      <c r="P93" s="213"/>
      <c r="Q93" s="213"/>
      <c r="R93" s="213"/>
    </row>
    <row r="94" spans="1:18">
      <c r="B94" s="195"/>
      <c r="C94" s="188"/>
      <c r="D94" s="219"/>
      <c r="E94" s="188"/>
      <c r="F94" s="243"/>
      <c r="G94" s="188"/>
      <c r="H94" s="226"/>
      <c r="I94" s="188"/>
      <c r="J94" s="188"/>
      <c r="K94" s="188"/>
      <c r="L94" s="188"/>
      <c r="M94" s="188"/>
      <c r="N94" s="188"/>
      <c r="O94" s="188"/>
      <c r="P94" s="213"/>
      <c r="Q94" s="213"/>
      <c r="R94" s="213"/>
    </row>
    <row r="95" spans="1:18">
      <c r="F95" s="243"/>
    </row>
    <row r="96" spans="1:18">
      <c r="B96" s="230">
        <v>392</v>
      </c>
      <c r="C96" s="188"/>
      <c r="D96" s="231" t="s">
        <v>247</v>
      </c>
      <c r="E96" s="188"/>
      <c r="F96" s="243">
        <v>0</v>
      </c>
      <c r="G96" s="188"/>
      <c r="H96" s="210">
        <v>2.6256462222421124</v>
      </c>
      <c r="I96" s="188"/>
      <c r="J96" s="210">
        <v>2.6256462222421124</v>
      </c>
      <c r="K96" s="213"/>
      <c r="L96" s="214">
        <v>0</v>
      </c>
      <c r="M96" s="213"/>
      <c r="N96" s="214">
        <v>0</v>
      </c>
      <c r="O96" s="215"/>
      <c r="P96" s="216" t="s">
        <v>248</v>
      </c>
      <c r="Q96" s="217"/>
      <c r="R96" s="199">
        <v>6.3</v>
      </c>
    </row>
    <row r="97" spans="1:18">
      <c r="B97" s="210">
        <v>392.1</v>
      </c>
      <c r="C97" s="188"/>
      <c r="D97" s="231" t="s">
        <v>249</v>
      </c>
      <c r="E97" s="188"/>
      <c r="F97" s="243">
        <v>0</v>
      </c>
      <c r="G97" s="188"/>
      <c r="H97" s="210">
        <v>1.7512498264443253</v>
      </c>
      <c r="I97" s="188"/>
      <c r="J97" s="210">
        <v>1.7512498264443253</v>
      </c>
      <c r="K97" s="213"/>
      <c r="L97" s="214">
        <v>0</v>
      </c>
      <c r="M97" s="213"/>
      <c r="N97" s="214">
        <v>0</v>
      </c>
      <c r="O97" s="215"/>
      <c r="P97" s="216" t="s">
        <v>250</v>
      </c>
      <c r="Q97" s="217"/>
      <c r="R97" s="199">
        <v>10.7</v>
      </c>
    </row>
    <row r="98" spans="1:18">
      <c r="B98" s="210">
        <v>392.2</v>
      </c>
      <c r="C98" s="188"/>
      <c r="D98" s="225" t="s">
        <v>720</v>
      </c>
      <c r="E98" s="188"/>
      <c r="F98" s="243">
        <v>5</v>
      </c>
      <c r="G98" s="188"/>
      <c r="H98" s="228">
        <v>4.8029402323395223</v>
      </c>
      <c r="I98" s="188"/>
      <c r="J98" s="210">
        <v>5.0529402323395223</v>
      </c>
      <c r="K98" s="213"/>
      <c r="L98" s="214">
        <v>0</v>
      </c>
      <c r="M98" s="213"/>
      <c r="N98" s="214">
        <v>-0.25</v>
      </c>
      <c r="O98" s="215"/>
      <c r="P98" s="216" t="s">
        <v>721</v>
      </c>
      <c r="Q98" s="217"/>
      <c r="R98" s="199">
        <v>12.4</v>
      </c>
    </row>
    <row r="99" spans="1:18">
      <c r="A99" s="185">
        <v>392</v>
      </c>
      <c r="B99" s="195"/>
      <c r="C99" s="188"/>
      <c r="D99" s="219"/>
      <c r="E99" s="188"/>
      <c r="F99" s="244" t="s">
        <v>1795</v>
      </c>
      <c r="G99" s="188"/>
      <c r="H99" s="229">
        <v>2.7782509141713811</v>
      </c>
      <c r="I99" s="188"/>
      <c r="J99" s="188"/>
      <c r="K99" s="188"/>
      <c r="L99" s="188"/>
      <c r="M99" s="188"/>
      <c r="N99" s="188"/>
      <c r="O99" s="188"/>
      <c r="P99" s="213" t="s">
        <v>744</v>
      </c>
      <c r="Q99" s="213"/>
      <c r="R99" s="375" t="s">
        <v>741</v>
      </c>
    </row>
    <row r="100" spans="1:18">
      <c r="B100" s="195"/>
      <c r="C100" s="188"/>
      <c r="D100" s="231"/>
      <c r="E100" s="188"/>
      <c r="F100" s="243"/>
      <c r="G100" s="188"/>
      <c r="H100" s="226"/>
      <c r="I100" s="188"/>
      <c r="J100" s="188"/>
      <c r="K100" s="188"/>
      <c r="L100" s="188"/>
      <c r="M100" s="188"/>
      <c r="N100" s="188"/>
      <c r="O100" s="188"/>
      <c r="P100" s="213"/>
      <c r="Q100" s="213"/>
      <c r="R100" s="213"/>
    </row>
    <row r="101" spans="1:18">
      <c r="B101" s="195"/>
      <c r="C101" s="188"/>
      <c r="D101" s="219"/>
      <c r="E101" s="188"/>
      <c r="F101" s="243"/>
      <c r="G101" s="188"/>
      <c r="H101" s="226"/>
      <c r="I101" s="188"/>
      <c r="J101" s="188"/>
      <c r="K101" s="188"/>
      <c r="L101" s="188"/>
      <c r="M101" s="188"/>
      <c r="N101" s="188"/>
      <c r="O101" s="188"/>
      <c r="P101" s="213"/>
      <c r="Q101" s="213"/>
      <c r="R101" s="213"/>
    </row>
    <row r="102" spans="1:18">
      <c r="B102" s="210">
        <v>396</v>
      </c>
      <c r="C102" s="188"/>
      <c r="D102" s="225" t="s">
        <v>723</v>
      </c>
      <c r="E102" s="188"/>
      <c r="F102" s="243">
        <v>0</v>
      </c>
      <c r="G102" s="188"/>
      <c r="H102" s="210">
        <v>1.1588717214649709</v>
      </c>
      <c r="I102" s="188"/>
      <c r="J102" s="210">
        <v>1.1588717214649709</v>
      </c>
      <c r="K102" s="213"/>
      <c r="L102" s="214">
        <v>0</v>
      </c>
      <c r="M102" s="213"/>
      <c r="N102" s="214">
        <v>0</v>
      </c>
      <c r="O102" s="215"/>
      <c r="P102" s="216" t="s">
        <v>252</v>
      </c>
      <c r="Q102" s="217"/>
      <c r="R102" s="199">
        <v>11.3</v>
      </c>
    </row>
    <row r="103" spans="1:18">
      <c r="B103" s="230">
        <v>396.1</v>
      </c>
      <c r="C103" s="188"/>
      <c r="D103" s="225" t="s">
        <v>724</v>
      </c>
      <c r="E103" s="188"/>
      <c r="F103" s="243">
        <v>0</v>
      </c>
      <c r="G103" s="188"/>
      <c r="H103" s="224" t="s">
        <v>677</v>
      </c>
      <c r="I103" s="188"/>
      <c r="J103" s="210">
        <v>0</v>
      </c>
      <c r="K103" s="213"/>
      <c r="L103" s="214">
        <v>0</v>
      </c>
      <c r="M103" s="213"/>
      <c r="N103" s="214">
        <v>0</v>
      </c>
      <c r="O103" s="215"/>
      <c r="P103" s="216" t="s">
        <v>725</v>
      </c>
      <c r="Q103" s="217"/>
      <c r="R103" s="218">
        <v>0</v>
      </c>
    </row>
    <row r="104" spans="1:18">
      <c r="B104" s="210">
        <v>396.2</v>
      </c>
      <c r="C104" s="188"/>
      <c r="D104" s="225" t="s">
        <v>726</v>
      </c>
      <c r="E104" s="188"/>
      <c r="F104" s="243">
        <v>5</v>
      </c>
      <c r="G104" s="188"/>
      <c r="H104" s="228">
        <v>5.897116577737429</v>
      </c>
      <c r="I104" s="188"/>
      <c r="J104" s="210">
        <v>6.2071165777374286</v>
      </c>
      <c r="K104" s="213"/>
      <c r="L104" s="214">
        <v>0</v>
      </c>
      <c r="M104" s="213"/>
      <c r="N104" s="214">
        <v>-0.31</v>
      </c>
      <c r="O104" s="215"/>
      <c r="P104" s="216" t="s">
        <v>727</v>
      </c>
      <c r="Q104" s="217"/>
      <c r="R104" s="199">
        <v>12.6</v>
      </c>
    </row>
    <row r="105" spans="1:18">
      <c r="A105" s="185">
        <v>396</v>
      </c>
      <c r="B105" s="188"/>
      <c r="C105" s="188"/>
      <c r="D105" s="188"/>
      <c r="E105" s="188"/>
      <c r="F105" s="244" t="s">
        <v>1795</v>
      </c>
      <c r="G105" s="188"/>
      <c r="H105" s="236">
        <v>1.5159809060339586</v>
      </c>
      <c r="I105" s="188"/>
      <c r="J105" s="188"/>
      <c r="K105" s="188"/>
      <c r="L105" s="188"/>
      <c r="M105" s="188"/>
      <c r="N105" s="188"/>
      <c r="O105" s="188"/>
      <c r="P105" s="188" t="s">
        <v>743</v>
      </c>
      <c r="Q105" s="188"/>
      <c r="R105" s="245" t="s">
        <v>742</v>
      </c>
    </row>
    <row r="106" spans="1:18">
      <c r="F106" s="243"/>
    </row>
    <row r="107" spans="1:18">
      <c r="F107" s="243"/>
    </row>
    <row r="108" spans="1:18">
      <c r="F108" s="243"/>
    </row>
    <row r="109" spans="1:18">
      <c r="F109" s="243"/>
    </row>
    <row r="110" spans="1:18">
      <c r="F110" s="243"/>
    </row>
    <row r="111" spans="1:18">
      <c r="F111" s="243"/>
    </row>
    <row r="112" spans="1:18">
      <c r="F112" s="243"/>
    </row>
    <row r="113" spans="6:6">
      <c r="F113" s="243"/>
    </row>
    <row r="114" spans="6:6">
      <c r="F114" s="243"/>
    </row>
    <row r="115" spans="6:6">
      <c r="F115" s="243"/>
    </row>
    <row r="116" spans="6:6">
      <c r="F116" s="243"/>
    </row>
    <row r="117" spans="6:6">
      <c r="F117" s="243"/>
    </row>
    <row r="118" spans="6:6">
      <c r="F118" s="243"/>
    </row>
    <row r="119" spans="6:6">
      <c r="F119" s="243"/>
    </row>
    <row r="120" spans="6:6">
      <c r="F120" s="243"/>
    </row>
    <row r="121" spans="6:6">
      <c r="F121" s="243"/>
    </row>
    <row r="122" spans="6:6">
      <c r="F122" s="243"/>
    </row>
    <row r="123" spans="6:6">
      <c r="F123" s="243"/>
    </row>
    <row r="124" spans="6:6">
      <c r="F124" s="243"/>
    </row>
    <row r="125" spans="6:6">
      <c r="F125" s="243"/>
    </row>
    <row r="126" spans="6:6">
      <c r="F126" s="243"/>
    </row>
    <row r="127" spans="6:6">
      <c r="F127" s="243"/>
    </row>
    <row r="128" spans="6:6">
      <c r="F128" s="243"/>
    </row>
    <row r="129" spans="6:6">
      <c r="F129" s="243"/>
    </row>
    <row r="130" spans="6:6">
      <c r="F130" s="243"/>
    </row>
    <row r="131" spans="6:6">
      <c r="F131" s="243"/>
    </row>
    <row r="132" spans="6:6">
      <c r="F132" s="243"/>
    </row>
    <row r="133" spans="6:6">
      <c r="F133" s="243"/>
    </row>
    <row r="134" spans="6:6">
      <c r="F134" s="243"/>
    </row>
    <row r="135" spans="6:6">
      <c r="F135" s="243"/>
    </row>
    <row r="136" spans="6:6">
      <c r="F136" s="243"/>
    </row>
    <row r="137" spans="6:6">
      <c r="F137" s="243"/>
    </row>
    <row r="138" spans="6:6">
      <c r="F138" s="243"/>
    </row>
    <row r="139" spans="6:6">
      <c r="F139" s="243"/>
    </row>
    <row r="140" spans="6:6">
      <c r="F140" s="243"/>
    </row>
    <row r="141" spans="6:6">
      <c r="F141" s="243"/>
    </row>
    <row r="142" spans="6:6">
      <c r="F142" s="243"/>
    </row>
    <row r="143" spans="6:6">
      <c r="F143" s="243"/>
    </row>
    <row r="144" spans="6:6">
      <c r="F144" s="243"/>
    </row>
    <row r="145" spans="6:6">
      <c r="F145" s="243"/>
    </row>
    <row r="146" spans="6:6">
      <c r="F146" s="243"/>
    </row>
    <row r="147" spans="6:6">
      <c r="F147" s="243"/>
    </row>
    <row r="148" spans="6:6">
      <c r="F148" s="243"/>
    </row>
    <row r="149" spans="6:6">
      <c r="F149" s="243"/>
    </row>
    <row r="150" spans="6:6">
      <c r="F150" s="243"/>
    </row>
    <row r="151" spans="6:6">
      <c r="F151" s="243"/>
    </row>
    <row r="152" spans="6:6">
      <c r="F152" s="243"/>
    </row>
    <row r="153" spans="6:6">
      <c r="F153" s="243"/>
    </row>
    <row r="154" spans="6:6">
      <c r="F154" s="243"/>
    </row>
    <row r="155" spans="6:6">
      <c r="F155" s="243"/>
    </row>
    <row r="156" spans="6:6">
      <c r="F156" s="243"/>
    </row>
    <row r="157" spans="6:6">
      <c r="F157" s="243"/>
    </row>
    <row r="158" spans="6:6">
      <c r="F158" s="243"/>
    </row>
    <row r="159" spans="6:6">
      <c r="F159" s="243"/>
    </row>
    <row r="160" spans="6:6">
      <c r="F160" s="243"/>
    </row>
    <row r="161" spans="6:6">
      <c r="F161" s="243"/>
    </row>
    <row r="162" spans="6:6">
      <c r="F162" s="243"/>
    </row>
    <row r="163" spans="6:6">
      <c r="F163" s="243"/>
    </row>
    <row r="164" spans="6:6">
      <c r="F164" s="243"/>
    </row>
    <row r="165" spans="6:6">
      <c r="F165" s="243"/>
    </row>
    <row r="166" spans="6:6">
      <c r="F166" s="243"/>
    </row>
    <row r="167" spans="6:6">
      <c r="F167" s="243"/>
    </row>
    <row r="168" spans="6:6">
      <c r="F168" s="243"/>
    </row>
    <row r="169" spans="6:6">
      <c r="F169" s="243"/>
    </row>
    <row r="170" spans="6:6">
      <c r="F170" s="243"/>
    </row>
    <row r="171" spans="6:6">
      <c r="F171" s="243"/>
    </row>
    <row r="172" spans="6:6">
      <c r="F172" s="243"/>
    </row>
    <row r="173" spans="6:6">
      <c r="F173" s="243"/>
    </row>
    <row r="174" spans="6:6">
      <c r="F174" s="243"/>
    </row>
    <row r="175" spans="6:6">
      <c r="F175" s="243"/>
    </row>
    <row r="176" spans="6:6">
      <c r="F176" s="243"/>
    </row>
    <row r="177" spans="6:6">
      <c r="F177" s="243"/>
    </row>
    <row r="178" spans="6:6">
      <c r="F178" s="243"/>
    </row>
    <row r="179" spans="6:6">
      <c r="F179" s="243"/>
    </row>
    <row r="180" spans="6:6">
      <c r="F180" s="243"/>
    </row>
    <row r="181" spans="6:6">
      <c r="F181" s="243"/>
    </row>
    <row r="182" spans="6:6">
      <c r="F182" s="243"/>
    </row>
    <row r="183" spans="6:6">
      <c r="F183" s="243"/>
    </row>
    <row r="184" spans="6:6">
      <c r="F184" s="243"/>
    </row>
    <row r="185" spans="6:6">
      <c r="F185" s="243"/>
    </row>
    <row r="186" spans="6:6">
      <c r="F186" s="243"/>
    </row>
    <row r="187" spans="6:6">
      <c r="F187" s="243"/>
    </row>
    <row r="188" spans="6:6">
      <c r="F188" s="243"/>
    </row>
    <row r="189" spans="6:6">
      <c r="F189" s="243"/>
    </row>
    <row r="190" spans="6:6">
      <c r="F190" s="243"/>
    </row>
    <row r="191" spans="6:6">
      <c r="F191" s="243"/>
    </row>
    <row r="192" spans="6:6">
      <c r="F192" s="243"/>
    </row>
    <row r="193" spans="6:6">
      <c r="F193" s="243"/>
    </row>
    <row r="194" spans="6:6">
      <c r="F194" s="243"/>
    </row>
    <row r="195" spans="6:6">
      <c r="F195" s="243"/>
    </row>
    <row r="196" spans="6:6">
      <c r="F196" s="243"/>
    </row>
    <row r="197" spans="6:6">
      <c r="F197" s="243"/>
    </row>
    <row r="198" spans="6:6">
      <c r="F198" s="243"/>
    </row>
    <row r="199" spans="6:6">
      <c r="F199" s="243"/>
    </row>
    <row r="200" spans="6:6">
      <c r="F200" s="243"/>
    </row>
    <row r="201" spans="6:6">
      <c r="F201" s="243"/>
    </row>
    <row r="202" spans="6:6">
      <c r="F202" s="243"/>
    </row>
    <row r="203" spans="6:6">
      <c r="F203" s="243"/>
    </row>
    <row r="204" spans="6:6">
      <c r="F204" s="243"/>
    </row>
    <row r="205" spans="6:6">
      <c r="F205" s="243"/>
    </row>
    <row r="206" spans="6:6">
      <c r="F206" s="243"/>
    </row>
    <row r="207" spans="6:6">
      <c r="F207" s="243"/>
    </row>
    <row r="208" spans="6:6">
      <c r="F208" s="243"/>
    </row>
    <row r="209" spans="6:6">
      <c r="F209" s="243"/>
    </row>
    <row r="210" spans="6:6">
      <c r="F210" s="243"/>
    </row>
    <row r="211" spans="6:6">
      <c r="F211" s="243"/>
    </row>
    <row r="212" spans="6:6">
      <c r="F212" s="243"/>
    </row>
    <row r="213" spans="6:6">
      <c r="F213" s="243"/>
    </row>
    <row r="214" spans="6:6">
      <c r="F214" s="243"/>
    </row>
    <row r="215" spans="6:6">
      <c r="F215" s="243"/>
    </row>
    <row r="216" spans="6:6">
      <c r="F216" s="243"/>
    </row>
    <row r="217" spans="6:6">
      <c r="F217" s="243"/>
    </row>
    <row r="218" spans="6:6">
      <c r="F218" s="243"/>
    </row>
    <row r="219" spans="6:6">
      <c r="F219" s="243"/>
    </row>
    <row r="220" spans="6:6">
      <c r="F220" s="243"/>
    </row>
    <row r="221" spans="6:6">
      <c r="F221" s="243"/>
    </row>
    <row r="222" spans="6:6">
      <c r="F222" s="243"/>
    </row>
    <row r="223" spans="6:6">
      <c r="F223" s="243"/>
    </row>
    <row r="224" spans="6:6">
      <c r="F224" s="243"/>
    </row>
    <row r="225" spans="6:6">
      <c r="F225" s="243"/>
    </row>
    <row r="226" spans="6:6">
      <c r="F226" s="243"/>
    </row>
    <row r="227" spans="6:6">
      <c r="F227" s="243"/>
    </row>
    <row r="228" spans="6:6">
      <c r="F228" s="243"/>
    </row>
    <row r="229" spans="6:6">
      <c r="F229" s="243"/>
    </row>
    <row r="230" spans="6:6">
      <c r="F230" s="243"/>
    </row>
    <row r="231" spans="6:6">
      <c r="F231" s="243"/>
    </row>
    <row r="232" spans="6:6">
      <c r="F232" s="243"/>
    </row>
    <row r="233" spans="6:6">
      <c r="F233" s="243"/>
    </row>
    <row r="234" spans="6:6">
      <c r="F234" s="243"/>
    </row>
    <row r="235" spans="6:6">
      <c r="F235" s="243"/>
    </row>
    <row r="236" spans="6:6">
      <c r="F236" s="243"/>
    </row>
    <row r="237" spans="6:6">
      <c r="F237" s="243"/>
    </row>
    <row r="238" spans="6:6">
      <c r="F238" s="243"/>
    </row>
    <row r="239" spans="6:6">
      <c r="F239" s="243"/>
    </row>
    <row r="240" spans="6:6">
      <c r="F240" s="243"/>
    </row>
    <row r="241" spans="6:6">
      <c r="F241" s="243"/>
    </row>
    <row r="242" spans="6:6">
      <c r="F242" s="243"/>
    </row>
    <row r="243" spans="6:6">
      <c r="F243" s="243"/>
    </row>
    <row r="244" spans="6:6">
      <c r="F244" s="243"/>
    </row>
    <row r="245" spans="6:6">
      <c r="F245" s="243"/>
    </row>
    <row r="246" spans="6:6">
      <c r="F246" s="243"/>
    </row>
    <row r="247" spans="6:6">
      <c r="F247" s="243"/>
    </row>
    <row r="248" spans="6:6">
      <c r="F248" s="243"/>
    </row>
    <row r="249" spans="6:6">
      <c r="F249" s="243"/>
    </row>
    <row r="250" spans="6:6">
      <c r="F250" s="243"/>
    </row>
    <row r="251" spans="6:6">
      <c r="F251" s="243"/>
    </row>
    <row r="252" spans="6:6">
      <c r="F252" s="243"/>
    </row>
    <row r="253" spans="6:6">
      <c r="F253" s="243"/>
    </row>
    <row r="254" spans="6:6">
      <c r="F254" s="243"/>
    </row>
    <row r="255" spans="6:6">
      <c r="F255" s="243"/>
    </row>
    <row r="256" spans="6:6">
      <c r="F256" s="243"/>
    </row>
    <row r="257" spans="6:6">
      <c r="F257" s="243"/>
    </row>
    <row r="258" spans="6:6">
      <c r="F258" s="243"/>
    </row>
    <row r="259" spans="6:6">
      <c r="F259" s="243"/>
    </row>
    <row r="260" spans="6:6">
      <c r="F260" s="243"/>
    </row>
    <row r="261" spans="6:6">
      <c r="F261" s="243"/>
    </row>
    <row r="262" spans="6:6">
      <c r="F262" s="243"/>
    </row>
    <row r="263" spans="6:6">
      <c r="F263" s="243"/>
    </row>
    <row r="264" spans="6:6">
      <c r="F264" s="243"/>
    </row>
    <row r="265" spans="6:6">
      <c r="F265" s="243"/>
    </row>
    <row r="266" spans="6:6">
      <c r="F266" s="243"/>
    </row>
    <row r="267" spans="6:6">
      <c r="F267" s="243"/>
    </row>
    <row r="268" spans="6:6">
      <c r="F268" s="243"/>
    </row>
    <row r="269" spans="6:6">
      <c r="F269" s="243"/>
    </row>
    <row r="270" spans="6:6">
      <c r="F270" s="243"/>
    </row>
    <row r="271" spans="6:6">
      <c r="F271" s="243"/>
    </row>
    <row r="272" spans="6:6">
      <c r="F272" s="243"/>
    </row>
    <row r="273" spans="6:6">
      <c r="F273" s="243"/>
    </row>
  </sheetData>
  <mergeCells count="5">
    <mergeCell ref="B1:R1"/>
    <mergeCell ref="B2:R2"/>
    <mergeCell ref="B5:R5"/>
    <mergeCell ref="B6:R6"/>
    <mergeCell ref="A11:D11"/>
  </mergeCells>
  <printOptions horizontalCentered="1"/>
  <pageMargins left="0.2" right="0.2" top="0.5" bottom="0.75" header="0.3" footer="0.3"/>
  <pageSetup scale="54" fitToHeight="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Q62"/>
  <sheetViews>
    <sheetView zoomScale="85" zoomScaleNormal="85" workbookViewId="0">
      <selection activeCell="H74" sqref="H74"/>
    </sheetView>
  </sheetViews>
  <sheetFormatPr defaultColWidth="9" defaultRowHeight="15.75"/>
  <cols>
    <col min="1" max="1" width="8.77734375" style="249" customWidth="1"/>
    <col min="2" max="2" width="1.6640625" style="249" customWidth="1"/>
    <col min="3" max="3" width="68.21875" style="249" bestFit="1" customWidth="1"/>
    <col min="4" max="4" width="1.6640625" style="249" customWidth="1"/>
    <col min="5" max="5" width="10.109375" style="249" bestFit="1" customWidth="1"/>
    <col min="6" max="6" width="1.6640625" style="249" customWidth="1"/>
    <col min="7" max="7" width="14.33203125" style="249" bestFit="1" customWidth="1"/>
    <col min="8" max="8" width="1.6640625" style="249" customWidth="1"/>
    <col min="9" max="9" width="11.88671875" style="249" bestFit="1" customWidth="1"/>
    <col min="10" max="10" width="1.6640625" style="249" customWidth="1"/>
    <col min="11" max="11" width="11.109375" style="249" bestFit="1" customWidth="1"/>
    <col min="12" max="12" width="1.6640625" style="249" customWidth="1"/>
    <col min="13" max="13" width="10.44140625" style="249" bestFit="1" customWidth="1"/>
    <col min="14" max="14" width="1.6640625" style="249" customWidth="1"/>
    <col min="15" max="15" width="11.33203125" style="249" bestFit="1" customWidth="1"/>
    <col min="16" max="16" width="1.6640625" style="249" customWidth="1"/>
    <col min="17" max="17" width="13.109375" style="249" bestFit="1" customWidth="1"/>
    <col min="18" max="16384" width="9" style="249"/>
  </cols>
  <sheetData>
    <row r="1" spans="1:17">
      <c r="A1" s="502" t="s">
        <v>434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</row>
    <row r="2" spans="1:17">
      <c r="A2" s="502" t="s">
        <v>745</v>
      </c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</row>
    <row r="3" spans="1:17">
      <c r="A3" s="502" t="s">
        <v>209</v>
      </c>
      <c r="B3" s="502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</row>
    <row r="4" spans="1:17">
      <c r="A4" s="189"/>
      <c r="B4" s="190"/>
      <c r="C4" s="190"/>
      <c r="D4" s="190"/>
      <c r="E4" s="250"/>
      <c r="F4" s="190"/>
      <c r="G4" s="188"/>
      <c r="H4" s="188"/>
      <c r="I4" s="188"/>
      <c r="J4" s="188"/>
      <c r="K4" s="188"/>
      <c r="L4" s="188"/>
      <c r="M4" s="188"/>
      <c r="N4" s="195"/>
      <c r="O4" s="188"/>
      <c r="P4" s="188"/>
      <c r="Q4" s="188"/>
    </row>
    <row r="5" spans="1:17">
      <c r="A5" s="189"/>
      <c r="B5" s="190"/>
      <c r="C5" s="190"/>
      <c r="D5" s="190"/>
      <c r="E5" s="191"/>
      <c r="F5" s="190"/>
      <c r="G5" s="348" t="s">
        <v>666</v>
      </c>
      <c r="H5" s="188"/>
      <c r="I5" s="192" t="s">
        <v>210</v>
      </c>
      <c r="J5" s="193"/>
      <c r="K5" s="192" t="s">
        <v>211</v>
      </c>
      <c r="L5" s="193"/>
      <c r="M5" s="192" t="s">
        <v>212</v>
      </c>
      <c r="N5" s="195"/>
      <c r="O5" s="192"/>
      <c r="P5" s="192"/>
      <c r="Q5" s="192"/>
    </row>
    <row r="6" spans="1:17">
      <c r="A6" s="195"/>
      <c r="B6" s="196"/>
      <c r="C6" s="197"/>
      <c r="D6" s="348"/>
      <c r="E6" s="198" t="s">
        <v>213</v>
      </c>
      <c r="F6" s="348"/>
      <c r="G6" s="348" t="s">
        <v>214</v>
      </c>
      <c r="H6" s="199"/>
      <c r="I6" s="192" t="s">
        <v>215</v>
      </c>
      <c r="J6" s="193"/>
      <c r="K6" s="192" t="s">
        <v>216</v>
      </c>
      <c r="L6" s="193"/>
      <c r="M6" s="192" t="s">
        <v>217</v>
      </c>
      <c r="N6" s="195"/>
      <c r="O6" s="192"/>
      <c r="P6" s="192"/>
      <c r="Q6" s="192" t="s">
        <v>218</v>
      </c>
    </row>
    <row r="7" spans="1:17">
      <c r="A7" s="195"/>
      <c r="B7" s="196"/>
      <c r="C7" s="348"/>
      <c r="D7" s="348"/>
      <c r="E7" s="198" t="s">
        <v>217</v>
      </c>
      <c r="F7" s="348"/>
      <c r="G7" s="201" t="s">
        <v>219</v>
      </c>
      <c r="H7" s="199"/>
      <c r="I7" s="200" t="s">
        <v>219</v>
      </c>
      <c r="J7" s="202"/>
      <c r="K7" s="200" t="s">
        <v>219</v>
      </c>
      <c r="L7" s="202"/>
      <c r="M7" s="200" t="s">
        <v>219</v>
      </c>
      <c r="N7" s="195"/>
      <c r="O7" s="192" t="s">
        <v>220</v>
      </c>
      <c r="P7" s="192"/>
      <c r="Q7" s="192" t="s">
        <v>221</v>
      </c>
    </row>
    <row r="8" spans="1:17">
      <c r="A8" s="503" t="s">
        <v>222</v>
      </c>
      <c r="B8" s="503"/>
      <c r="C8" s="503"/>
      <c r="D8" s="348"/>
      <c r="E8" s="204" t="s">
        <v>223</v>
      </c>
      <c r="F8" s="348"/>
      <c r="G8" s="205" t="s">
        <v>224</v>
      </c>
      <c r="H8" s="199"/>
      <c r="I8" s="203" t="s">
        <v>224</v>
      </c>
      <c r="J8" s="193"/>
      <c r="K8" s="203" t="s">
        <v>224</v>
      </c>
      <c r="L8" s="193"/>
      <c r="M8" s="203" t="s">
        <v>224</v>
      </c>
      <c r="N8" s="195"/>
      <c r="O8" s="206" t="s">
        <v>225</v>
      </c>
      <c r="P8" s="192"/>
      <c r="Q8" s="206" t="s">
        <v>226</v>
      </c>
    </row>
    <row r="9" spans="1:17">
      <c r="A9" s="195"/>
      <c r="B9" s="188"/>
      <c r="C9" s="197" t="s">
        <v>746</v>
      </c>
      <c r="D9" s="188"/>
      <c r="E9" s="191"/>
      <c r="F9" s="188"/>
      <c r="G9" s="226"/>
      <c r="H9" s="188"/>
      <c r="I9" s="234"/>
      <c r="J9" s="188"/>
      <c r="K9" s="234"/>
      <c r="L9" s="188"/>
      <c r="M9" s="234"/>
      <c r="N9" s="195"/>
      <c r="O9" s="188"/>
      <c r="P9" s="188"/>
      <c r="Q9" s="188"/>
    </row>
    <row r="10" spans="1:17">
      <c r="A10" s="188"/>
      <c r="B10" s="188"/>
      <c r="C10" s="251"/>
      <c r="D10" s="188"/>
      <c r="E10" s="191"/>
      <c r="F10" s="188"/>
      <c r="G10" s="252"/>
      <c r="H10" s="188"/>
      <c r="I10" s="252"/>
      <c r="J10" s="188"/>
      <c r="K10" s="252"/>
      <c r="L10" s="188"/>
      <c r="M10" s="252"/>
      <c r="N10" s="188"/>
      <c r="O10" s="188"/>
      <c r="P10" s="188"/>
      <c r="Q10" s="188"/>
    </row>
    <row r="11" spans="1:17">
      <c r="A11" s="188"/>
      <c r="B11" s="188"/>
      <c r="C11" s="205" t="s">
        <v>118</v>
      </c>
      <c r="D11" s="188"/>
      <c r="E11" s="191"/>
      <c r="F11" s="188"/>
      <c r="G11" s="252"/>
      <c r="H11" s="188"/>
      <c r="I11" s="252"/>
      <c r="J11" s="188"/>
      <c r="K11" s="252"/>
      <c r="L11" s="188"/>
      <c r="M11" s="252"/>
      <c r="N11" s="188"/>
      <c r="O11" s="188"/>
      <c r="P11" s="188"/>
      <c r="Q11" s="188"/>
    </row>
    <row r="12" spans="1:17">
      <c r="A12" s="253"/>
      <c r="B12" s="188"/>
      <c r="C12" s="251" t="s">
        <v>747</v>
      </c>
      <c r="D12" s="188"/>
      <c r="E12" s="191">
        <v>0</v>
      </c>
      <c r="F12" s="188"/>
      <c r="G12" s="210">
        <v>13.97</v>
      </c>
      <c r="H12" s="188"/>
      <c r="I12" s="210">
        <v>13.97</v>
      </c>
      <c r="J12" s="213"/>
      <c r="K12" s="214">
        <v>0</v>
      </c>
      <c r="L12" s="213"/>
      <c r="M12" s="214">
        <v>0</v>
      </c>
      <c r="N12" s="188"/>
      <c r="O12" s="199" t="s">
        <v>229</v>
      </c>
      <c r="P12" s="188"/>
      <c r="Q12" s="199">
        <v>3.8</v>
      </c>
    </row>
    <row r="13" spans="1:17">
      <c r="A13" s="253">
        <v>303.10000000000002</v>
      </c>
      <c r="B13" s="188"/>
      <c r="C13" s="251" t="s">
        <v>230</v>
      </c>
      <c r="D13" s="188"/>
      <c r="E13" s="191">
        <v>0</v>
      </c>
      <c r="F13" s="188"/>
      <c r="G13" s="210">
        <v>9.92</v>
      </c>
      <c r="H13" s="188"/>
      <c r="I13" s="210">
        <v>9.92</v>
      </c>
      <c r="J13" s="188"/>
      <c r="K13" s="214">
        <v>0</v>
      </c>
      <c r="L13" s="213"/>
      <c r="M13" s="214">
        <v>0</v>
      </c>
      <c r="N13" s="188"/>
      <c r="O13" s="199" t="s">
        <v>231</v>
      </c>
      <c r="P13" s="188"/>
      <c r="Q13" s="199">
        <v>7.5</v>
      </c>
    </row>
    <row r="14" spans="1:17">
      <c r="A14" s="253">
        <v>303</v>
      </c>
      <c r="B14" s="188"/>
      <c r="C14" s="219" t="s">
        <v>232</v>
      </c>
      <c r="D14" s="188"/>
      <c r="E14" s="430">
        <v>0</v>
      </c>
      <c r="F14" s="188"/>
      <c r="G14" s="220">
        <v>11.119381353695875</v>
      </c>
      <c r="H14" s="196"/>
      <c r="I14" s="221"/>
      <c r="J14" s="196"/>
      <c r="K14" s="221"/>
      <c r="L14" s="196"/>
      <c r="M14" s="221"/>
      <c r="N14" s="188"/>
      <c r="O14" s="199" t="s">
        <v>258</v>
      </c>
      <c r="P14" s="188"/>
      <c r="Q14" s="245" t="s">
        <v>734</v>
      </c>
    </row>
    <row r="15" spans="1:17">
      <c r="A15" s="188"/>
      <c r="B15" s="188"/>
      <c r="C15" s="251"/>
      <c r="D15" s="188"/>
      <c r="E15" s="191"/>
      <c r="F15" s="188"/>
      <c r="G15" s="252"/>
      <c r="H15" s="188"/>
      <c r="I15" s="252"/>
      <c r="J15" s="188"/>
      <c r="K15" s="252"/>
      <c r="L15" s="188"/>
      <c r="M15" s="252"/>
      <c r="N15" s="188"/>
      <c r="O15" s="188"/>
      <c r="P15" s="188"/>
      <c r="Q15" s="188"/>
    </row>
    <row r="16" spans="1:17">
      <c r="A16" s="188"/>
      <c r="B16" s="188"/>
      <c r="C16" s="205" t="s">
        <v>245</v>
      </c>
      <c r="D16" s="188"/>
      <c r="E16" s="191"/>
      <c r="F16" s="188"/>
      <c r="G16" s="252"/>
      <c r="H16" s="188"/>
      <c r="I16" s="252"/>
      <c r="J16" s="188"/>
      <c r="K16" s="252"/>
      <c r="L16" s="188"/>
      <c r="M16" s="252"/>
      <c r="N16" s="188"/>
      <c r="O16" s="188"/>
      <c r="P16" s="188"/>
      <c r="Q16" s="188"/>
    </row>
    <row r="17" spans="1:17">
      <c r="A17" s="188"/>
      <c r="B17" s="188"/>
      <c r="C17" s="251" t="s">
        <v>234</v>
      </c>
      <c r="D17" s="188"/>
      <c r="E17" s="191"/>
      <c r="F17" s="188"/>
      <c r="G17" s="252"/>
      <c r="H17" s="188"/>
      <c r="I17" s="252"/>
      <c r="J17" s="188"/>
      <c r="K17" s="252"/>
      <c r="L17" s="188"/>
      <c r="M17" s="252"/>
      <c r="N17" s="188"/>
      <c r="O17" s="188"/>
      <c r="P17" s="188"/>
      <c r="Q17" s="188"/>
    </row>
    <row r="18" spans="1:17">
      <c r="A18" s="253">
        <v>390.1</v>
      </c>
      <c r="B18" s="188"/>
      <c r="C18" s="231" t="s">
        <v>748</v>
      </c>
      <c r="D18" s="188"/>
      <c r="E18" s="430">
        <v>-0.1</v>
      </c>
      <c r="F18" s="188"/>
      <c r="G18" s="210">
        <v>3.4</v>
      </c>
      <c r="H18" s="188"/>
      <c r="I18" s="210">
        <v>3.09</v>
      </c>
      <c r="J18" s="188"/>
      <c r="K18" s="214">
        <v>0.31</v>
      </c>
      <c r="L18" s="188"/>
      <c r="M18" s="214">
        <v>0</v>
      </c>
      <c r="N18" s="188"/>
      <c r="O18" s="199" t="s">
        <v>238</v>
      </c>
      <c r="P18" s="188"/>
      <c r="Q18" s="199">
        <v>23.1</v>
      </c>
    </row>
    <row r="19" spans="1:17">
      <c r="A19" s="210">
        <v>390.2</v>
      </c>
      <c r="B19" s="188"/>
      <c r="C19" s="231" t="s">
        <v>749</v>
      </c>
      <c r="D19" s="188"/>
      <c r="E19" s="430">
        <v>-0.05</v>
      </c>
      <c r="F19" s="188"/>
      <c r="G19" s="210">
        <v>5.98</v>
      </c>
      <c r="H19" s="188"/>
      <c r="I19" s="210">
        <v>5.7</v>
      </c>
      <c r="J19" s="188"/>
      <c r="K19" s="214">
        <v>0.28000000000000003</v>
      </c>
      <c r="L19" s="188"/>
      <c r="M19" s="214">
        <v>0</v>
      </c>
      <c r="N19" s="188"/>
      <c r="O19" s="199" t="s">
        <v>750</v>
      </c>
      <c r="P19" s="188"/>
      <c r="Q19" s="199">
        <v>15.1</v>
      </c>
    </row>
    <row r="20" spans="1:17">
      <c r="A20" s="210">
        <v>390.3</v>
      </c>
      <c r="B20" s="188"/>
      <c r="C20" s="231" t="s">
        <v>751</v>
      </c>
      <c r="D20" s="188"/>
      <c r="E20" s="430">
        <v>-0.1</v>
      </c>
      <c r="F20" s="188"/>
      <c r="G20" s="210">
        <v>1.96</v>
      </c>
      <c r="H20" s="188"/>
      <c r="I20" s="210">
        <v>1.78</v>
      </c>
      <c r="J20" s="188"/>
      <c r="K20" s="214">
        <v>0.18</v>
      </c>
      <c r="L20" s="188"/>
      <c r="M20" s="214">
        <v>0</v>
      </c>
      <c r="N20" s="188"/>
      <c r="O20" s="199" t="s">
        <v>237</v>
      </c>
      <c r="P20" s="188"/>
      <c r="Q20" s="199">
        <v>23.4</v>
      </c>
    </row>
    <row r="21" spans="1:17">
      <c r="A21" s="236">
        <v>390.4</v>
      </c>
      <c r="B21" s="225"/>
      <c r="C21" s="231" t="s">
        <v>752</v>
      </c>
      <c r="D21" s="188"/>
      <c r="E21" s="430">
        <v>-0.05</v>
      </c>
      <c r="F21" s="188"/>
      <c r="G21" s="210">
        <v>2.0499999999999998</v>
      </c>
      <c r="H21" s="188"/>
      <c r="I21" s="210">
        <v>1.9499999999999997</v>
      </c>
      <c r="J21" s="188"/>
      <c r="K21" s="214">
        <v>0.1</v>
      </c>
      <c r="L21" s="188"/>
      <c r="M21" s="214">
        <v>0</v>
      </c>
      <c r="N21" s="188"/>
      <c r="O21" s="199" t="s">
        <v>753</v>
      </c>
      <c r="P21" s="188"/>
      <c r="Q21" s="199">
        <v>35.6</v>
      </c>
    </row>
    <row r="22" spans="1:17">
      <c r="A22" s="236">
        <v>390.6</v>
      </c>
      <c r="B22" s="225"/>
      <c r="C22" s="231" t="s">
        <v>754</v>
      </c>
      <c r="D22" s="188"/>
      <c r="E22" s="430">
        <v>-0.05</v>
      </c>
      <c r="F22" s="188"/>
      <c r="G22" s="228">
        <v>2.2999999999999998</v>
      </c>
      <c r="H22" s="188"/>
      <c r="I22" s="210">
        <v>2.19</v>
      </c>
      <c r="J22" s="188"/>
      <c r="K22" s="214">
        <v>0.11</v>
      </c>
      <c r="L22" s="188"/>
      <c r="M22" s="214">
        <v>0</v>
      </c>
      <c r="N22" s="188"/>
      <c r="O22" s="199" t="s">
        <v>237</v>
      </c>
      <c r="P22" s="188"/>
      <c r="Q22" s="199">
        <v>35.799999999999997</v>
      </c>
    </row>
    <row r="23" spans="1:17">
      <c r="A23" s="236">
        <v>390</v>
      </c>
      <c r="B23" s="225"/>
      <c r="C23" s="231"/>
      <c r="D23" s="188"/>
      <c r="E23" s="257" t="s">
        <v>1794</v>
      </c>
      <c r="F23" s="188"/>
      <c r="G23" s="210">
        <v>3.25</v>
      </c>
      <c r="H23" s="188"/>
      <c r="I23" s="211"/>
      <c r="J23" s="188"/>
      <c r="K23" s="211"/>
      <c r="L23" s="188"/>
      <c r="M23" s="211"/>
      <c r="N23" s="188"/>
      <c r="O23" s="245" t="s">
        <v>755</v>
      </c>
      <c r="P23" s="188"/>
      <c r="Q23" s="245" t="s">
        <v>756</v>
      </c>
    </row>
    <row r="24" spans="1:17">
      <c r="A24" s="236"/>
      <c r="B24" s="225"/>
      <c r="C24" s="231" t="s">
        <v>757</v>
      </c>
      <c r="D24" s="188"/>
      <c r="E24" s="191"/>
      <c r="F24" s="188"/>
      <c r="G24" s="210"/>
      <c r="H24" s="188"/>
      <c r="I24" s="211"/>
      <c r="J24" s="188"/>
      <c r="K24" s="211"/>
      <c r="L24" s="188"/>
      <c r="M24" s="211"/>
      <c r="N24" s="188"/>
      <c r="O24" s="188"/>
      <c r="P24" s="188"/>
      <c r="Q24" s="188"/>
    </row>
    <row r="25" spans="1:17">
      <c r="A25" s="236">
        <v>391.1</v>
      </c>
      <c r="B25" s="225"/>
      <c r="C25" s="231" t="s">
        <v>758</v>
      </c>
      <c r="D25" s="188"/>
      <c r="E25" s="430">
        <v>0</v>
      </c>
      <c r="F25" s="188"/>
      <c r="G25" s="210">
        <v>19.940000000000001</v>
      </c>
      <c r="H25" s="188"/>
      <c r="I25" s="210">
        <v>19.940000000000001</v>
      </c>
      <c r="J25" s="188"/>
      <c r="K25" s="214">
        <v>0</v>
      </c>
      <c r="L25" s="213"/>
      <c r="M25" s="214">
        <v>0</v>
      </c>
      <c r="N25" s="188"/>
      <c r="O25" s="199" t="s">
        <v>228</v>
      </c>
      <c r="P25" s="188"/>
      <c r="Q25" s="199">
        <v>3.1</v>
      </c>
    </row>
    <row r="26" spans="1:17">
      <c r="A26" s="236">
        <v>391.2</v>
      </c>
      <c r="B26" s="225"/>
      <c r="C26" s="231" t="s">
        <v>759</v>
      </c>
      <c r="D26" s="188"/>
      <c r="E26" s="430">
        <v>0</v>
      </c>
      <c r="F26" s="188"/>
      <c r="G26" s="210">
        <v>8.16</v>
      </c>
      <c r="H26" s="188"/>
      <c r="I26" s="210">
        <v>8.16</v>
      </c>
      <c r="J26" s="188"/>
      <c r="K26" s="214">
        <v>0</v>
      </c>
      <c r="L26" s="213"/>
      <c r="M26" s="214">
        <v>0</v>
      </c>
      <c r="N26" s="188"/>
      <c r="O26" s="199" t="s">
        <v>760</v>
      </c>
      <c r="P26" s="188"/>
      <c r="Q26" s="199">
        <v>6.6</v>
      </c>
    </row>
    <row r="27" spans="1:17">
      <c r="A27" s="236">
        <v>391.3</v>
      </c>
      <c r="B27" s="225"/>
      <c r="C27" s="231" t="s">
        <v>761</v>
      </c>
      <c r="D27" s="188"/>
      <c r="E27" s="430">
        <v>0</v>
      </c>
      <c r="F27" s="188"/>
      <c r="G27" s="210">
        <v>3.43</v>
      </c>
      <c r="H27" s="188"/>
      <c r="I27" s="210">
        <v>3.43</v>
      </c>
      <c r="J27" s="188"/>
      <c r="K27" s="214">
        <v>0</v>
      </c>
      <c r="L27" s="213"/>
      <c r="M27" s="214">
        <v>0</v>
      </c>
      <c r="N27" s="188"/>
      <c r="O27" s="199" t="s">
        <v>229</v>
      </c>
      <c r="P27" s="188"/>
      <c r="Q27" s="199">
        <v>4.5</v>
      </c>
    </row>
    <row r="28" spans="1:17">
      <c r="A28" s="236">
        <v>391.31</v>
      </c>
      <c r="B28" s="225"/>
      <c r="C28" s="231" t="s">
        <v>762</v>
      </c>
      <c r="D28" s="188"/>
      <c r="E28" s="430">
        <v>0</v>
      </c>
      <c r="F28" s="188"/>
      <c r="G28" s="210">
        <v>21.88</v>
      </c>
      <c r="H28" s="188"/>
      <c r="I28" s="210">
        <v>21.88</v>
      </c>
      <c r="J28" s="188"/>
      <c r="K28" s="214">
        <v>0</v>
      </c>
      <c r="L28" s="213"/>
      <c r="M28" s="214">
        <v>0</v>
      </c>
      <c r="N28" s="188"/>
      <c r="O28" s="199" t="s">
        <v>246</v>
      </c>
      <c r="P28" s="188"/>
      <c r="Q28" s="199">
        <v>2.2000000000000002</v>
      </c>
    </row>
    <row r="29" spans="1:17">
      <c r="A29" s="236">
        <v>391.4</v>
      </c>
      <c r="B29" s="225"/>
      <c r="C29" s="231" t="s">
        <v>763</v>
      </c>
      <c r="D29" s="188"/>
      <c r="E29" s="430">
        <v>0</v>
      </c>
      <c r="F29" s="188"/>
      <c r="G29" s="228">
        <v>18.18</v>
      </c>
      <c r="H29" s="188"/>
      <c r="I29" s="210">
        <v>18.18</v>
      </c>
      <c r="J29" s="188"/>
      <c r="K29" s="214">
        <v>0</v>
      </c>
      <c r="L29" s="213"/>
      <c r="M29" s="214">
        <v>0</v>
      </c>
      <c r="N29" s="188"/>
      <c r="O29" s="199" t="s">
        <v>254</v>
      </c>
      <c r="P29" s="188"/>
      <c r="Q29" s="199">
        <v>3.1</v>
      </c>
    </row>
    <row r="30" spans="1:17">
      <c r="A30" s="236">
        <v>391</v>
      </c>
      <c r="B30" s="225"/>
      <c r="C30" s="231"/>
      <c r="D30" s="188"/>
      <c r="E30" s="430">
        <v>0</v>
      </c>
      <c r="F30" s="188"/>
      <c r="G30" s="210">
        <v>10.44</v>
      </c>
      <c r="H30" s="188"/>
      <c r="I30" s="210"/>
      <c r="J30" s="188"/>
      <c r="K30" s="214"/>
      <c r="L30" s="213"/>
      <c r="M30" s="214"/>
      <c r="N30" s="188"/>
      <c r="O30" s="199" t="s">
        <v>764</v>
      </c>
      <c r="P30" s="188"/>
      <c r="Q30" s="254" t="s">
        <v>765</v>
      </c>
    </row>
    <row r="31" spans="1:17">
      <c r="A31" s="236"/>
      <c r="B31" s="225"/>
      <c r="C31" s="231"/>
      <c r="D31" s="188"/>
      <c r="E31" s="191"/>
      <c r="F31" s="188"/>
      <c r="G31" s="210"/>
      <c r="H31" s="188"/>
      <c r="I31" s="211"/>
      <c r="J31" s="188"/>
      <c r="K31" s="211"/>
      <c r="L31" s="188"/>
      <c r="M31" s="211"/>
      <c r="N31" s="188"/>
      <c r="O31" s="188"/>
      <c r="P31" s="188"/>
      <c r="Q31" s="188"/>
    </row>
    <row r="32" spans="1:17">
      <c r="A32" s="210"/>
      <c r="B32" s="188"/>
      <c r="C32" s="231" t="s">
        <v>766</v>
      </c>
      <c r="D32" s="188"/>
      <c r="E32" s="430">
        <v>0</v>
      </c>
      <c r="F32" s="188"/>
      <c r="G32" s="210">
        <v>11.38</v>
      </c>
      <c r="H32" s="188"/>
      <c r="I32" s="210">
        <v>11.38</v>
      </c>
      <c r="J32" s="188"/>
      <c r="K32" s="214">
        <v>0</v>
      </c>
      <c r="L32" s="213"/>
      <c r="M32" s="214">
        <v>0</v>
      </c>
      <c r="N32" s="195"/>
      <c r="O32" s="199" t="s">
        <v>248</v>
      </c>
      <c r="P32" s="188"/>
      <c r="Q32" s="232">
        <v>6</v>
      </c>
    </row>
    <row r="33" spans="1:17">
      <c r="A33" s="236">
        <v>392.1</v>
      </c>
      <c r="B33" s="225"/>
      <c r="C33" s="231" t="s">
        <v>767</v>
      </c>
      <c r="D33" s="188"/>
      <c r="E33" s="430">
        <v>0</v>
      </c>
      <c r="F33" s="188"/>
      <c r="G33" s="255" t="s">
        <v>233</v>
      </c>
      <c r="H33" s="188"/>
      <c r="I33" s="210">
        <v>0</v>
      </c>
      <c r="J33" s="188"/>
      <c r="K33" s="214">
        <v>0</v>
      </c>
      <c r="L33" s="213"/>
      <c r="M33" s="214">
        <v>0</v>
      </c>
      <c r="N33" s="188"/>
      <c r="O33" s="199" t="s">
        <v>250</v>
      </c>
      <c r="P33" s="188"/>
      <c r="Q33" s="218">
        <v>0</v>
      </c>
    </row>
    <row r="34" spans="1:17">
      <c r="A34" s="236">
        <v>392.2</v>
      </c>
      <c r="B34" s="225"/>
      <c r="C34" s="231" t="s">
        <v>768</v>
      </c>
      <c r="D34" s="188"/>
      <c r="E34" s="430">
        <v>0.05</v>
      </c>
      <c r="F34" s="188"/>
      <c r="G34" s="210">
        <v>6.34</v>
      </c>
      <c r="H34" s="188"/>
      <c r="I34" s="210">
        <v>6.67</v>
      </c>
      <c r="J34" s="188"/>
      <c r="K34" s="214">
        <v>0</v>
      </c>
      <c r="L34" s="188"/>
      <c r="M34" s="214">
        <v>-0.33</v>
      </c>
      <c r="N34" s="188"/>
      <c r="O34" s="199" t="s">
        <v>721</v>
      </c>
      <c r="P34" s="188"/>
      <c r="Q34" s="199">
        <v>9.6</v>
      </c>
    </row>
    <row r="35" spans="1:17">
      <c r="A35" s="236">
        <v>393</v>
      </c>
      <c r="B35" s="225"/>
      <c r="C35" s="231" t="s">
        <v>769</v>
      </c>
      <c r="D35" s="188"/>
      <c r="E35" s="430">
        <v>0</v>
      </c>
      <c r="F35" s="188"/>
      <c r="G35" s="210">
        <v>5.82</v>
      </c>
      <c r="H35" s="188"/>
      <c r="I35" s="210">
        <v>5.82</v>
      </c>
      <c r="J35" s="188"/>
      <c r="K35" s="214">
        <v>0</v>
      </c>
      <c r="L35" s="213"/>
      <c r="M35" s="214">
        <v>0</v>
      </c>
      <c r="N35" s="188"/>
      <c r="O35" s="199" t="s">
        <v>251</v>
      </c>
      <c r="P35" s="188"/>
      <c r="Q35" s="199">
        <v>9.3000000000000007</v>
      </c>
    </row>
    <row r="36" spans="1:17">
      <c r="A36" s="236">
        <v>394</v>
      </c>
      <c r="B36" s="225"/>
      <c r="C36" s="231" t="s">
        <v>770</v>
      </c>
      <c r="D36" s="188"/>
      <c r="E36" s="430">
        <v>0</v>
      </c>
      <c r="F36" s="188"/>
      <c r="G36" s="210">
        <v>5.04</v>
      </c>
      <c r="H36" s="188"/>
      <c r="I36" s="210">
        <v>5.04</v>
      </c>
      <c r="J36" s="188"/>
      <c r="K36" s="214">
        <v>0</v>
      </c>
      <c r="L36" s="213"/>
      <c r="M36" s="214">
        <v>0</v>
      </c>
      <c r="N36" s="188"/>
      <c r="O36" s="199" t="s">
        <v>251</v>
      </c>
      <c r="P36" s="188"/>
      <c r="Q36" s="199">
        <v>14.2</v>
      </c>
    </row>
    <row r="37" spans="1:17">
      <c r="A37" s="236"/>
      <c r="B37" s="225"/>
      <c r="C37" s="231" t="s">
        <v>771</v>
      </c>
      <c r="D37" s="188"/>
      <c r="E37" s="430">
        <v>0</v>
      </c>
      <c r="F37" s="188"/>
      <c r="G37" s="210">
        <v>1.1299999999999999</v>
      </c>
      <c r="H37" s="188"/>
      <c r="I37" s="210">
        <v>1.1299999999999999</v>
      </c>
      <c r="J37" s="188"/>
      <c r="K37" s="214">
        <v>0</v>
      </c>
      <c r="L37" s="213"/>
      <c r="M37" s="214">
        <v>0</v>
      </c>
      <c r="N37" s="188"/>
      <c r="O37" s="199" t="s">
        <v>252</v>
      </c>
      <c r="P37" s="188"/>
      <c r="Q37" s="199">
        <v>10.6</v>
      </c>
    </row>
    <row r="38" spans="1:17">
      <c r="A38" s="210">
        <v>396.2</v>
      </c>
      <c r="B38" s="188"/>
      <c r="C38" s="231" t="s">
        <v>772</v>
      </c>
      <c r="D38" s="188"/>
      <c r="E38" s="430">
        <v>0.1</v>
      </c>
      <c r="F38" s="188"/>
      <c r="G38" s="210">
        <v>6.57</v>
      </c>
      <c r="H38" s="188"/>
      <c r="I38" s="210">
        <v>7.3000000000000007</v>
      </c>
      <c r="J38" s="188"/>
      <c r="K38" s="214">
        <v>0</v>
      </c>
      <c r="L38" s="188"/>
      <c r="M38" s="214">
        <v>-0.73</v>
      </c>
      <c r="N38" s="195"/>
      <c r="O38" s="199" t="s">
        <v>727</v>
      </c>
      <c r="P38" s="188"/>
      <c r="Q38" s="199">
        <v>3.7</v>
      </c>
    </row>
    <row r="39" spans="1:17">
      <c r="A39" s="236"/>
      <c r="B39" s="225"/>
      <c r="C39" s="231" t="s">
        <v>253</v>
      </c>
      <c r="D39" s="188"/>
      <c r="E39" s="430">
        <v>0</v>
      </c>
      <c r="F39" s="188"/>
      <c r="G39" s="210">
        <v>13.14</v>
      </c>
      <c r="H39" s="188"/>
      <c r="I39" s="210">
        <v>13.14</v>
      </c>
      <c r="J39" s="188"/>
      <c r="K39" s="214">
        <v>0</v>
      </c>
      <c r="L39" s="213"/>
      <c r="M39" s="214">
        <v>0</v>
      </c>
      <c r="N39" s="188"/>
      <c r="O39" s="199" t="s">
        <v>254</v>
      </c>
      <c r="P39" s="188"/>
      <c r="Q39" s="199">
        <v>3.5</v>
      </c>
    </row>
    <row r="40" spans="1:17">
      <c r="A40" s="236">
        <v>397.1</v>
      </c>
      <c r="B40" s="225"/>
      <c r="C40" s="231" t="s">
        <v>773</v>
      </c>
      <c r="D40" s="188"/>
      <c r="E40" s="430">
        <v>0</v>
      </c>
      <c r="F40" s="188"/>
      <c r="G40" s="210">
        <v>4.8899999999999997</v>
      </c>
      <c r="H40" s="188"/>
      <c r="I40" s="210">
        <v>4.8899999999999997</v>
      </c>
      <c r="J40" s="188"/>
      <c r="K40" s="214">
        <v>0</v>
      </c>
      <c r="L40" s="213"/>
      <c r="M40" s="214">
        <v>0</v>
      </c>
      <c r="N40" s="188"/>
      <c r="O40" s="199" t="s">
        <v>255</v>
      </c>
      <c r="P40" s="188"/>
      <c r="Q40" s="199">
        <v>14.2</v>
      </c>
    </row>
    <row r="41" spans="1:17">
      <c r="A41" s="236">
        <v>397.4</v>
      </c>
      <c r="B41" s="225"/>
      <c r="C41" s="231" t="s">
        <v>774</v>
      </c>
      <c r="D41" s="188"/>
      <c r="E41" s="430">
        <v>0</v>
      </c>
      <c r="F41" s="188"/>
      <c r="G41" s="210">
        <v>2.84</v>
      </c>
      <c r="H41" s="188"/>
      <c r="I41" s="210">
        <v>2.84</v>
      </c>
      <c r="J41" s="188"/>
      <c r="K41" s="214">
        <v>0</v>
      </c>
      <c r="L41" s="213"/>
      <c r="M41" s="214">
        <v>0</v>
      </c>
      <c r="N41" s="188"/>
      <c r="O41" s="199" t="s">
        <v>713</v>
      </c>
      <c r="P41" s="188"/>
      <c r="Q41" s="199">
        <v>16.2</v>
      </c>
    </row>
    <row r="42" spans="1:17">
      <c r="A42" s="236">
        <v>397.5</v>
      </c>
      <c r="B42" s="225"/>
      <c r="C42" s="231" t="s">
        <v>775</v>
      </c>
      <c r="D42" s="188"/>
      <c r="E42" s="430">
        <v>0</v>
      </c>
      <c r="F42" s="188"/>
      <c r="G42" s="210">
        <v>2.7</v>
      </c>
      <c r="H42" s="188"/>
      <c r="I42" s="210">
        <v>2.7</v>
      </c>
      <c r="J42" s="188"/>
      <c r="K42" s="214">
        <v>0</v>
      </c>
      <c r="L42" s="213"/>
      <c r="M42" s="214">
        <v>0</v>
      </c>
      <c r="N42" s="188"/>
      <c r="O42" s="199" t="s">
        <v>238</v>
      </c>
      <c r="P42" s="188"/>
      <c r="Q42" s="199">
        <v>25.9</v>
      </c>
    </row>
    <row r="43" spans="1:17">
      <c r="A43" s="236">
        <v>398</v>
      </c>
      <c r="B43" s="188"/>
      <c r="C43" s="231" t="s">
        <v>776</v>
      </c>
      <c r="D43" s="188"/>
      <c r="E43" s="430">
        <v>0</v>
      </c>
      <c r="F43" s="188"/>
      <c r="G43" s="255" t="s">
        <v>233</v>
      </c>
      <c r="H43" s="188"/>
      <c r="I43" s="210">
        <v>0</v>
      </c>
      <c r="J43" s="188"/>
      <c r="K43" s="214">
        <v>0</v>
      </c>
      <c r="L43" s="213"/>
      <c r="M43" s="214">
        <v>0</v>
      </c>
      <c r="N43" s="188"/>
      <c r="O43" s="199" t="s">
        <v>254</v>
      </c>
      <c r="P43" s="188"/>
      <c r="Q43" s="218">
        <v>0</v>
      </c>
    </row>
    <row r="44" spans="1:17">
      <c r="A44" s="236"/>
      <c r="B44" s="188"/>
      <c r="C44" s="219" t="s">
        <v>256</v>
      </c>
      <c r="D44" s="188"/>
      <c r="E44" s="191"/>
      <c r="F44" s="188"/>
      <c r="G44" s="220">
        <v>6.5594423632419989</v>
      </c>
      <c r="H44" s="196"/>
      <c r="I44" s="221"/>
      <c r="J44" s="196"/>
      <c r="K44" s="221"/>
      <c r="L44" s="196"/>
      <c r="M44" s="221"/>
      <c r="N44" s="188"/>
      <c r="O44" s="213"/>
      <c r="P44" s="188"/>
      <c r="Q44" s="213"/>
    </row>
    <row r="45" spans="1:17">
      <c r="A45" s="236"/>
      <c r="B45" s="188"/>
      <c r="C45" s="231"/>
      <c r="D45" s="188"/>
      <c r="E45" s="191" t="s">
        <v>777</v>
      </c>
      <c r="F45" s="188"/>
      <c r="G45" s="252"/>
      <c r="H45" s="188"/>
      <c r="I45" s="252"/>
      <c r="J45" s="188"/>
      <c r="K45" s="252"/>
      <c r="L45" s="188"/>
      <c r="M45" s="252"/>
      <c r="N45" s="188"/>
      <c r="O45" s="213"/>
      <c r="P45" s="188"/>
      <c r="Q45" s="213"/>
    </row>
    <row r="46" spans="1:17">
      <c r="A46" s="236"/>
      <c r="B46" s="188"/>
      <c r="C46" s="219" t="s">
        <v>257</v>
      </c>
      <c r="D46" s="188"/>
      <c r="E46" s="191"/>
      <c r="F46" s="188"/>
      <c r="G46" s="220">
        <v>7.8621489189114939</v>
      </c>
      <c r="H46" s="196"/>
      <c r="I46" s="221"/>
      <c r="J46" s="196"/>
      <c r="K46" s="221"/>
      <c r="L46" s="196"/>
      <c r="M46" s="221"/>
      <c r="N46" s="188"/>
      <c r="O46" s="213"/>
      <c r="P46" s="188"/>
      <c r="Q46" s="213"/>
    </row>
    <row r="47" spans="1:17">
      <c r="A47" s="195"/>
      <c r="B47" s="188"/>
      <c r="C47" s="219"/>
      <c r="D47" s="188"/>
      <c r="E47" s="191"/>
      <c r="F47" s="188"/>
      <c r="G47" s="226"/>
      <c r="H47" s="188"/>
      <c r="I47" s="188"/>
      <c r="J47" s="188"/>
      <c r="K47" s="188"/>
      <c r="L47" s="188"/>
      <c r="M47" s="188"/>
      <c r="N47" s="195"/>
      <c r="O47" s="213"/>
      <c r="P47" s="188"/>
      <c r="Q47" s="213"/>
    </row>
    <row r="48" spans="1:17">
      <c r="A48" s="195"/>
      <c r="B48" s="188"/>
      <c r="C48" s="219"/>
      <c r="D48" s="188"/>
      <c r="E48" s="191"/>
      <c r="F48" s="188"/>
      <c r="G48" s="226"/>
      <c r="H48" s="188"/>
      <c r="I48" s="188"/>
      <c r="J48" s="188"/>
      <c r="K48" s="188"/>
      <c r="L48" s="188"/>
      <c r="M48" s="188"/>
      <c r="N48" s="195"/>
      <c r="O48" s="213"/>
      <c r="P48" s="188"/>
      <c r="Q48" s="213"/>
    </row>
    <row r="49" spans="1:17">
      <c r="A49" s="210"/>
      <c r="B49" s="188"/>
      <c r="C49" s="231" t="s">
        <v>766</v>
      </c>
      <c r="D49" s="188"/>
      <c r="E49" s="430">
        <v>0</v>
      </c>
      <c r="F49" s="188"/>
      <c r="G49" s="210">
        <v>11.38</v>
      </c>
      <c r="H49" s="188"/>
      <c r="I49" s="210">
        <v>11.38</v>
      </c>
      <c r="J49" s="188"/>
      <c r="K49" s="214">
        <v>0</v>
      </c>
      <c r="L49" s="213"/>
      <c r="M49" s="214">
        <v>0</v>
      </c>
      <c r="N49" s="195"/>
      <c r="O49" s="199" t="s">
        <v>248</v>
      </c>
      <c r="P49" s="188"/>
      <c r="Q49" s="232">
        <v>6</v>
      </c>
    </row>
    <row r="50" spans="1:17">
      <c r="A50" s="236">
        <v>392.1</v>
      </c>
      <c r="B50" s="225"/>
      <c r="C50" s="231" t="s">
        <v>767</v>
      </c>
      <c r="D50" s="188"/>
      <c r="E50" s="430">
        <v>0</v>
      </c>
      <c r="F50" s="188"/>
      <c r="G50" s="256" t="s">
        <v>233</v>
      </c>
      <c r="H50" s="188"/>
      <c r="I50" s="210">
        <v>0</v>
      </c>
      <c r="J50" s="188"/>
      <c r="K50" s="214">
        <v>0</v>
      </c>
      <c r="L50" s="213"/>
      <c r="M50" s="214">
        <v>0</v>
      </c>
      <c r="N50" s="188"/>
      <c r="O50" s="199" t="s">
        <v>250</v>
      </c>
      <c r="P50" s="188"/>
      <c r="Q50" s="218">
        <v>0</v>
      </c>
    </row>
    <row r="51" spans="1:17">
      <c r="A51" s="236">
        <v>392.2</v>
      </c>
      <c r="B51" s="225"/>
      <c r="C51" s="231" t="s">
        <v>768</v>
      </c>
      <c r="D51" s="188"/>
      <c r="E51" s="430">
        <v>5</v>
      </c>
      <c r="F51" s="188"/>
      <c r="G51" s="228">
        <v>6.34</v>
      </c>
      <c r="H51" s="188"/>
      <c r="I51" s="210">
        <v>6.67</v>
      </c>
      <c r="J51" s="188"/>
      <c r="K51" s="214">
        <v>0</v>
      </c>
      <c r="L51" s="188"/>
      <c r="M51" s="214">
        <v>-0.33</v>
      </c>
      <c r="N51" s="188"/>
      <c r="O51" s="199" t="s">
        <v>721</v>
      </c>
      <c r="P51" s="188"/>
      <c r="Q51" s="199">
        <v>9.6</v>
      </c>
    </row>
    <row r="52" spans="1:17">
      <c r="A52" s="236">
        <v>392</v>
      </c>
      <c r="B52" s="225"/>
      <c r="C52" s="231"/>
      <c r="D52" s="188"/>
      <c r="E52" s="257" t="s">
        <v>1795</v>
      </c>
      <c r="F52" s="188"/>
      <c r="G52" s="210">
        <v>9.7753421578573292</v>
      </c>
      <c r="H52" s="188"/>
      <c r="I52" s="210"/>
      <c r="J52" s="188"/>
      <c r="K52" s="214"/>
      <c r="L52" s="188"/>
      <c r="M52" s="214"/>
      <c r="N52" s="188"/>
      <c r="O52" s="199" t="s">
        <v>778</v>
      </c>
      <c r="P52" s="188"/>
      <c r="Q52" s="245" t="s">
        <v>779</v>
      </c>
    </row>
    <row r="53" spans="1:17">
      <c r="A53" s="236"/>
      <c r="B53" s="225"/>
      <c r="C53" s="231"/>
      <c r="D53" s="188"/>
      <c r="E53" s="191"/>
      <c r="F53" s="188"/>
      <c r="G53" s="210"/>
      <c r="H53" s="188"/>
      <c r="I53" s="210"/>
      <c r="J53" s="188"/>
      <c r="K53" s="214"/>
      <c r="L53" s="188"/>
      <c r="M53" s="214"/>
      <c r="N53" s="188"/>
      <c r="O53" s="188"/>
      <c r="P53" s="188"/>
      <c r="Q53" s="188"/>
    </row>
    <row r="54" spans="1:17">
      <c r="A54" s="236"/>
      <c r="B54" s="225"/>
      <c r="C54" s="231" t="s">
        <v>771</v>
      </c>
      <c r="D54" s="188"/>
      <c r="E54" s="191">
        <v>0</v>
      </c>
      <c r="F54" s="188"/>
      <c r="G54" s="210">
        <v>1.1299999999999999</v>
      </c>
      <c r="H54" s="188"/>
      <c r="I54" s="210">
        <v>1.1299999999999999</v>
      </c>
      <c r="J54" s="188"/>
      <c r="K54" s="214">
        <v>0</v>
      </c>
      <c r="L54" s="213"/>
      <c r="M54" s="214">
        <v>0</v>
      </c>
      <c r="N54" s="188"/>
      <c r="O54" s="199" t="s">
        <v>252</v>
      </c>
      <c r="P54" s="188"/>
      <c r="Q54" s="199">
        <v>10.6</v>
      </c>
    </row>
    <row r="55" spans="1:17">
      <c r="A55" s="210">
        <v>396.2</v>
      </c>
      <c r="B55" s="188"/>
      <c r="C55" s="231" t="s">
        <v>772</v>
      </c>
      <c r="D55" s="188"/>
      <c r="E55" s="191">
        <v>10</v>
      </c>
      <c r="F55" s="188"/>
      <c r="G55" s="228">
        <v>6.57</v>
      </c>
      <c r="H55" s="188"/>
      <c r="I55" s="210">
        <v>7.3000000000000007</v>
      </c>
      <c r="J55" s="188"/>
      <c r="K55" s="214">
        <v>0</v>
      </c>
      <c r="L55" s="188"/>
      <c r="M55" s="214">
        <v>-0.73</v>
      </c>
      <c r="N55" s="195"/>
      <c r="O55" s="199" t="s">
        <v>727</v>
      </c>
      <c r="P55" s="188"/>
      <c r="Q55" s="199">
        <v>3.7</v>
      </c>
    </row>
    <row r="56" spans="1:17">
      <c r="A56" s="236">
        <v>396</v>
      </c>
      <c r="B56" s="188"/>
      <c r="C56" s="188"/>
      <c r="D56" s="188"/>
      <c r="E56" s="257" t="s">
        <v>1796</v>
      </c>
      <c r="F56" s="188"/>
      <c r="G56" s="236">
        <v>1.4341253999249695</v>
      </c>
      <c r="H56" s="188"/>
      <c r="I56" s="188"/>
      <c r="J56" s="188"/>
      <c r="K56" s="188"/>
      <c r="L56" s="188"/>
      <c r="M56" s="188"/>
      <c r="N56" s="188"/>
      <c r="O56" s="199" t="s">
        <v>780</v>
      </c>
      <c r="P56" s="188"/>
      <c r="Q56" s="245" t="s">
        <v>781</v>
      </c>
    </row>
    <row r="58" spans="1:17">
      <c r="A58" s="236"/>
      <c r="B58" s="225"/>
      <c r="C58" s="231" t="s">
        <v>253</v>
      </c>
      <c r="D58" s="213"/>
      <c r="E58" s="191">
        <v>0</v>
      </c>
      <c r="F58" s="213"/>
      <c r="G58" s="210">
        <v>13.14</v>
      </c>
      <c r="H58" s="213"/>
      <c r="I58" s="210">
        <v>13.14</v>
      </c>
      <c r="J58" s="213"/>
      <c r="K58" s="214">
        <v>0</v>
      </c>
      <c r="L58" s="213"/>
      <c r="M58" s="214">
        <v>0</v>
      </c>
      <c r="N58" s="213"/>
      <c r="O58" s="199" t="s">
        <v>254</v>
      </c>
      <c r="P58" s="213"/>
      <c r="Q58" s="199">
        <v>3.5</v>
      </c>
    </row>
    <row r="59" spans="1:17">
      <c r="A59" s="236">
        <v>397.1</v>
      </c>
      <c r="B59" s="225"/>
      <c r="C59" s="231" t="s">
        <v>773</v>
      </c>
      <c r="D59" s="213"/>
      <c r="E59" s="191">
        <v>0</v>
      </c>
      <c r="F59" s="213"/>
      <c r="G59" s="210">
        <v>4.8899999999999997</v>
      </c>
      <c r="H59" s="213"/>
      <c r="I59" s="210">
        <v>4.8899999999999997</v>
      </c>
      <c r="J59" s="213"/>
      <c r="K59" s="214">
        <v>0</v>
      </c>
      <c r="L59" s="213"/>
      <c r="M59" s="214">
        <v>0</v>
      </c>
      <c r="N59" s="213"/>
      <c r="O59" s="199" t="s">
        <v>255</v>
      </c>
      <c r="P59" s="213"/>
      <c r="Q59" s="199">
        <v>14.2</v>
      </c>
    </row>
    <row r="60" spans="1:17">
      <c r="A60" s="236">
        <v>397.4</v>
      </c>
      <c r="B60" s="225"/>
      <c r="C60" s="231" t="s">
        <v>774</v>
      </c>
      <c r="D60" s="188"/>
      <c r="E60" s="191">
        <v>0</v>
      </c>
      <c r="F60" s="188"/>
      <c r="G60" s="210">
        <v>2.84</v>
      </c>
      <c r="H60" s="188"/>
      <c r="I60" s="210">
        <v>2.84</v>
      </c>
      <c r="J60" s="188"/>
      <c r="K60" s="214">
        <v>0</v>
      </c>
      <c r="L60" s="213"/>
      <c r="M60" s="214">
        <v>0</v>
      </c>
      <c r="N60" s="188"/>
      <c r="O60" s="199" t="s">
        <v>713</v>
      </c>
      <c r="P60" s="188"/>
      <c r="Q60" s="199">
        <v>16.2</v>
      </c>
    </row>
    <row r="61" spans="1:17">
      <c r="A61" s="236">
        <v>397.5</v>
      </c>
      <c r="B61" s="225"/>
      <c r="C61" s="231" t="s">
        <v>775</v>
      </c>
      <c r="D61" s="188"/>
      <c r="E61" s="191">
        <v>0</v>
      </c>
      <c r="F61" s="188"/>
      <c r="G61" s="228">
        <v>2.7</v>
      </c>
      <c r="H61" s="188"/>
      <c r="I61" s="210">
        <v>2.7</v>
      </c>
      <c r="J61" s="188"/>
      <c r="K61" s="214">
        <v>0</v>
      </c>
      <c r="L61" s="213"/>
      <c r="M61" s="214">
        <v>0</v>
      </c>
      <c r="N61" s="188"/>
      <c r="O61" s="199" t="s">
        <v>238</v>
      </c>
      <c r="P61" s="188"/>
      <c r="Q61" s="199">
        <v>25.9</v>
      </c>
    </row>
    <row r="62" spans="1:17">
      <c r="A62" s="236">
        <v>397</v>
      </c>
      <c r="B62" s="188"/>
      <c r="C62" s="188"/>
      <c r="D62" s="188"/>
      <c r="E62" s="432">
        <v>0</v>
      </c>
      <c r="F62" s="188"/>
      <c r="G62" s="236">
        <v>11.333383318017701</v>
      </c>
      <c r="H62" s="188"/>
      <c r="I62" s="188"/>
      <c r="J62" s="188"/>
      <c r="K62" s="188"/>
      <c r="L62" s="188"/>
      <c r="M62" s="188"/>
      <c r="N62" s="188"/>
      <c r="O62" s="199" t="s">
        <v>782</v>
      </c>
      <c r="P62" s="188"/>
      <c r="Q62" s="245" t="s">
        <v>783</v>
      </c>
    </row>
  </sheetData>
  <mergeCells count="4">
    <mergeCell ref="A1:Q1"/>
    <mergeCell ref="A2:Q2"/>
    <mergeCell ref="A3:Q3"/>
    <mergeCell ref="A8:C8"/>
  </mergeCells>
  <pageMargins left="0.7" right="0.7" top="0.75" bottom="0.75" header="0.3" footer="0.3"/>
  <pageSetup scale="49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">
    <pageSetUpPr fitToPage="1"/>
  </sheetPr>
  <dimension ref="A1:I50"/>
  <sheetViews>
    <sheetView tabSelected="1" zoomScale="115" zoomScaleNormal="115" workbookViewId="0">
      <selection activeCell="C19" sqref="C19"/>
    </sheetView>
  </sheetViews>
  <sheetFormatPr defaultColWidth="7.33203125" defaultRowHeight="12.75"/>
  <cols>
    <col min="1" max="1" width="23.44140625" style="120" customWidth="1"/>
    <col min="2" max="2" width="1.44140625" style="120" customWidth="1"/>
    <col min="3" max="3" width="61.21875" style="120" customWidth="1"/>
    <col min="4" max="9" width="7.33203125" style="120"/>
    <col min="10" max="10" width="7.33203125" style="120" customWidth="1"/>
    <col min="11" max="11" width="7.33203125" style="120"/>
    <col min="12" max="12" width="1.33203125" style="120" customWidth="1"/>
    <col min="13" max="13" width="5.88671875" style="120" customWidth="1"/>
    <col min="14" max="14" width="5.109375" style="120" customWidth="1"/>
    <col min="15" max="256" width="7.33203125" style="120"/>
    <col min="257" max="257" width="23.44140625" style="120" customWidth="1"/>
    <col min="258" max="258" width="1.44140625" style="120" customWidth="1"/>
    <col min="259" max="259" width="61.21875" style="120" customWidth="1"/>
    <col min="260" max="265" width="7.33203125" style="120"/>
    <col min="266" max="266" width="7.33203125" style="120" customWidth="1"/>
    <col min="267" max="267" width="7.33203125" style="120"/>
    <col min="268" max="268" width="1.33203125" style="120" customWidth="1"/>
    <col min="269" max="269" width="5.88671875" style="120" customWidth="1"/>
    <col min="270" max="270" width="5.109375" style="120" customWidth="1"/>
    <col min="271" max="512" width="7.33203125" style="120"/>
    <col min="513" max="513" width="23.44140625" style="120" customWidth="1"/>
    <col min="514" max="514" width="1.44140625" style="120" customWidth="1"/>
    <col min="515" max="515" width="61.21875" style="120" customWidth="1"/>
    <col min="516" max="521" width="7.33203125" style="120"/>
    <col min="522" max="522" width="7.33203125" style="120" customWidth="1"/>
    <col min="523" max="523" width="7.33203125" style="120"/>
    <col min="524" max="524" width="1.33203125" style="120" customWidth="1"/>
    <col min="525" max="525" width="5.88671875" style="120" customWidth="1"/>
    <col min="526" max="526" width="5.109375" style="120" customWidth="1"/>
    <col min="527" max="768" width="7.33203125" style="120"/>
    <col min="769" max="769" width="23.44140625" style="120" customWidth="1"/>
    <col min="770" max="770" width="1.44140625" style="120" customWidth="1"/>
    <col min="771" max="771" width="61.21875" style="120" customWidth="1"/>
    <col min="772" max="777" width="7.33203125" style="120"/>
    <col min="778" max="778" width="7.33203125" style="120" customWidth="1"/>
    <col min="779" max="779" width="7.33203125" style="120"/>
    <col min="780" max="780" width="1.33203125" style="120" customWidth="1"/>
    <col min="781" max="781" width="5.88671875" style="120" customWidth="1"/>
    <col min="782" max="782" width="5.109375" style="120" customWidth="1"/>
    <col min="783" max="1024" width="7.33203125" style="120"/>
    <col min="1025" max="1025" width="23.44140625" style="120" customWidth="1"/>
    <col min="1026" max="1026" width="1.44140625" style="120" customWidth="1"/>
    <col min="1027" max="1027" width="61.21875" style="120" customWidth="1"/>
    <col min="1028" max="1033" width="7.33203125" style="120"/>
    <col min="1034" max="1034" width="7.33203125" style="120" customWidth="1"/>
    <col min="1035" max="1035" width="7.33203125" style="120"/>
    <col min="1036" max="1036" width="1.33203125" style="120" customWidth="1"/>
    <col min="1037" max="1037" width="5.88671875" style="120" customWidth="1"/>
    <col min="1038" max="1038" width="5.109375" style="120" customWidth="1"/>
    <col min="1039" max="1280" width="7.33203125" style="120"/>
    <col min="1281" max="1281" width="23.44140625" style="120" customWidth="1"/>
    <col min="1282" max="1282" width="1.44140625" style="120" customWidth="1"/>
    <col min="1283" max="1283" width="61.21875" style="120" customWidth="1"/>
    <col min="1284" max="1289" width="7.33203125" style="120"/>
    <col min="1290" max="1290" width="7.33203125" style="120" customWidth="1"/>
    <col min="1291" max="1291" width="7.33203125" style="120"/>
    <col min="1292" max="1292" width="1.33203125" style="120" customWidth="1"/>
    <col min="1293" max="1293" width="5.88671875" style="120" customWidth="1"/>
    <col min="1294" max="1294" width="5.109375" style="120" customWidth="1"/>
    <col min="1295" max="1536" width="7.33203125" style="120"/>
    <col min="1537" max="1537" width="23.44140625" style="120" customWidth="1"/>
    <col min="1538" max="1538" width="1.44140625" style="120" customWidth="1"/>
    <col min="1539" max="1539" width="61.21875" style="120" customWidth="1"/>
    <col min="1540" max="1545" width="7.33203125" style="120"/>
    <col min="1546" max="1546" width="7.33203125" style="120" customWidth="1"/>
    <col min="1547" max="1547" width="7.33203125" style="120"/>
    <col min="1548" max="1548" width="1.33203125" style="120" customWidth="1"/>
    <col min="1549" max="1549" width="5.88671875" style="120" customWidth="1"/>
    <col min="1550" max="1550" width="5.109375" style="120" customWidth="1"/>
    <col min="1551" max="1792" width="7.33203125" style="120"/>
    <col min="1793" max="1793" width="23.44140625" style="120" customWidth="1"/>
    <col min="1794" max="1794" width="1.44140625" style="120" customWidth="1"/>
    <col min="1795" max="1795" width="61.21875" style="120" customWidth="1"/>
    <col min="1796" max="1801" width="7.33203125" style="120"/>
    <col min="1802" max="1802" width="7.33203125" style="120" customWidth="1"/>
    <col min="1803" max="1803" width="7.33203125" style="120"/>
    <col min="1804" max="1804" width="1.33203125" style="120" customWidth="1"/>
    <col min="1805" max="1805" width="5.88671875" style="120" customWidth="1"/>
    <col min="1806" max="1806" width="5.109375" style="120" customWidth="1"/>
    <col min="1807" max="2048" width="7.33203125" style="120"/>
    <col min="2049" max="2049" width="23.44140625" style="120" customWidth="1"/>
    <col min="2050" max="2050" width="1.44140625" style="120" customWidth="1"/>
    <col min="2051" max="2051" width="61.21875" style="120" customWidth="1"/>
    <col min="2052" max="2057" width="7.33203125" style="120"/>
    <col min="2058" max="2058" width="7.33203125" style="120" customWidth="1"/>
    <col min="2059" max="2059" width="7.33203125" style="120"/>
    <col min="2060" max="2060" width="1.33203125" style="120" customWidth="1"/>
    <col min="2061" max="2061" width="5.88671875" style="120" customWidth="1"/>
    <col min="2062" max="2062" width="5.109375" style="120" customWidth="1"/>
    <col min="2063" max="2304" width="7.33203125" style="120"/>
    <col min="2305" max="2305" width="23.44140625" style="120" customWidth="1"/>
    <col min="2306" max="2306" width="1.44140625" style="120" customWidth="1"/>
    <col min="2307" max="2307" width="61.21875" style="120" customWidth="1"/>
    <col min="2308" max="2313" width="7.33203125" style="120"/>
    <col min="2314" max="2314" width="7.33203125" style="120" customWidth="1"/>
    <col min="2315" max="2315" width="7.33203125" style="120"/>
    <col min="2316" max="2316" width="1.33203125" style="120" customWidth="1"/>
    <col min="2317" max="2317" width="5.88671875" style="120" customWidth="1"/>
    <col min="2318" max="2318" width="5.109375" style="120" customWidth="1"/>
    <col min="2319" max="2560" width="7.33203125" style="120"/>
    <col min="2561" max="2561" width="23.44140625" style="120" customWidth="1"/>
    <col min="2562" max="2562" width="1.44140625" style="120" customWidth="1"/>
    <col min="2563" max="2563" width="61.21875" style="120" customWidth="1"/>
    <col min="2564" max="2569" width="7.33203125" style="120"/>
    <col min="2570" max="2570" width="7.33203125" style="120" customWidth="1"/>
    <col min="2571" max="2571" width="7.33203125" style="120"/>
    <col min="2572" max="2572" width="1.33203125" style="120" customWidth="1"/>
    <col min="2573" max="2573" width="5.88671875" style="120" customWidth="1"/>
    <col min="2574" max="2574" width="5.109375" style="120" customWidth="1"/>
    <col min="2575" max="2816" width="7.33203125" style="120"/>
    <col min="2817" max="2817" width="23.44140625" style="120" customWidth="1"/>
    <col min="2818" max="2818" width="1.44140625" style="120" customWidth="1"/>
    <col min="2819" max="2819" width="61.21875" style="120" customWidth="1"/>
    <col min="2820" max="2825" width="7.33203125" style="120"/>
    <col min="2826" max="2826" width="7.33203125" style="120" customWidth="1"/>
    <col min="2827" max="2827" width="7.33203125" style="120"/>
    <col min="2828" max="2828" width="1.33203125" style="120" customWidth="1"/>
    <col min="2829" max="2829" width="5.88671875" style="120" customWidth="1"/>
    <col min="2830" max="2830" width="5.109375" style="120" customWidth="1"/>
    <col min="2831" max="3072" width="7.33203125" style="120"/>
    <col min="3073" max="3073" width="23.44140625" style="120" customWidth="1"/>
    <col min="3074" max="3074" width="1.44140625" style="120" customWidth="1"/>
    <col min="3075" max="3075" width="61.21875" style="120" customWidth="1"/>
    <col min="3076" max="3081" width="7.33203125" style="120"/>
    <col min="3082" max="3082" width="7.33203125" style="120" customWidth="1"/>
    <col min="3083" max="3083" width="7.33203125" style="120"/>
    <col min="3084" max="3084" width="1.33203125" style="120" customWidth="1"/>
    <col min="3085" max="3085" width="5.88671875" style="120" customWidth="1"/>
    <col min="3086" max="3086" width="5.109375" style="120" customWidth="1"/>
    <col min="3087" max="3328" width="7.33203125" style="120"/>
    <col min="3329" max="3329" width="23.44140625" style="120" customWidth="1"/>
    <col min="3330" max="3330" width="1.44140625" style="120" customWidth="1"/>
    <col min="3331" max="3331" width="61.21875" style="120" customWidth="1"/>
    <col min="3332" max="3337" width="7.33203125" style="120"/>
    <col min="3338" max="3338" width="7.33203125" style="120" customWidth="1"/>
    <col min="3339" max="3339" width="7.33203125" style="120"/>
    <col min="3340" max="3340" width="1.33203125" style="120" customWidth="1"/>
    <col min="3341" max="3341" width="5.88671875" style="120" customWidth="1"/>
    <col min="3342" max="3342" width="5.109375" style="120" customWidth="1"/>
    <col min="3343" max="3584" width="7.33203125" style="120"/>
    <col min="3585" max="3585" width="23.44140625" style="120" customWidth="1"/>
    <col min="3586" max="3586" width="1.44140625" style="120" customWidth="1"/>
    <col min="3587" max="3587" width="61.21875" style="120" customWidth="1"/>
    <col min="3588" max="3593" width="7.33203125" style="120"/>
    <col min="3594" max="3594" width="7.33203125" style="120" customWidth="1"/>
    <col min="3595" max="3595" width="7.33203125" style="120"/>
    <col min="3596" max="3596" width="1.33203125" style="120" customWidth="1"/>
    <col min="3597" max="3597" width="5.88671875" style="120" customWidth="1"/>
    <col min="3598" max="3598" width="5.109375" style="120" customWidth="1"/>
    <col min="3599" max="3840" width="7.33203125" style="120"/>
    <col min="3841" max="3841" width="23.44140625" style="120" customWidth="1"/>
    <col min="3842" max="3842" width="1.44140625" style="120" customWidth="1"/>
    <col min="3843" max="3843" width="61.21875" style="120" customWidth="1"/>
    <col min="3844" max="3849" width="7.33203125" style="120"/>
    <col min="3850" max="3850" width="7.33203125" style="120" customWidth="1"/>
    <col min="3851" max="3851" width="7.33203125" style="120"/>
    <col min="3852" max="3852" width="1.33203125" style="120" customWidth="1"/>
    <col min="3853" max="3853" width="5.88671875" style="120" customWidth="1"/>
    <col min="3854" max="3854" width="5.109375" style="120" customWidth="1"/>
    <col min="3855" max="4096" width="7.33203125" style="120"/>
    <col min="4097" max="4097" width="23.44140625" style="120" customWidth="1"/>
    <col min="4098" max="4098" width="1.44140625" style="120" customWidth="1"/>
    <col min="4099" max="4099" width="61.21875" style="120" customWidth="1"/>
    <col min="4100" max="4105" width="7.33203125" style="120"/>
    <col min="4106" max="4106" width="7.33203125" style="120" customWidth="1"/>
    <col min="4107" max="4107" width="7.33203125" style="120"/>
    <col min="4108" max="4108" width="1.33203125" style="120" customWidth="1"/>
    <col min="4109" max="4109" width="5.88671875" style="120" customWidth="1"/>
    <col min="4110" max="4110" width="5.109375" style="120" customWidth="1"/>
    <col min="4111" max="4352" width="7.33203125" style="120"/>
    <col min="4353" max="4353" width="23.44140625" style="120" customWidth="1"/>
    <col min="4354" max="4354" width="1.44140625" style="120" customWidth="1"/>
    <col min="4355" max="4355" width="61.21875" style="120" customWidth="1"/>
    <col min="4356" max="4361" width="7.33203125" style="120"/>
    <col min="4362" max="4362" width="7.33203125" style="120" customWidth="1"/>
    <col min="4363" max="4363" width="7.33203125" style="120"/>
    <col min="4364" max="4364" width="1.33203125" style="120" customWidth="1"/>
    <col min="4365" max="4365" width="5.88671875" style="120" customWidth="1"/>
    <col min="4366" max="4366" width="5.109375" style="120" customWidth="1"/>
    <col min="4367" max="4608" width="7.33203125" style="120"/>
    <col min="4609" max="4609" width="23.44140625" style="120" customWidth="1"/>
    <col min="4610" max="4610" width="1.44140625" style="120" customWidth="1"/>
    <col min="4611" max="4611" width="61.21875" style="120" customWidth="1"/>
    <col min="4612" max="4617" width="7.33203125" style="120"/>
    <col min="4618" max="4618" width="7.33203125" style="120" customWidth="1"/>
    <col min="4619" max="4619" width="7.33203125" style="120"/>
    <col min="4620" max="4620" width="1.33203125" style="120" customWidth="1"/>
    <col min="4621" max="4621" width="5.88671875" style="120" customWidth="1"/>
    <col min="4622" max="4622" width="5.109375" style="120" customWidth="1"/>
    <col min="4623" max="4864" width="7.33203125" style="120"/>
    <col min="4865" max="4865" width="23.44140625" style="120" customWidth="1"/>
    <col min="4866" max="4866" width="1.44140625" style="120" customWidth="1"/>
    <col min="4867" max="4867" width="61.21875" style="120" customWidth="1"/>
    <col min="4868" max="4873" width="7.33203125" style="120"/>
    <col min="4874" max="4874" width="7.33203125" style="120" customWidth="1"/>
    <col min="4875" max="4875" width="7.33203125" style="120"/>
    <col min="4876" max="4876" width="1.33203125" style="120" customWidth="1"/>
    <col min="4877" max="4877" width="5.88671875" style="120" customWidth="1"/>
    <col min="4878" max="4878" width="5.109375" style="120" customWidth="1"/>
    <col min="4879" max="5120" width="7.33203125" style="120"/>
    <col min="5121" max="5121" width="23.44140625" style="120" customWidth="1"/>
    <col min="5122" max="5122" width="1.44140625" style="120" customWidth="1"/>
    <col min="5123" max="5123" width="61.21875" style="120" customWidth="1"/>
    <col min="5124" max="5129" width="7.33203125" style="120"/>
    <col min="5130" max="5130" width="7.33203125" style="120" customWidth="1"/>
    <col min="5131" max="5131" width="7.33203125" style="120"/>
    <col min="5132" max="5132" width="1.33203125" style="120" customWidth="1"/>
    <col min="5133" max="5133" width="5.88671875" style="120" customWidth="1"/>
    <col min="5134" max="5134" width="5.109375" style="120" customWidth="1"/>
    <col min="5135" max="5376" width="7.33203125" style="120"/>
    <col min="5377" max="5377" width="23.44140625" style="120" customWidth="1"/>
    <col min="5378" max="5378" width="1.44140625" style="120" customWidth="1"/>
    <col min="5379" max="5379" width="61.21875" style="120" customWidth="1"/>
    <col min="5380" max="5385" width="7.33203125" style="120"/>
    <col min="5386" max="5386" width="7.33203125" style="120" customWidth="1"/>
    <col min="5387" max="5387" width="7.33203125" style="120"/>
    <col min="5388" max="5388" width="1.33203125" style="120" customWidth="1"/>
    <col min="5389" max="5389" width="5.88671875" style="120" customWidth="1"/>
    <col min="5390" max="5390" width="5.109375" style="120" customWidth="1"/>
    <col min="5391" max="5632" width="7.33203125" style="120"/>
    <col min="5633" max="5633" width="23.44140625" style="120" customWidth="1"/>
    <col min="5634" max="5634" width="1.44140625" style="120" customWidth="1"/>
    <col min="5635" max="5635" width="61.21875" style="120" customWidth="1"/>
    <col min="5636" max="5641" width="7.33203125" style="120"/>
    <col min="5642" max="5642" width="7.33203125" style="120" customWidth="1"/>
    <col min="5643" max="5643" width="7.33203125" style="120"/>
    <col min="5644" max="5644" width="1.33203125" style="120" customWidth="1"/>
    <col min="5645" max="5645" width="5.88671875" style="120" customWidth="1"/>
    <col min="5646" max="5646" width="5.109375" style="120" customWidth="1"/>
    <col min="5647" max="5888" width="7.33203125" style="120"/>
    <col min="5889" max="5889" width="23.44140625" style="120" customWidth="1"/>
    <col min="5890" max="5890" width="1.44140625" style="120" customWidth="1"/>
    <col min="5891" max="5891" width="61.21875" style="120" customWidth="1"/>
    <col min="5892" max="5897" width="7.33203125" style="120"/>
    <col min="5898" max="5898" width="7.33203125" style="120" customWidth="1"/>
    <col min="5899" max="5899" width="7.33203125" style="120"/>
    <col min="5900" max="5900" width="1.33203125" style="120" customWidth="1"/>
    <col min="5901" max="5901" width="5.88671875" style="120" customWidth="1"/>
    <col min="5902" max="5902" width="5.109375" style="120" customWidth="1"/>
    <col min="5903" max="6144" width="7.33203125" style="120"/>
    <col min="6145" max="6145" width="23.44140625" style="120" customWidth="1"/>
    <col min="6146" max="6146" width="1.44140625" style="120" customWidth="1"/>
    <col min="6147" max="6147" width="61.21875" style="120" customWidth="1"/>
    <col min="6148" max="6153" width="7.33203125" style="120"/>
    <col min="6154" max="6154" width="7.33203125" style="120" customWidth="1"/>
    <col min="6155" max="6155" width="7.33203125" style="120"/>
    <col min="6156" max="6156" width="1.33203125" style="120" customWidth="1"/>
    <col min="6157" max="6157" width="5.88671875" style="120" customWidth="1"/>
    <col min="6158" max="6158" width="5.109375" style="120" customWidth="1"/>
    <col min="6159" max="6400" width="7.33203125" style="120"/>
    <col min="6401" max="6401" width="23.44140625" style="120" customWidth="1"/>
    <col min="6402" max="6402" width="1.44140625" style="120" customWidth="1"/>
    <col min="6403" max="6403" width="61.21875" style="120" customWidth="1"/>
    <col min="6404" max="6409" width="7.33203125" style="120"/>
    <col min="6410" max="6410" width="7.33203125" style="120" customWidth="1"/>
    <col min="6411" max="6411" width="7.33203125" style="120"/>
    <col min="6412" max="6412" width="1.33203125" style="120" customWidth="1"/>
    <col min="6413" max="6413" width="5.88671875" style="120" customWidth="1"/>
    <col min="6414" max="6414" width="5.109375" style="120" customWidth="1"/>
    <col min="6415" max="6656" width="7.33203125" style="120"/>
    <col min="6657" max="6657" width="23.44140625" style="120" customWidth="1"/>
    <col min="6658" max="6658" width="1.44140625" style="120" customWidth="1"/>
    <col min="6659" max="6659" width="61.21875" style="120" customWidth="1"/>
    <col min="6660" max="6665" width="7.33203125" style="120"/>
    <col min="6666" max="6666" width="7.33203125" style="120" customWidth="1"/>
    <col min="6667" max="6667" width="7.33203125" style="120"/>
    <col min="6668" max="6668" width="1.33203125" style="120" customWidth="1"/>
    <col min="6669" max="6669" width="5.88671875" style="120" customWidth="1"/>
    <col min="6670" max="6670" width="5.109375" style="120" customWidth="1"/>
    <col min="6671" max="6912" width="7.33203125" style="120"/>
    <col min="6913" max="6913" width="23.44140625" style="120" customWidth="1"/>
    <col min="6914" max="6914" width="1.44140625" style="120" customWidth="1"/>
    <col min="6915" max="6915" width="61.21875" style="120" customWidth="1"/>
    <col min="6916" max="6921" width="7.33203125" style="120"/>
    <col min="6922" max="6922" width="7.33203125" style="120" customWidth="1"/>
    <col min="6923" max="6923" width="7.33203125" style="120"/>
    <col min="6924" max="6924" width="1.33203125" style="120" customWidth="1"/>
    <col min="6925" max="6925" width="5.88671875" style="120" customWidth="1"/>
    <col min="6926" max="6926" width="5.109375" style="120" customWidth="1"/>
    <col min="6927" max="7168" width="7.33203125" style="120"/>
    <col min="7169" max="7169" width="23.44140625" style="120" customWidth="1"/>
    <col min="7170" max="7170" width="1.44140625" style="120" customWidth="1"/>
    <col min="7171" max="7171" width="61.21875" style="120" customWidth="1"/>
    <col min="7172" max="7177" width="7.33203125" style="120"/>
    <col min="7178" max="7178" width="7.33203125" style="120" customWidth="1"/>
    <col min="7179" max="7179" width="7.33203125" style="120"/>
    <col min="7180" max="7180" width="1.33203125" style="120" customWidth="1"/>
    <col min="7181" max="7181" width="5.88671875" style="120" customWidth="1"/>
    <col min="7182" max="7182" width="5.109375" style="120" customWidth="1"/>
    <col min="7183" max="7424" width="7.33203125" style="120"/>
    <col min="7425" max="7425" width="23.44140625" style="120" customWidth="1"/>
    <col min="7426" max="7426" width="1.44140625" style="120" customWidth="1"/>
    <col min="7427" max="7427" width="61.21875" style="120" customWidth="1"/>
    <col min="7428" max="7433" width="7.33203125" style="120"/>
    <col min="7434" max="7434" width="7.33203125" style="120" customWidth="1"/>
    <col min="7435" max="7435" width="7.33203125" style="120"/>
    <col min="7436" max="7436" width="1.33203125" style="120" customWidth="1"/>
    <col min="7437" max="7437" width="5.88671875" style="120" customWidth="1"/>
    <col min="7438" max="7438" width="5.109375" style="120" customWidth="1"/>
    <col min="7439" max="7680" width="7.33203125" style="120"/>
    <col min="7681" max="7681" width="23.44140625" style="120" customWidth="1"/>
    <col min="7682" max="7682" width="1.44140625" style="120" customWidth="1"/>
    <col min="7683" max="7683" width="61.21875" style="120" customWidth="1"/>
    <col min="7684" max="7689" width="7.33203125" style="120"/>
    <col min="7690" max="7690" width="7.33203125" style="120" customWidth="1"/>
    <col min="7691" max="7691" width="7.33203125" style="120"/>
    <col min="7692" max="7692" width="1.33203125" style="120" customWidth="1"/>
    <col min="7693" max="7693" width="5.88671875" style="120" customWidth="1"/>
    <col min="7694" max="7694" width="5.109375" style="120" customWidth="1"/>
    <col min="7695" max="7936" width="7.33203125" style="120"/>
    <col min="7937" max="7937" width="23.44140625" style="120" customWidth="1"/>
    <col min="7938" max="7938" width="1.44140625" style="120" customWidth="1"/>
    <col min="7939" max="7939" width="61.21875" style="120" customWidth="1"/>
    <col min="7940" max="7945" width="7.33203125" style="120"/>
    <col min="7946" max="7946" width="7.33203125" style="120" customWidth="1"/>
    <col min="7947" max="7947" width="7.33203125" style="120"/>
    <col min="7948" max="7948" width="1.33203125" style="120" customWidth="1"/>
    <col min="7949" max="7949" width="5.88671875" style="120" customWidth="1"/>
    <col min="7950" max="7950" width="5.109375" style="120" customWidth="1"/>
    <col min="7951" max="8192" width="7.33203125" style="120"/>
    <col min="8193" max="8193" width="23.44140625" style="120" customWidth="1"/>
    <col min="8194" max="8194" width="1.44140625" style="120" customWidth="1"/>
    <col min="8195" max="8195" width="61.21875" style="120" customWidth="1"/>
    <col min="8196" max="8201" width="7.33203125" style="120"/>
    <col min="8202" max="8202" width="7.33203125" style="120" customWidth="1"/>
    <col min="8203" max="8203" width="7.33203125" style="120"/>
    <col min="8204" max="8204" width="1.33203125" style="120" customWidth="1"/>
    <col min="8205" max="8205" width="5.88671875" style="120" customWidth="1"/>
    <col min="8206" max="8206" width="5.109375" style="120" customWidth="1"/>
    <col min="8207" max="8448" width="7.33203125" style="120"/>
    <col min="8449" max="8449" width="23.44140625" style="120" customWidth="1"/>
    <col min="8450" max="8450" width="1.44140625" style="120" customWidth="1"/>
    <col min="8451" max="8451" width="61.21875" style="120" customWidth="1"/>
    <col min="8452" max="8457" width="7.33203125" style="120"/>
    <col min="8458" max="8458" width="7.33203125" style="120" customWidth="1"/>
    <col min="8459" max="8459" width="7.33203125" style="120"/>
    <col min="8460" max="8460" width="1.33203125" style="120" customWidth="1"/>
    <col min="8461" max="8461" width="5.88671875" style="120" customWidth="1"/>
    <col min="8462" max="8462" width="5.109375" style="120" customWidth="1"/>
    <col min="8463" max="8704" width="7.33203125" style="120"/>
    <col min="8705" max="8705" width="23.44140625" style="120" customWidth="1"/>
    <col min="8706" max="8706" width="1.44140625" style="120" customWidth="1"/>
    <col min="8707" max="8707" width="61.21875" style="120" customWidth="1"/>
    <col min="8708" max="8713" width="7.33203125" style="120"/>
    <col min="8714" max="8714" width="7.33203125" style="120" customWidth="1"/>
    <col min="8715" max="8715" width="7.33203125" style="120"/>
    <col min="8716" max="8716" width="1.33203125" style="120" customWidth="1"/>
    <col min="8717" max="8717" width="5.88671875" style="120" customWidth="1"/>
    <col min="8718" max="8718" width="5.109375" style="120" customWidth="1"/>
    <col min="8719" max="8960" width="7.33203125" style="120"/>
    <col min="8961" max="8961" width="23.44140625" style="120" customWidth="1"/>
    <col min="8962" max="8962" width="1.44140625" style="120" customWidth="1"/>
    <col min="8963" max="8963" width="61.21875" style="120" customWidth="1"/>
    <col min="8964" max="8969" width="7.33203125" style="120"/>
    <col min="8970" max="8970" width="7.33203125" style="120" customWidth="1"/>
    <col min="8971" max="8971" width="7.33203125" style="120"/>
    <col min="8972" max="8972" width="1.33203125" style="120" customWidth="1"/>
    <col min="8973" max="8973" width="5.88671875" style="120" customWidth="1"/>
    <col min="8974" max="8974" width="5.109375" style="120" customWidth="1"/>
    <col min="8975" max="9216" width="7.33203125" style="120"/>
    <col min="9217" max="9217" width="23.44140625" style="120" customWidth="1"/>
    <col min="9218" max="9218" width="1.44140625" style="120" customWidth="1"/>
    <col min="9219" max="9219" width="61.21875" style="120" customWidth="1"/>
    <col min="9220" max="9225" width="7.33203125" style="120"/>
    <col min="9226" max="9226" width="7.33203125" style="120" customWidth="1"/>
    <col min="9227" max="9227" width="7.33203125" style="120"/>
    <col min="9228" max="9228" width="1.33203125" style="120" customWidth="1"/>
    <col min="9229" max="9229" width="5.88671875" style="120" customWidth="1"/>
    <col min="9230" max="9230" width="5.109375" style="120" customWidth="1"/>
    <col min="9231" max="9472" width="7.33203125" style="120"/>
    <col min="9473" max="9473" width="23.44140625" style="120" customWidth="1"/>
    <col min="9474" max="9474" width="1.44140625" style="120" customWidth="1"/>
    <col min="9475" max="9475" width="61.21875" style="120" customWidth="1"/>
    <col min="9476" max="9481" width="7.33203125" style="120"/>
    <col min="9482" max="9482" width="7.33203125" style="120" customWidth="1"/>
    <col min="9483" max="9483" width="7.33203125" style="120"/>
    <col min="9484" max="9484" width="1.33203125" style="120" customWidth="1"/>
    <col min="9485" max="9485" width="5.88671875" style="120" customWidth="1"/>
    <col min="9486" max="9486" width="5.109375" style="120" customWidth="1"/>
    <col min="9487" max="9728" width="7.33203125" style="120"/>
    <col min="9729" max="9729" width="23.44140625" style="120" customWidth="1"/>
    <col min="9730" max="9730" width="1.44140625" style="120" customWidth="1"/>
    <col min="9731" max="9731" width="61.21875" style="120" customWidth="1"/>
    <col min="9732" max="9737" width="7.33203125" style="120"/>
    <col min="9738" max="9738" width="7.33203125" style="120" customWidth="1"/>
    <col min="9739" max="9739" width="7.33203125" style="120"/>
    <col min="9740" max="9740" width="1.33203125" style="120" customWidth="1"/>
    <col min="9741" max="9741" width="5.88671875" style="120" customWidth="1"/>
    <col min="9742" max="9742" width="5.109375" style="120" customWidth="1"/>
    <col min="9743" max="9984" width="7.33203125" style="120"/>
    <col min="9985" max="9985" width="23.44140625" style="120" customWidth="1"/>
    <col min="9986" max="9986" width="1.44140625" style="120" customWidth="1"/>
    <col min="9987" max="9987" width="61.21875" style="120" customWidth="1"/>
    <col min="9988" max="9993" width="7.33203125" style="120"/>
    <col min="9994" max="9994" width="7.33203125" style="120" customWidth="1"/>
    <col min="9995" max="9995" width="7.33203125" style="120"/>
    <col min="9996" max="9996" width="1.33203125" style="120" customWidth="1"/>
    <col min="9997" max="9997" width="5.88671875" style="120" customWidth="1"/>
    <col min="9998" max="9998" width="5.109375" style="120" customWidth="1"/>
    <col min="9999" max="10240" width="7.33203125" style="120"/>
    <col min="10241" max="10241" width="23.44140625" style="120" customWidth="1"/>
    <col min="10242" max="10242" width="1.44140625" style="120" customWidth="1"/>
    <col min="10243" max="10243" width="61.21875" style="120" customWidth="1"/>
    <col min="10244" max="10249" width="7.33203125" style="120"/>
    <col min="10250" max="10250" width="7.33203125" style="120" customWidth="1"/>
    <col min="10251" max="10251" width="7.33203125" style="120"/>
    <col min="10252" max="10252" width="1.33203125" style="120" customWidth="1"/>
    <col min="10253" max="10253" width="5.88671875" style="120" customWidth="1"/>
    <col min="10254" max="10254" width="5.109375" style="120" customWidth="1"/>
    <col min="10255" max="10496" width="7.33203125" style="120"/>
    <col min="10497" max="10497" width="23.44140625" style="120" customWidth="1"/>
    <col min="10498" max="10498" width="1.44140625" style="120" customWidth="1"/>
    <col min="10499" max="10499" width="61.21875" style="120" customWidth="1"/>
    <col min="10500" max="10505" width="7.33203125" style="120"/>
    <col min="10506" max="10506" width="7.33203125" style="120" customWidth="1"/>
    <col min="10507" max="10507" width="7.33203125" style="120"/>
    <col min="10508" max="10508" width="1.33203125" style="120" customWidth="1"/>
    <col min="10509" max="10509" width="5.88671875" style="120" customWidth="1"/>
    <col min="10510" max="10510" width="5.109375" style="120" customWidth="1"/>
    <col min="10511" max="10752" width="7.33203125" style="120"/>
    <col min="10753" max="10753" width="23.44140625" style="120" customWidth="1"/>
    <col min="10754" max="10754" width="1.44140625" style="120" customWidth="1"/>
    <col min="10755" max="10755" width="61.21875" style="120" customWidth="1"/>
    <col min="10756" max="10761" width="7.33203125" style="120"/>
    <col min="10762" max="10762" width="7.33203125" style="120" customWidth="1"/>
    <col min="10763" max="10763" width="7.33203125" style="120"/>
    <col min="10764" max="10764" width="1.33203125" style="120" customWidth="1"/>
    <col min="10765" max="10765" width="5.88671875" style="120" customWidth="1"/>
    <col min="10766" max="10766" width="5.109375" style="120" customWidth="1"/>
    <col min="10767" max="11008" width="7.33203125" style="120"/>
    <col min="11009" max="11009" width="23.44140625" style="120" customWidth="1"/>
    <col min="11010" max="11010" width="1.44140625" style="120" customWidth="1"/>
    <col min="11011" max="11011" width="61.21875" style="120" customWidth="1"/>
    <col min="11012" max="11017" width="7.33203125" style="120"/>
    <col min="11018" max="11018" width="7.33203125" style="120" customWidth="1"/>
    <col min="11019" max="11019" width="7.33203125" style="120"/>
    <col min="11020" max="11020" width="1.33203125" style="120" customWidth="1"/>
    <col min="11021" max="11021" width="5.88671875" style="120" customWidth="1"/>
    <col min="11022" max="11022" width="5.109375" style="120" customWidth="1"/>
    <col min="11023" max="11264" width="7.33203125" style="120"/>
    <col min="11265" max="11265" width="23.44140625" style="120" customWidth="1"/>
    <col min="11266" max="11266" width="1.44140625" style="120" customWidth="1"/>
    <col min="11267" max="11267" width="61.21875" style="120" customWidth="1"/>
    <col min="11268" max="11273" width="7.33203125" style="120"/>
    <col min="11274" max="11274" width="7.33203125" style="120" customWidth="1"/>
    <col min="11275" max="11275" width="7.33203125" style="120"/>
    <col min="11276" max="11276" width="1.33203125" style="120" customWidth="1"/>
    <col min="11277" max="11277" width="5.88671875" style="120" customWidth="1"/>
    <col min="11278" max="11278" width="5.109375" style="120" customWidth="1"/>
    <col min="11279" max="11520" width="7.33203125" style="120"/>
    <col min="11521" max="11521" width="23.44140625" style="120" customWidth="1"/>
    <col min="11522" max="11522" width="1.44140625" style="120" customWidth="1"/>
    <col min="11523" max="11523" width="61.21875" style="120" customWidth="1"/>
    <col min="11524" max="11529" width="7.33203125" style="120"/>
    <col min="11530" max="11530" width="7.33203125" style="120" customWidth="1"/>
    <col min="11531" max="11531" width="7.33203125" style="120"/>
    <col min="11532" max="11532" width="1.33203125" style="120" customWidth="1"/>
    <col min="11533" max="11533" width="5.88671875" style="120" customWidth="1"/>
    <col min="11534" max="11534" width="5.109375" style="120" customWidth="1"/>
    <col min="11535" max="11776" width="7.33203125" style="120"/>
    <col min="11777" max="11777" width="23.44140625" style="120" customWidth="1"/>
    <col min="11778" max="11778" width="1.44140625" style="120" customWidth="1"/>
    <col min="11779" max="11779" width="61.21875" style="120" customWidth="1"/>
    <col min="11780" max="11785" width="7.33203125" style="120"/>
    <col min="11786" max="11786" width="7.33203125" style="120" customWidth="1"/>
    <col min="11787" max="11787" width="7.33203125" style="120"/>
    <col min="11788" max="11788" width="1.33203125" style="120" customWidth="1"/>
    <col min="11789" max="11789" width="5.88671875" style="120" customWidth="1"/>
    <col min="11790" max="11790" width="5.109375" style="120" customWidth="1"/>
    <col min="11791" max="12032" width="7.33203125" style="120"/>
    <col min="12033" max="12033" width="23.44140625" style="120" customWidth="1"/>
    <col min="12034" max="12034" width="1.44140625" style="120" customWidth="1"/>
    <col min="12035" max="12035" width="61.21875" style="120" customWidth="1"/>
    <col min="12036" max="12041" width="7.33203125" style="120"/>
    <col min="12042" max="12042" width="7.33203125" style="120" customWidth="1"/>
    <col min="12043" max="12043" width="7.33203125" style="120"/>
    <col min="12044" max="12044" width="1.33203125" style="120" customWidth="1"/>
    <col min="12045" max="12045" width="5.88671875" style="120" customWidth="1"/>
    <col min="12046" max="12046" width="5.109375" style="120" customWidth="1"/>
    <col min="12047" max="12288" width="7.33203125" style="120"/>
    <col min="12289" max="12289" width="23.44140625" style="120" customWidth="1"/>
    <col min="12290" max="12290" width="1.44140625" style="120" customWidth="1"/>
    <col min="12291" max="12291" width="61.21875" style="120" customWidth="1"/>
    <col min="12292" max="12297" width="7.33203125" style="120"/>
    <col min="12298" max="12298" width="7.33203125" style="120" customWidth="1"/>
    <col min="12299" max="12299" width="7.33203125" style="120"/>
    <col min="12300" max="12300" width="1.33203125" style="120" customWidth="1"/>
    <col min="12301" max="12301" width="5.88671875" style="120" customWidth="1"/>
    <col min="12302" max="12302" width="5.109375" style="120" customWidth="1"/>
    <col min="12303" max="12544" width="7.33203125" style="120"/>
    <col min="12545" max="12545" width="23.44140625" style="120" customWidth="1"/>
    <col min="12546" max="12546" width="1.44140625" style="120" customWidth="1"/>
    <col min="12547" max="12547" width="61.21875" style="120" customWidth="1"/>
    <col min="12548" max="12553" width="7.33203125" style="120"/>
    <col min="12554" max="12554" width="7.33203125" style="120" customWidth="1"/>
    <col min="12555" max="12555" width="7.33203125" style="120"/>
    <col min="12556" max="12556" width="1.33203125" style="120" customWidth="1"/>
    <col min="12557" max="12557" width="5.88671875" style="120" customWidth="1"/>
    <col min="12558" max="12558" width="5.109375" style="120" customWidth="1"/>
    <col min="12559" max="12800" width="7.33203125" style="120"/>
    <col min="12801" max="12801" width="23.44140625" style="120" customWidth="1"/>
    <col min="12802" max="12802" width="1.44140625" style="120" customWidth="1"/>
    <col min="12803" max="12803" width="61.21875" style="120" customWidth="1"/>
    <col min="12804" max="12809" width="7.33203125" style="120"/>
    <col min="12810" max="12810" width="7.33203125" style="120" customWidth="1"/>
    <col min="12811" max="12811" width="7.33203125" style="120"/>
    <col min="12812" max="12812" width="1.33203125" style="120" customWidth="1"/>
    <col min="12813" max="12813" width="5.88671875" style="120" customWidth="1"/>
    <col min="12814" max="12814" width="5.109375" style="120" customWidth="1"/>
    <col min="12815" max="13056" width="7.33203125" style="120"/>
    <col min="13057" max="13057" width="23.44140625" style="120" customWidth="1"/>
    <col min="13058" max="13058" width="1.44140625" style="120" customWidth="1"/>
    <col min="13059" max="13059" width="61.21875" style="120" customWidth="1"/>
    <col min="13060" max="13065" width="7.33203125" style="120"/>
    <col min="13066" max="13066" width="7.33203125" style="120" customWidth="1"/>
    <col min="13067" max="13067" width="7.33203125" style="120"/>
    <col min="13068" max="13068" width="1.33203125" style="120" customWidth="1"/>
    <col min="13069" max="13069" width="5.88671875" style="120" customWidth="1"/>
    <col min="13070" max="13070" width="5.109375" style="120" customWidth="1"/>
    <col min="13071" max="13312" width="7.33203125" style="120"/>
    <col min="13313" max="13313" width="23.44140625" style="120" customWidth="1"/>
    <col min="13314" max="13314" width="1.44140625" style="120" customWidth="1"/>
    <col min="13315" max="13315" width="61.21875" style="120" customWidth="1"/>
    <col min="13316" max="13321" width="7.33203125" style="120"/>
    <col min="13322" max="13322" width="7.33203125" style="120" customWidth="1"/>
    <col min="13323" max="13323" width="7.33203125" style="120"/>
    <col min="13324" max="13324" width="1.33203125" style="120" customWidth="1"/>
    <col min="13325" max="13325" width="5.88671875" style="120" customWidth="1"/>
    <col min="13326" max="13326" width="5.109375" style="120" customWidth="1"/>
    <col min="13327" max="13568" width="7.33203125" style="120"/>
    <col min="13569" max="13569" width="23.44140625" style="120" customWidth="1"/>
    <col min="13570" max="13570" width="1.44140625" style="120" customWidth="1"/>
    <col min="13571" max="13571" width="61.21875" style="120" customWidth="1"/>
    <col min="13572" max="13577" width="7.33203125" style="120"/>
    <col min="13578" max="13578" width="7.33203125" style="120" customWidth="1"/>
    <col min="13579" max="13579" width="7.33203125" style="120"/>
    <col min="13580" max="13580" width="1.33203125" style="120" customWidth="1"/>
    <col min="13581" max="13581" width="5.88671875" style="120" customWidth="1"/>
    <col min="13582" max="13582" width="5.109375" style="120" customWidth="1"/>
    <col min="13583" max="13824" width="7.33203125" style="120"/>
    <col min="13825" max="13825" width="23.44140625" style="120" customWidth="1"/>
    <col min="13826" max="13826" width="1.44140625" style="120" customWidth="1"/>
    <col min="13827" max="13827" width="61.21875" style="120" customWidth="1"/>
    <col min="13828" max="13833" width="7.33203125" style="120"/>
    <col min="13834" max="13834" width="7.33203125" style="120" customWidth="1"/>
    <col min="13835" max="13835" width="7.33203125" style="120"/>
    <col min="13836" max="13836" width="1.33203125" style="120" customWidth="1"/>
    <col min="13837" max="13837" width="5.88671875" style="120" customWidth="1"/>
    <col min="13838" max="13838" width="5.109375" style="120" customWidth="1"/>
    <col min="13839" max="14080" width="7.33203125" style="120"/>
    <col min="14081" max="14081" width="23.44140625" style="120" customWidth="1"/>
    <col min="14082" max="14082" width="1.44140625" style="120" customWidth="1"/>
    <col min="14083" max="14083" width="61.21875" style="120" customWidth="1"/>
    <col min="14084" max="14089" width="7.33203125" style="120"/>
    <col min="14090" max="14090" width="7.33203125" style="120" customWidth="1"/>
    <col min="14091" max="14091" width="7.33203125" style="120"/>
    <col min="14092" max="14092" width="1.33203125" style="120" customWidth="1"/>
    <col min="14093" max="14093" width="5.88671875" style="120" customWidth="1"/>
    <col min="14094" max="14094" width="5.109375" style="120" customWidth="1"/>
    <col min="14095" max="14336" width="7.33203125" style="120"/>
    <col min="14337" max="14337" width="23.44140625" style="120" customWidth="1"/>
    <col min="14338" max="14338" width="1.44140625" style="120" customWidth="1"/>
    <col min="14339" max="14339" width="61.21875" style="120" customWidth="1"/>
    <col min="14340" max="14345" width="7.33203125" style="120"/>
    <col min="14346" max="14346" width="7.33203125" style="120" customWidth="1"/>
    <col min="14347" max="14347" width="7.33203125" style="120"/>
    <col min="14348" max="14348" width="1.33203125" style="120" customWidth="1"/>
    <col min="14349" max="14349" width="5.88671875" style="120" customWidth="1"/>
    <col min="14350" max="14350" width="5.109375" style="120" customWidth="1"/>
    <col min="14351" max="14592" width="7.33203125" style="120"/>
    <col min="14593" max="14593" width="23.44140625" style="120" customWidth="1"/>
    <col min="14594" max="14594" width="1.44140625" style="120" customWidth="1"/>
    <col min="14595" max="14595" width="61.21875" style="120" customWidth="1"/>
    <col min="14596" max="14601" width="7.33203125" style="120"/>
    <col min="14602" max="14602" width="7.33203125" style="120" customWidth="1"/>
    <col min="14603" max="14603" width="7.33203125" style="120"/>
    <col min="14604" max="14604" width="1.33203125" style="120" customWidth="1"/>
    <col min="14605" max="14605" width="5.88671875" style="120" customWidth="1"/>
    <col min="14606" max="14606" width="5.109375" style="120" customWidth="1"/>
    <col min="14607" max="14848" width="7.33203125" style="120"/>
    <col min="14849" max="14849" width="23.44140625" style="120" customWidth="1"/>
    <col min="14850" max="14850" width="1.44140625" style="120" customWidth="1"/>
    <col min="14851" max="14851" width="61.21875" style="120" customWidth="1"/>
    <col min="14852" max="14857" width="7.33203125" style="120"/>
    <col min="14858" max="14858" width="7.33203125" style="120" customWidth="1"/>
    <col min="14859" max="14859" width="7.33203125" style="120"/>
    <col min="14860" max="14860" width="1.33203125" style="120" customWidth="1"/>
    <col min="14861" max="14861" width="5.88671875" style="120" customWidth="1"/>
    <col min="14862" max="14862" width="5.109375" style="120" customWidth="1"/>
    <col min="14863" max="15104" width="7.33203125" style="120"/>
    <col min="15105" max="15105" width="23.44140625" style="120" customWidth="1"/>
    <col min="15106" max="15106" width="1.44140625" style="120" customWidth="1"/>
    <col min="15107" max="15107" width="61.21875" style="120" customWidth="1"/>
    <col min="15108" max="15113" width="7.33203125" style="120"/>
    <col min="15114" max="15114" width="7.33203125" style="120" customWidth="1"/>
    <col min="15115" max="15115" width="7.33203125" style="120"/>
    <col min="15116" max="15116" width="1.33203125" style="120" customWidth="1"/>
    <col min="15117" max="15117" width="5.88671875" style="120" customWidth="1"/>
    <col min="15118" max="15118" width="5.109375" style="120" customWidth="1"/>
    <col min="15119" max="15360" width="7.33203125" style="120"/>
    <col min="15361" max="15361" width="23.44140625" style="120" customWidth="1"/>
    <col min="15362" max="15362" width="1.44140625" style="120" customWidth="1"/>
    <col min="15363" max="15363" width="61.21875" style="120" customWidth="1"/>
    <col min="15364" max="15369" width="7.33203125" style="120"/>
    <col min="15370" max="15370" width="7.33203125" style="120" customWidth="1"/>
    <col min="15371" max="15371" width="7.33203125" style="120"/>
    <col min="15372" max="15372" width="1.33203125" style="120" customWidth="1"/>
    <col min="15373" max="15373" width="5.88671875" style="120" customWidth="1"/>
    <col min="15374" max="15374" width="5.109375" style="120" customWidth="1"/>
    <col min="15375" max="15616" width="7.33203125" style="120"/>
    <col min="15617" max="15617" width="23.44140625" style="120" customWidth="1"/>
    <col min="15618" max="15618" width="1.44140625" style="120" customWidth="1"/>
    <col min="15619" max="15619" width="61.21875" style="120" customWidth="1"/>
    <col min="15620" max="15625" width="7.33203125" style="120"/>
    <col min="15626" max="15626" width="7.33203125" style="120" customWidth="1"/>
    <col min="15627" max="15627" width="7.33203125" style="120"/>
    <col min="15628" max="15628" width="1.33203125" style="120" customWidth="1"/>
    <col min="15629" max="15629" width="5.88671875" style="120" customWidth="1"/>
    <col min="15630" max="15630" width="5.109375" style="120" customWidth="1"/>
    <col min="15631" max="15872" width="7.33203125" style="120"/>
    <col min="15873" max="15873" width="23.44140625" style="120" customWidth="1"/>
    <col min="15874" max="15874" width="1.44140625" style="120" customWidth="1"/>
    <col min="15875" max="15875" width="61.21875" style="120" customWidth="1"/>
    <col min="15876" max="15881" width="7.33203125" style="120"/>
    <col min="15882" max="15882" width="7.33203125" style="120" customWidth="1"/>
    <col min="15883" max="15883" width="7.33203125" style="120"/>
    <col min="15884" max="15884" width="1.33203125" style="120" customWidth="1"/>
    <col min="15885" max="15885" width="5.88671875" style="120" customWidth="1"/>
    <col min="15886" max="15886" width="5.109375" style="120" customWidth="1"/>
    <col min="15887" max="16128" width="7.33203125" style="120"/>
    <col min="16129" max="16129" width="23.44140625" style="120" customWidth="1"/>
    <col min="16130" max="16130" width="1.44140625" style="120" customWidth="1"/>
    <col min="16131" max="16131" width="61.21875" style="120" customWidth="1"/>
    <col min="16132" max="16137" width="7.33203125" style="120"/>
    <col min="16138" max="16138" width="7.33203125" style="120" customWidth="1"/>
    <col min="16139" max="16139" width="7.33203125" style="120"/>
    <col min="16140" max="16140" width="1.33203125" style="120" customWidth="1"/>
    <col min="16141" max="16141" width="5.88671875" style="120" customWidth="1"/>
    <col min="16142" max="16142" width="5.109375" style="120" customWidth="1"/>
    <col min="16143" max="16384" width="7.33203125" style="120"/>
  </cols>
  <sheetData>
    <row r="1" spans="1:3" ht="15" customHeight="1">
      <c r="A1" s="119"/>
    </row>
    <row r="2" spans="1:3" ht="15" customHeight="1"/>
    <row r="3" spans="1:3" ht="15" customHeight="1">
      <c r="A3" s="491" t="s">
        <v>492</v>
      </c>
      <c r="B3" s="491"/>
      <c r="C3" s="491"/>
    </row>
    <row r="4" spans="1:3" ht="15" customHeight="1"/>
    <row r="5" spans="1:3" ht="15" customHeight="1">
      <c r="A5" s="491" t="s">
        <v>493</v>
      </c>
      <c r="B5" s="491"/>
      <c r="C5" s="491"/>
    </row>
    <row r="6" spans="1:3" ht="15" customHeight="1"/>
    <row r="7" spans="1:3" ht="15" customHeight="1">
      <c r="A7" s="492" t="str">
        <f>'Rate Case Constants'!C9</f>
        <v>LOUISVILLE GAS AND ELECTRIC COMPANY</v>
      </c>
      <c r="B7" s="491"/>
      <c r="C7" s="491"/>
    </row>
    <row r="8" spans="1:3" ht="15" customHeight="1"/>
    <row r="9" spans="1:3" ht="15" customHeight="1">
      <c r="A9" s="492" t="str">
        <f>'Rate Case Constants'!C10</f>
        <v>CASE NO. 2016-00371 - GAS OPERATIONS</v>
      </c>
      <c r="B9" s="491"/>
      <c r="C9" s="491"/>
    </row>
    <row r="10" spans="1:3" ht="15" customHeight="1"/>
    <row r="11" spans="1:3" ht="15" customHeight="1">
      <c r="A11" s="121" t="s">
        <v>494</v>
      </c>
      <c r="C11" s="127" t="str">
        <f>'Rate Case Constants'!C16</f>
        <v>FOR THE 12 MONTHS ENDED FEBRUARY 28, 2017</v>
      </c>
    </row>
    <row r="12" spans="1:3" ht="15" customHeight="1"/>
    <row r="13" spans="1:3" ht="15" customHeight="1">
      <c r="A13" s="121" t="s">
        <v>495</v>
      </c>
      <c r="C13" s="127" t="str">
        <f>'Rate Case Constants'!C22</f>
        <v>FOR THE 12 MONTHS ENDED JUNE 30, 2018</v>
      </c>
    </row>
    <row r="14" spans="1:3" ht="15" customHeight="1"/>
    <row r="15" spans="1:3" ht="15" customHeight="1"/>
    <row r="16" spans="1:3" ht="15" customHeight="1"/>
    <row r="17" spans="1:9" ht="15" customHeight="1">
      <c r="A17" s="122" t="s">
        <v>404</v>
      </c>
      <c r="B17" s="123"/>
      <c r="C17" s="122" t="s">
        <v>92</v>
      </c>
      <c r="D17" s="124"/>
      <c r="E17" s="124"/>
      <c r="F17" s="124"/>
      <c r="G17" s="124"/>
      <c r="H17" s="124"/>
      <c r="I17" s="124"/>
    </row>
    <row r="18" spans="1:9" ht="15" customHeight="1"/>
    <row r="19" spans="1:9" ht="15" customHeight="1"/>
    <row r="20" spans="1:9" ht="15" customHeight="1">
      <c r="A20" s="125" t="s">
        <v>393</v>
      </c>
      <c r="B20" s="126"/>
      <c r="C20" s="125" t="s">
        <v>496</v>
      </c>
    </row>
    <row r="21" spans="1:9" ht="15" customHeight="1">
      <c r="A21" s="125" t="s">
        <v>138</v>
      </c>
      <c r="B21" s="126"/>
      <c r="C21" s="125" t="s">
        <v>497</v>
      </c>
    </row>
    <row r="22" spans="1:9" ht="15" customHeight="1">
      <c r="A22" s="125" t="s">
        <v>394</v>
      </c>
      <c r="B22" s="126"/>
      <c r="C22" s="125" t="s">
        <v>108</v>
      </c>
    </row>
    <row r="23" spans="1:9" ht="15" customHeight="1">
      <c r="A23" s="125" t="s">
        <v>395</v>
      </c>
      <c r="B23" s="126"/>
      <c r="C23" s="125" t="s">
        <v>102</v>
      </c>
    </row>
    <row r="24" spans="1:9" ht="15" customHeight="1">
      <c r="A24" s="120" t="s">
        <v>396</v>
      </c>
      <c r="C24" s="120" t="s">
        <v>498</v>
      </c>
    </row>
    <row r="25" spans="1:9" ht="15" customHeight="1">
      <c r="A25" s="120" t="s">
        <v>397</v>
      </c>
      <c r="C25" s="120" t="s">
        <v>66</v>
      </c>
    </row>
    <row r="26" spans="1:9" ht="15" customHeight="1">
      <c r="A26" s="120" t="s">
        <v>398</v>
      </c>
      <c r="C26" s="120" t="s">
        <v>73</v>
      </c>
    </row>
    <row r="27" spans="1:9" ht="15" customHeight="1">
      <c r="A27" s="120" t="s">
        <v>139</v>
      </c>
      <c r="C27" s="120" t="s">
        <v>82</v>
      </c>
    </row>
    <row r="28" spans="1:9" ht="15" customHeight="1">
      <c r="A28" s="120" t="s">
        <v>405</v>
      </c>
      <c r="C28" s="120" t="s">
        <v>95</v>
      </c>
    </row>
    <row r="29" spans="1:9" ht="15" customHeight="1">
      <c r="A29" s="120" t="s">
        <v>140</v>
      </c>
      <c r="C29" s="120" t="s">
        <v>153</v>
      </c>
    </row>
    <row r="30" spans="1:9" ht="15" customHeight="1">
      <c r="A30" s="120" t="s">
        <v>399</v>
      </c>
      <c r="C30" s="120" t="s">
        <v>161</v>
      </c>
    </row>
    <row r="31" spans="1:9" ht="15" customHeight="1">
      <c r="A31" s="120" t="s">
        <v>1045</v>
      </c>
      <c r="C31" s="120" t="s">
        <v>199</v>
      </c>
    </row>
    <row r="32" spans="1:9" ht="15" customHeight="1">
      <c r="A32" s="120" t="s">
        <v>142</v>
      </c>
      <c r="C32" s="120" t="s">
        <v>119</v>
      </c>
    </row>
    <row r="33" spans="1:5" ht="15" customHeight="1">
      <c r="A33" s="120" t="s">
        <v>400</v>
      </c>
      <c r="C33" s="120" t="s">
        <v>633</v>
      </c>
    </row>
    <row r="34" spans="1:5" ht="15" customHeight="1">
      <c r="A34" s="120" t="s">
        <v>1046</v>
      </c>
      <c r="C34" s="120" t="s">
        <v>175</v>
      </c>
    </row>
    <row r="35" spans="1:5" ht="15" customHeight="1">
      <c r="A35" s="120" t="s">
        <v>141</v>
      </c>
      <c r="C35" s="120" t="s">
        <v>261</v>
      </c>
    </row>
    <row r="36" spans="1:5" ht="15" customHeight="1">
      <c r="A36" s="120" t="s">
        <v>272</v>
      </c>
      <c r="C36" s="120" t="s">
        <v>277</v>
      </c>
    </row>
    <row r="37" spans="1:5" ht="15" customHeight="1">
      <c r="A37" s="120" t="s">
        <v>273</v>
      </c>
      <c r="C37" s="120" t="s">
        <v>278</v>
      </c>
    </row>
    <row r="38" spans="1:5" ht="15" customHeight="1">
      <c r="A38" s="120" t="s">
        <v>145</v>
      </c>
      <c r="C38" s="120" t="s">
        <v>499</v>
      </c>
    </row>
    <row r="39" spans="1:5" ht="15" customHeight="1">
      <c r="A39" s="120" t="s">
        <v>401</v>
      </c>
      <c r="C39" s="120" t="s">
        <v>500</v>
      </c>
    </row>
    <row r="40" spans="1:5" ht="15" customHeight="1">
      <c r="A40" s="120" t="s">
        <v>402</v>
      </c>
      <c r="C40" s="120" t="s">
        <v>312</v>
      </c>
    </row>
    <row r="41" spans="1:5" ht="15" customHeight="1">
      <c r="A41" s="120" t="s">
        <v>403</v>
      </c>
      <c r="C41" s="120" t="s">
        <v>501</v>
      </c>
    </row>
    <row r="42" spans="1:5" ht="15" customHeight="1">
      <c r="A42" s="120" t="s">
        <v>406</v>
      </c>
      <c r="C42" s="120" t="s">
        <v>298</v>
      </c>
    </row>
    <row r="43" spans="1:5">
      <c r="D43" s="96"/>
      <c r="E43" s="96"/>
    </row>
    <row r="44" spans="1:5">
      <c r="D44" s="96"/>
      <c r="E44" s="96"/>
    </row>
    <row r="45" spans="1:5">
      <c r="D45" s="96"/>
      <c r="E45" s="96"/>
    </row>
    <row r="46" spans="1:5">
      <c r="D46" s="96"/>
      <c r="E46" s="96"/>
    </row>
    <row r="47" spans="1:5">
      <c r="D47" s="96"/>
      <c r="E47" s="96"/>
    </row>
    <row r="48" spans="1:5">
      <c r="D48" s="96"/>
      <c r="E48" s="96"/>
    </row>
    <row r="49" spans="4:5">
      <c r="D49" s="96"/>
      <c r="E49" s="96"/>
    </row>
    <row r="50" spans="4:5">
      <c r="D50" s="96"/>
      <c r="E50" s="96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8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R294"/>
  <sheetViews>
    <sheetView topLeftCell="A67" zoomScale="75" zoomScaleNormal="75" workbookViewId="0">
      <selection activeCell="L121" sqref="L121"/>
    </sheetView>
  </sheetViews>
  <sheetFormatPr defaultColWidth="11" defaultRowHeight="15.75"/>
  <cols>
    <col min="1" max="1" width="9" style="185"/>
    <col min="2" max="2" width="11" style="415" customWidth="1"/>
    <col min="3" max="3" width="3.6640625" style="415" customWidth="1"/>
    <col min="4" max="4" width="61.6640625" style="415" customWidth="1"/>
    <col min="5" max="5" width="3.6640625" style="415" customWidth="1"/>
    <col min="6" max="6" width="11" style="479" customWidth="1"/>
    <col min="7" max="7" width="3.6640625" style="415" customWidth="1"/>
    <col min="8" max="8" width="14.6640625" style="415" bestFit="1" customWidth="1"/>
    <col min="9" max="9" width="3.6640625" style="415" customWidth="1"/>
    <col min="10" max="10" width="6.6640625" style="415" bestFit="1" customWidth="1"/>
    <col min="11" max="11" width="3.6640625" style="415" customWidth="1"/>
    <col min="12" max="12" width="11.6640625" style="415" bestFit="1" customWidth="1"/>
    <col min="13" max="13" width="3.6640625" style="415" customWidth="1"/>
    <col min="14" max="14" width="11.21875" style="415" bestFit="1" customWidth="1"/>
    <col min="15" max="15" width="3.6640625" style="415" customWidth="1"/>
    <col min="16" max="16" width="11.77734375" style="415" customWidth="1"/>
    <col min="17" max="17" width="3.6640625" style="415" customWidth="1"/>
    <col min="18" max="18" width="13.21875" style="415" bestFit="1" customWidth="1"/>
    <col min="19" max="16384" width="11" style="415"/>
  </cols>
  <sheetData>
    <row r="1" spans="1:18">
      <c r="B1" s="504" t="s">
        <v>1729</v>
      </c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</row>
    <row r="2" spans="1:18">
      <c r="B2" s="504" t="s">
        <v>665</v>
      </c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</row>
    <row r="3" spans="1:18">
      <c r="B3" s="447"/>
      <c r="C3" s="447"/>
      <c r="D3" s="447"/>
      <c r="E3" s="447"/>
      <c r="F3" s="447"/>
      <c r="G3" s="447"/>
      <c r="H3" s="447"/>
    </row>
    <row r="4" spans="1:18">
      <c r="B4" s="447"/>
      <c r="C4" s="447"/>
      <c r="D4" s="447"/>
      <c r="E4" s="447"/>
      <c r="F4" s="447"/>
      <c r="G4" s="447"/>
      <c r="H4" s="447"/>
    </row>
    <row r="5" spans="1:18">
      <c r="B5" s="504" t="s">
        <v>1755</v>
      </c>
      <c r="C5" s="504"/>
      <c r="D5" s="504"/>
      <c r="E5" s="504"/>
      <c r="F5" s="504"/>
      <c r="G5" s="504"/>
      <c r="H5" s="504"/>
      <c r="I5" s="504"/>
      <c r="J5" s="504"/>
      <c r="K5" s="504"/>
      <c r="L5" s="504"/>
      <c r="M5" s="504"/>
      <c r="N5" s="504"/>
      <c r="O5" s="504"/>
      <c r="P5" s="504"/>
      <c r="Q5" s="504"/>
      <c r="R5" s="504"/>
    </row>
    <row r="6" spans="1:18">
      <c r="B6" s="504" t="s">
        <v>1731</v>
      </c>
      <c r="C6" s="504"/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</row>
    <row r="7" spans="1:18">
      <c r="B7" s="448"/>
      <c r="C7" s="449"/>
      <c r="D7" s="449"/>
      <c r="E7" s="449"/>
      <c r="F7" s="450"/>
      <c r="G7" s="449"/>
    </row>
    <row r="8" spans="1:18">
      <c r="B8" s="425"/>
      <c r="C8" s="451"/>
      <c r="D8" s="452"/>
      <c r="E8" s="416"/>
      <c r="F8" s="453" t="s">
        <v>213</v>
      </c>
      <c r="G8" s="416"/>
      <c r="H8" s="454"/>
      <c r="J8" s="416"/>
      <c r="K8" s="416"/>
      <c r="L8" s="416" t="s">
        <v>211</v>
      </c>
      <c r="M8" s="416"/>
      <c r="N8" s="416" t="s">
        <v>1732</v>
      </c>
      <c r="R8" s="416" t="s">
        <v>218</v>
      </c>
    </row>
    <row r="9" spans="1:18">
      <c r="B9" s="425"/>
      <c r="C9" s="451"/>
      <c r="D9" s="416"/>
      <c r="E9" s="416"/>
      <c r="F9" s="453" t="s">
        <v>217</v>
      </c>
      <c r="G9" s="416"/>
      <c r="H9" s="455" t="s">
        <v>219</v>
      </c>
      <c r="J9" s="416" t="s">
        <v>1733</v>
      </c>
      <c r="K9" s="416"/>
      <c r="L9" s="416" t="s">
        <v>1734</v>
      </c>
      <c r="M9" s="416"/>
      <c r="N9" s="416" t="s">
        <v>1735</v>
      </c>
      <c r="P9" s="416" t="s">
        <v>220</v>
      </c>
      <c r="R9" s="416" t="s">
        <v>221</v>
      </c>
    </row>
    <row r="10" spans="1:18">
      <c r="B10" s="425"/>
      <c r="C10" s="451"/>
      <c r="D10" s="416" t="s">
        <v>222</v>
      </c>
      <c r="E10" s="416"/>
      <c r="F10" s="453" t="s">
        <v>223</v>
      </c>
      <c r="G10" s="416"/>
      <c r="H10" s="452" t="s">
        <v>224</v>
      </c>
      <c r="J10" s="417" t="s">
        <v>224</v>
      </c>
      <c r="K10" s="416"/>
      <c r="L10" s="417" t="s">
        <v>224</v>
      </c>
      <c r="M10" s="416"/>
      <c r="N10" s="417" t="s">
        <v>224</v>
      </c>
      <c r="P10" s="416" t="s">
        <v>225</v>
      </c>
      <c r="R10" s="417" t="s">
        <v>226</v>
      </c>
    </row>
    <row r="11" spans="1:18">
      <c r="A11" s="415"/>
      <c r="B11" s="425"/>
      <c r="C11" s="451"/>
      <c r="D11" s="456"/>
      <c r="E11" s="457"/>
      <c r="F11" s="458"/>
      <c r="G11" s="457"/>
      <c r="H11" s="459"/>
      <c r="I11" s="418"/>
      <c r="J11" s="419"/>
      <c r="K11" s="419"/>
      <c r="L11" s="419"/>
      <c r="M11" s="419"/>
      <c r="N11" s="419"/>
      <c r="P11" s="456"/>
    </row>
    <row r="12" spans="1:18">
      <c r="B12" s="425"/>
      <c r="C12" s="451"/>
      <c r="D12" s="457"/>
      <c r="E12" s="457"/>
      <c r="F12" s="453"/>
      <c r="G12" s="457"/>
      <c r="H12" s="457"/>
      <c r="P12" s="457"/>
    </row>
    <row r="13" spans="1:18">
      <c r="B13" s="425"/>
      <c r="D13" s="460" t="s">
        <v>227</v>
      </c>
      <c r="F13" s="461"/>
      <c r="H13" s="424"/>
      <c r="J13" s="420"/>
      <c r="K13" s="420"/>
      <c r="L13" s="420"/>
      <c r="M13" s="420"/>
      <c r="N13" s="420"/>
      <c r="P13" s="462"/>
    </row>
    <row r="14" spans="1:18">
      <c r="B14" s="425"/>
      <c r="F14" s="461"/>
      <c r="H14" s="424"/>
      <c r="J14" s="420"/>
      <c r="K14" s="420"/>
      <c r="L14" s="420"/>
      <c r="M14" s="420"/>
      <c r="N14" s="420"/>
      <c r="P14" s="462"/>
    </row>
    <row r="15" spans="1:18">
      <c r="B15" s="425"/>
      <c r="D15" s="463" t="s">
        <v>118</v>
      </c>
      <c r="F15" s="461"/>
      <c r="H15" s="424"/>
      <c r="J15" s="420"/>
      <c r="K15" s="420"/>
      <c r="L15" s="420"/>
      <c r="M15" s="420"/>
      <c r="N15" s="420"/>
      <c r="P15" s="462"/>
    </row>
    <row r="16" spans="1:18">
      <c r="B16" s="425"/>
      <c r="D16" s="452"/>
      <c r="F16" s="461"/>
      <c r="H16" s="424"/>
      <c r="J16" s="420"/>
      <c r="K16" s="420"/>
      <c r="L16" s="420"/>
      <c r="M16" s="420"/>
      <c r="N16" s="420"/>
      <c r="P16" s="462"/>
    </row>
    <row r="17" spans="1:18">
      <c r="A17" s="185">
        <v>302</v>
      </c>
      <c r="B17" s="424">
        <v>302</v>
      </c>
      <c r="D17" s="415" t="s">
        <v>1756</v>
      </c>
      <c r="F17" s="422">
        <v>0</v>
      </c>
      <c r="H17" s="424">
        <v>12.38741644945676</v>
      </c>
      <c r="J17" s="420">
        <v>12.38741644945676</v>
      </c>
      <c r="K17" s="420"/>
      <c r="L17" s="420">
        <v>0</v>
      </c>
      <c r="M17" s="420"/>
      <c r="N17" s="420">
        <v>0</v>
      </c>
      <c r="P17" s="422" t="s">
        <v>228</v>
      </c>
      <c r="R17" s="415">
        <v>5.5</v>
      </c>
    </row>
    <row r="18" spans="1:18">
      <c r="B18" s="425"/>
      <c r="D18" s="451"/>
      <c r="F18" s="461"/>
      <c r="H18" s="424"/>
      <c r="J18" s="420"/>
      <c r="K18" s="420"/>
      <c r="L18" s="420"/>
      <c r="M18" s="420"/>
      <c r="N18" s="420"/>
      <c r="P18" s="462"/>
    </row>
    <row r="19" spans="1:18">
      <c r="B19" s="425"/>
      <c r="D19" s="464" t="s">
        <v>232</v>
      </c>
      <c r="F19" s="461"/>
      <c r="H19" s="465"/>
      <c r="J19" s="420"/>
      <c r="K19" s="420"/>
      <c r="L19" s="420"/>
      <c r="M19" s="420"/>
      <c r="N19" s="420"/>
      <c r="P19" s="462"/>
    </row>
    <row r="20" spans="1:18">
      <c r="B20" s="425"/>
      <c r="D20" s="464"/>
      <c r="F20" s="461"/>
      <c r="H20" s="424"/>
      <c r="J20" s="420"/>
      <c r="K20" s="420"/>
      <c r="L20" s="420"/>
      <c r="M20" s="420"/>
      <c r="N20" s="420"/>
      <c r="P20" s="462"/>
    </row>
    <row r="21" spans="1:18">
      <c r="B21" s="425"/>
      <c r="F21" s="461"/>
      <c r="H21" s="424"/>
      <c r="J21" s="420"/>
      <c r="K21" s="420"/>
      <c r="L21" s="420"/>
      <c r="M21" s="420"/>
      <c r="N21" s="420"/>
      <c r="P21" s="462"/>
    </row>
    <row r="22" spans="1:18">
      <c r="B22" s="425"/>
      <c r="D22" s="452" t="s">
        <v>668</v>
      </c>
      <c r="F22" s="461"/>
      <c r="H22" s="424"/>
      <c r="J22" s="420"/>
      <c r="K22" s="420"/>
      <c r="L22" s="420"/>
      <c r="M22" s="420"/>
      <c r="N22" s="420"/>
      <c r="P22" s="462"/>
    </row>
    <row r="23" spans="1:18">
      <c r="B23" s="425"/>
      <c r="D23" s="466"/>
      <c r="F23" s="461"/>
      <c r="H23" s="424"/>
      <c r="J23" s="420"/>
      <c r="K23" s="420"/>
      <c r="L23" s="420"/>
      <c r="M23" s="420"/>
      <c r="N23" s="420"/>
      <c r="P23" s="462"/>
    </row>
    <row r="24" spans="1:18">
      <c r="A24" s="185">
        <v>350</v>
      </c>
      <c r="B24" s="424">
        <v>350.2</v>
      </c>
      <c r="D24" s="415" t="s">
        <v>669</v>
      </c>
      <c r="F24" s="467">
        <v>0</v>
      </c>
      <c r="H24" s="424">
        <v>0.5902574714533273</v>
      </c>
      <c r="J24" s="420">
        <v>0.5902574714533273</v>
      </c>
      <c r="K24" s="420"/>
      <c r="L24" s="420">
        <v>0</v>
      </c>
      <c r="M24" s="420"/>
      <c r="N24" s="420">
        <v>0</v>
      </c>
      <c r="P24" s="422" t="s">
        <v>1757</v>
      </c>
      <c r="R24" s="415">
        <v>52.8</v>
      </c>
    </row>
    <row r="25" spans="1:18">
      <c r="B25" s="424">
        <v>351.2</v>
      </c>
      <c r="D25" s="415" t="s">
        <v>670</v>
      </c>
      <c r="F25" s="430">
        <v>-0.15</v>
      </c>
      <c r="H25" s="424">
        <v>2.0631474552486186</v>
      </c>
      <c r="J25" s="420">
        <v>1.7931474552486186</v>
      </c>
      <c r="K25" s="420"/>
      <c r="L25" s="420">
        <v>0.27</v>
      </c>
      <c r="M25" s="420"/>
      <c r="N25" s="420">
        <v>0</v>
      </c>
      <c r="P25" s="422" t="s">
        <v>682</v>
      </c>
      <c r="R25" s="415">
        <v>49.5</v>
      </c>
    </row>
    <row r="26" spans="1:18">
      <c r="B26" s="424">
        <v>351.3</v>
      </c>
      <c r="D26" s="415" t="s">
        <v>672</v>
      </c>
      <c r="F26" s="430">
        <v>-0.05</v>
      </c>
      <c r="H26" s="424">
        <v>1.0436898841413735</v>
      </c>
      <c r="J26" s="420">
        <v>0.99368988414137349</v>
      </c>
      <c r="K26" s="420"/>
      <c r="L26" s="420">
        <v>0.05</v>
      </c>
      <c r="M26" s="420"/>
      <c r="N26" s="420">
        <v>0</v>
      </c>
      <c r="P26" s="422" t="s">
        <v>1758</v>
      </c>
      <c r="R26" s="415">
        <v>54.6</v>
      </c>
    </row>
    <row r="27" spans="1:18">
      <c r="B27" s="424">
        <v>351.4</v>
      </c>
      <c r="D27" s="415" t="s">
        <v>674</v>
      </c>
      <c r="F27" s="430">
        <v>-0.15</v>
      </c>
      <c r="H27" s="424">
        <v>1.8691334238738619</v>
      </c>
      <c r="J27" s="420">
        <v>1.629133423873862</v>
      </c>
      <c r="K27" s="420"/>
      <c r="L27" s="420">
        <v>0.24</v>
      </c>
      <c r="M27" s="420"/>
      <c r="N27" s="420">
        <v>0</v>
      </c>
      <c r="P27" s="422" t="s">
        <v>1759</v>
      </c>
      <c r="R27" s="415">
        <v>52.4</v>
      </c>
    </row>
    <row r="28" spans="1:18">
      <c r="B28" s="424">
        <v>352.1</v>
      </c>
      <c r="D28" s="415" t="s">
        <v>676</v>
      </c>
      <c r="F28" s="467">
        <v>0</v>
      </c>
      <c r="H28" s="433" t="s">
        <v>1760</v>
      </c>
      <c r="J28" s="420">
        <v>0</v>
      </c>
      <c r="K28" s="420"/>
      <c r="L28" s="420">
        <v>0</v>
      </c>
      <c r="M28" s="420"/>
      <c r="N28" s="420">
        <v>0</v>
      </c>
      <c r="P28" s="422" t="s">
        <v>1761</v>
      </c>
      <c r="R28" s="415" t="s">
        <v>1760</v>
      </c>
    </row>
    <row r="29" spans="1:18">
      <c r="B29" s="424">
        <v>352.2</v>
      </c>
      <c r="D29" s="415" t="s">
        <v>678</v>
      </c>
      <c r="F29" s="467">
        <v>0</v>
      </c>
      <c r="H29" s="433" t="s">
        <v>1760</v>
      </c>
      <c r="J29" s="420">
        <v>0</v>
      </c>
      <c r="K29" s="420"/>
      <c r="L29" s="420">
        <v>0</v>
      </c>
      <c r="M29" s="420"/>
      <c r="N29" s="420">
        <v>0</v>
      </c>
      <c r="P29" s="422" t="s">
        <v>1757</v>
      </c>
      <c r="R29" s="415" t="s">
        <v>1760</v>
      </c>
    </row>
    <row r="30" spans="1:18">
      <c r="B30" s="424">
        <v>352.3</v>
      </c>
      <c r="D30" s="415" t="s">
        <v>679</v>
      </c>
      <c r="F30" s="467">
        <v>0</v>
      </c>
      <c r="H30" s="424">
        <v>0.82303029737725353</v>
      </c>
      <c r="J30" s="420">
        <v>0.82303029737725353</v>
      </c>
      <c r="K30" s="420"/>
      <c r="L30" s="420">
        <v>0</v>
      </c>
      <c r="M30" s="420"/>
      <c r="N30" s="420">
        <v>0</v>
      </c>
      <c r="P30" s="422" t="s">
        <v>680</v>
      </c>
      <c r="R30" s="415">
        <v>19.5</v>
      </c>
    </row>
    <row r="31" spans="1:18">
      <c r="B31" s="424">
        <v>352.4</v>
      </c>
      <c r="D31" s="415" t="s">
        <v>681</v>
      </c>
      <c r="F31" s="467">
        <v>-30</v>
      </c>
      <c r="H31" s="424">
        <v>2.1121423596560214</v>
      </c>
      <c r="J31" s="420">
        <v>1.6221423596560214</v>
      </c>
      <c r="K31" s="420"/>
      <c r="L31" s="420">
        <v>0.49</v>
      </c>
      <c r="M31" s="420"/>
      <c r="N31" s="420">
        <v>0</v>
      </c>
      <c r="P31" s="422" t="s">
        <v>1758</v>
      </c>
      <c r="R31" s="415">
        <v>45.1</v>
      </c>
    </row>
    <row r="32" spans="1:18">
      <c r="B32" s="424">
        <v>352.5</v>
      </c>
      <c r="D32" s="415" t="s">
        <v>683</v>
      </c>
      <c r="F32" s="467">
        <v>-30</v>
      </c>
      <c r="H32" s="424">
        <v>3.0131916731396893</v>
      </c>
      <c r="J32" s="420">
        <v>2.3131916731396891</v>
      </c>
      <c r="K32" s="420"/>
      <c r="L32" s="420">
        <v>0.72</v>
      </c>
      <c r="M32" s="420"/>
      <c r="N32" s="420">
        <v>-0.02</v>
      </c>
      <c r="P32" s="422" t="s">
        <v>753</v>
      </c>
      <c r="R32" s="415">
        <v>37.4</v>
      </c>
    </row>
    <row r="33" spans="1:18">
      <c r="A33" s="185">
        <v>353</v>
      </c>
      <c r="B33" s="424">
        <v>353</v>
      </c>
      <c r="D33" s="415" t="s">
        <v>685</v>
      </c>
      <c r="F33" s="430">
        <v>-0.15</v>
      </c>
      <c r="H33" s="424">
        <v>2.0060323704189793</v>
      </c>
      <c r="J33" s="420">
        <v>1.7460323704189793</v>
      </c>
      <c r="K33" s="420"/>
      <c r="L33" s="420">
        <v>0.28000000000000003</v>
      </c>
      <c r="M33" s="420"/>
      <c r="N33" s="420">
        <v>-0.02</v>
      </c>
      <c r="P33" s="422" t="s">
        <v>1762</v>
      </c>
      <c r="R33" s="415">
        <v>37.799999999999997</v>
      </c>
    </row>
    <row r="34" spans="1:18">
      <c r="A34" s="185">
        <v>354</v>
      </c>
      <c r="B34" s="424">
        <v>354</v>
      </c>
      <c r="D34" s="415" t="s">
        <v>687</v>
      </c>
      <c r="F34" s="430">
        <v>-0.05</v>
      </c>
      <c r="H34" s="424">
        <v>2.2660277773525301</v>
      </c>
      <c r="J34" s="420">
        <v>2.1560277773525303</v>
      </c>
      <c r="K34" s="420"/>
      <c r="L34" s="420">
        <v>0.13</v>
      </c>
      <c r="M34" s="420"/>
      <c r="N34" s="420">
        <v>-0.02</v>
      </c>
      <c r="P34" s="422" t="s">
        <v>684</v>
      </c>
      <c r="R34" s="415">
        <v>39.9</v>
      </c>
    </row>
    <row r="35" spans="1:18">
      <c r="A35" s="185">
        <v>355</v>
      </c>
      <c r="B35" s="424">
        <v>355</v>
      </c>
      <c r="D35" s="415" t="s">
        <v>689</v>
      </c>
      <c r="F35" s="430">
        <v>-0.1</v>
      </c>
      <c r="H35" s="424">
        <v>2.549651827349662</v>
      </c>
      <c r="J35" s="420">
        <v>2.319651827349662</v>
      </c>
      <c r="K35" s="420"/>
      <c r="L35" s="420">
        <v>0.28000000000000003</v>
      </c>
      <c r="M35" s="420"/>
      <c r="N35" s="420">
        <v>-0.05</v>
      </c>
      <c r="P35" s="422" t="s">
        <v>690</v>
      </c>
      <c r="R35" s="415">
        <v>30.8</v>
      </c>
    </row>
    <row r="36" spans="1:18">
      <c r="A36" s="185">
        <v>356</v>
      </c>
      <c r="B36" s="424">
        <v>356</v>
      </c>
      <c r="D36" s="415" t="s">
        <v>691</v>
      </c>
      <c r="F36" s="430">
        <v>-0.25</v>
      </c>
      <c r="H36" s="424">
        <v>2.367776617318686</v>
      </c>
      <c r="J36" s="420">
        <v>1.8977766173186861</v>
      </c>
      <c r="K36" s="420"/>
      <c r="L36" s="420">
        <v>0.49</v>
      </c>
      <c r="M36" s="420"/>
      <c r="N36" s="420">
        <v>-0.02</v>
      </c>
      <c r="P36" s="422" t="s">
        <v>1762</v>
      </c>
      <c r="R36" s="415">
        <v>40.200000000000003</v>
      </c>
    </row>
    <row r="37" spans="1:18">
      <c r="A37" s="185">
        <v>357</v>
      </c>
      <c r="B37" s="424">
        <v>357</v>
      </c>
      <c r="D37" s="426" t="s">
        <v>692</v>
      </c>
      <c r="F37" s="430">
        <v>-0.1</v>
      </c>
      <c r="H37" s="424">
        <v>2.5257517855882536</v>
      </c>
      <c r="J37" s="420">
        <v>2.2957517855882537</v>
      </c>
      <c r="K37" s="420"/>
      <c r="L37" s="420">
        <v>0.25</v>
      </c>
      <c r="M37" s="420"/>
      <c r="N37" s="420">
        <v>-0.02</v>
      </c>
      <c r="P37" s="422" t="s">
        <v>693</v>
      </c>
      <c r="R37" s="415">
        <v>38.200000000000003</v>
      </c>
    </row>
    <row r="38" spans="1:18">
      <c r="B38" s="424"/>
      <c r="F38" s="467"/>
      <c r="H38" s="424"/>
      <c r="J38" s="420"/>
      <c r="K38" s="420"/>
      <c r="L38" s="420"/>
      <c r="M38" s="420"/>
      <c r="N38" s="420"/>
      <c r="P38" s="422"/>
    </row>
    <row r="39" spans="1:18">
      <c r="B39" s="424"/>
      <c r="D39" s="464" t="s">
        <v>694</v>
      </c>
      <c r="F39" s="453"/>
      <c r="G39" s="451"/>
      <c r="H39" s="465">
        <v>2.1629839622155242</v>
      </c>
      <c r="J39" s="420"/>
      <c r="K39" s="420"/>
      <c r="L39" s="420"/>
      <c r="M39" s="420"/>
      <c r="N39" s="420"/>
      <c r="P39" s="416"/>
      <c r="R39" s="415">
        <v>39.9</v>
      </c>
    </row>
    <row r="40" spans="1:18">
      <c r="B40" s="424"/>
      <c r="D40" s="464"/>
      <c r="F40" s="453"/>
      <c r="G40" s="451"/>
      <c r="H40" s="465"/>
      <c r="J40" s="420"/>
      <c r="K40" s="420"/>
      <c r="L40" s="420"/>
      <c r="M40" s="420"/>
      <c r="N40" s="420"/>
      <c r="P40" s="416"/>
    </row>
    <row r="41" spans="1:18">
      <c r="A41" s="185">
        <v>351.2</v>
      </c>
      <c r="B41" s="424">
        <v>351.2</v>
      </c>
      <c r="D41" s="415" t="s">
        <v>670</v>
      </c>
      <c r="F41" s="430">
        <v>-0.15</v>
      </c>
      <c r="H41" s="424">
        <v>2.0631474552486186</v>
      </c>
      <c r="J41" s="420">
        <v>1.7931474552486186</v>
      </c>
      <c r="K41" s="420"/>
      <c r="L41" s="420">
        <v>0.27</v>
      </c>
      <c r="M41" s="420"/>
      <c r="N41" s="420">
        <v>0</v>
      </c>
      <c r="P41" s="422" t="s">
        <v>682</v>
      </c>
      <c r="R41" s="415">
        <v>49.5</v>
      </c>
    </row>
    <row r="42" spans="1:18">
      <c r="A42" s="185">
        <v>351.3</v>
      </c>
      <c r="B42" s="424">
        <v>351.3</v>
      </c>
      <c r="D42" s="415" t="s">
        <v>672</v>
      </c>
      <c r="F42" s="430">
        <v>-0.05</v>
      </c>
      <c r="H42" s="424">
        <v>1.0436898841413735</v>
      </c>
      <c r="J42" s="420">
        <v>0.99368988414137349</v>
      </c>
      <c r="K42" s="420"/>
      <c r="L42" s="420">
        <v>0.05</v>
      </c>
      <c r="M42" s="420"/>
      <c r="N42" s="420">
        <v>0</v>
      </c>
      <c r="P42" s="422" t="s">
        <v>1758</v>
      </c>
      <c r="R42" s="415">
        <v>54.6</v>
      </c>
    </row>
    <row r="43" spans="1:18">
      <c r="A43" s="185">
        <v>351.4</v>
      </c>
      <c r="B43" s="424">
        <v>351.4</v>
      </c>
      <c r="D43" s="415" t="s">
        <v>674</v>
      </c>
      <c r="F43" s="430">
        <v>-0.15</v>
      </c>
      <c r="H43" s="468">
        <v>1.8691334238738619</v>
      </c>
      <c r="J43" s="420">
        <v>1.629133423873862</v>
      </c>
      <c r="K43" s="420"/>
      <c r="L43" s="420">
        <v>0.24</v>
      </c>
      <c r="M43" s="420"/>
      <c r="N43" s="420">
        <v>0</v>
      </c>
      <c r="P43" s="422" t="s">
        <v>1759</v>
      </c>
      <c r="R43" s="415">
        <v>52.4</v>
      </c>
    </row>
    <row r="44" spans="1:18">
      <c r="A44" s="185">
        <v>351</v>
      </c>
      <c r="B44" s="424"/>
      <c r="D44" s="464"/>
      <c r="F44" s="469" t="s">
        <v>1785</v>
      </c>
      <c r="G44" s="451"/>
      <c r="H44" s="465">
        <f>((201531+346+89914)/(9768133.61+33151.61+4810464.51)*100)</f>
        <v>1.9969613864991926</v>
      </c>
      <c r="J44" s="420"/>
      <c r="K44" s="420"/>
      <c r="L44" s="420"/>
      <c r="M44" s="420"/>
      <c r="N44" s="420"/>
      <c r="P44" s="470" t="s">
        <v>1783</v>
      </c>
      <c r="R44" s="471" t="s">
        <v>1784</v>
      </c>
    </row>
    <row r="45" spans="1:18">
      <c r="B45" s="424"/>
      <c r="D45" s="464"/>
      <c r="F45" s="453"/>
      <c r="G45" s="451"/>
      <c r="H45" s="465"/>
      <c r="J45" s="420"/>
      <c r="K45" s="420"/>
      <c r="L45" s="420"/>
      <c r="M45" s="420"/>
      <c r="N45" s="420"/>
      <c r="P45" s="416"/>
    </row>
    <row r="46" spans="1:18">
      <c r="A46" s="185">
        <v>352.1</v>
      </c>
      <c r="B46" s="424">
        <v>352.1</v>
      </c>
      <c r="D46" s="415" t="s">
        <v>676</v>
      </c>
      <c r="F46" s="422">
        <v>0</v>
      </c>
      <c r="H46" s="433" t="s">
        <v>1760</v>
      </c>
      <c r="J46" s="420">
        <v>0</v>
      </c>
      <c r="K46" s="420"/>
      <c r="L46" s="420">
        <v>0</v>
      </c>
      <c r="M46" s="420"/>
      <c r="N46" s="420">
        <v>0</v>
      </c>
      <c r="P46" s="422" t="s">
        <v>1761</v>
      </c>
      <c r="R46" s="415" t="s">
        <v>1760</v>
      </c>
    </row>
    <row r="47" spans="1:18">
      <c r="A47" s="185">
        <v>352.2</v>
      </c>
      <c r="B47" s="424">
        <v>352.2</v>
      </c>
      <c r="D47" s="415" t="s">
        <v>678</v>
      </c>
      <c r="F47" s="422">
        <v>0</v>
      </c>
      <c r="H47" s="433" t="s">
        <v>1760</v>
      </c>
      <c r="J47" s="420">
        <v>0</v>
      </c>
      <c r="K47" s="420"/>
      <c r="L47" s="420">
        <v>0</v>
      </c>
      <c r="M47" s="420"/>
      <c r="N47" s="420">
        <v>0</v>
      </c>
      <c r="P47" s="422" t="s">
        <v>1757</v>
      </c>
      <c r="R47" s="415" t="s">
        <v>1760</v>
      </c>
    </row>
    <row r="48" spans="1:18">
      <c r="A48" s="415">
        <v>352.3</v>
      </c>
      <c r="B48" s="424">
        <v>352.3</v>
      </c>
      <c r="D48" s="415" t="s">
        <v>679</v>
      </c>
      <c r="F48" s="422">
        <v>0</v>
      </c>
      <c r="H48" s="424">
        <v>0.82303029737725353</v>
      </c>
      <c r="J48" s="420">
        <v>0.82303029737725353</v>
      </c>
      <c r="K48" s="420"/>
      <c r="L48" s="420">
        <v>0</v>
      </c>
      <c r="M48" s="420"/>
      <c r="N48" s="420">
        <v>0</v>
      </c>
      <c r="P48" s="422" t="s">
        <v>680</v>
      </c>
      <c r="R48" s="415">
        <v>19.5</v>
      </c>
    </row>
    <row r="49" spans="1:18">
      <c r="A49" s="415"/>
      <c r="B49" s="424">
        <v>352.4</v>
      </c>
      <c r="D49" s="415" t="s">
        <v>681</v>
      </c>
      <c r="F49" s="461">
        <v>-30</v>
      </c>
      <c r="H49" s="424">
        <v>2.1121423596560214</v>
      </c>
      <c r="J49" s="420">
        <v>1.6221423596560214</v>
      </c>
      <c r="K49" s="420"/>
      <c r="L49" s="420">
        <v>0.49</v>
      </c>
      <c r="M49" s="420"/>
      <c r="N49" s="420">
        <v>0</v>
      </c>
      <c r="P49" s="422" t="s">
        <v>1758</v>
      </c>
      <c r="R49" s="415">
        <v>45.1</v>
      </c>
    </row>
    <row r="50" spans="1:18">
      <c r="A50" s="415"/>
      <c r="B50" s="424">
        <v>352.5</v>
      </c>
      <c r="D50" s="415" t="s">
        <v>683</v>
      </c>
      <c r="F50" s="461">
        <v>-30</v>
      </c>
      <c r="H50" s="468">
        <v>3.0131916731396893</v>
      </c>
      <c r="J50" s="420">
        <v>2.3131916731396891</v>
      </c>
      <c r="K50" s="420"/>
      <c r="L50" s="420">
        <v>0.72</v>
      </c>
      <c r="M50" s="420"/>
      <c r="N50" s="420">
        <v>-0.02</v>
      </c>
      <c r="P50" s="422" t="s">
        <v>753</v>
      </c>
      <c r="R50" s="415">
        <v>37.4</v>
      </c>
    </row>
    <row r="51" spans="1:18">
      <c r="A51" s="185">
        <v>352</v>
      </c>
      <c r="B51" s="424"/>
      <c r="F51" s="432">
        <v>-0.3</v>
      </c>
      <c r="H51" s="472">
        <f>((126630+396585)/(5995334.52+13161625.38)*100)</f>
        <v>2.73120058052635</v>
      </c>
      <c r="J51" s="420"/>
      <c r="K51" s="420"/>
      <c r="L51" s="420"/>
      <c r="M51" s="420"/>
      <c r="N51" s="420"/>
      <c r="P51" s="470" t="s">
        <v>1800</v>
      </c>
      <c r="R51" s="471" t="s">
        <v>1801</v>
      </c>
    </row>
    <row r="52" spans="1:18">
      <c r="B52" s="424"/>
      <c r="F52" s="461"/>
      <c r="H52" s="424"/>
      <c r="J52" s="420"/>
      <c r="K52" s="420"/>
      <c r="L52" s="420"/>
      <c r="M52" s="420"/>
      <c r="N52" s="420"/>
      <c r="P52" s="422"/>
    </row>
    <row r="53" spans="1:18">
      <c r="B53" s="424"/>
      <c r="C53" s="425"/>
      <c r="D53" s="452" t="s">
        <v>239</v>
      </c>
      <c r="E53" s="425"/>
      <c r="F53" s="461"/>
      <c r="G53" s="425"/>
      <c r="H53" s="473"/>
      <c r="J53" s="420"/>
      <c r="K53" s="420"/>
      <c r="L53" s="420"/>
      <c r="M53" s="420"/>
      <c r="N53" s="420"/>
      <c r="P53" s="462"/>
    </row>
    <row r="54" spans="1:18">
      <c r="B54" s="424"/>
      <c r="D54" s="466"/>
      <c r="F54" s="461"/>
      <c r="H54" s="473"/>
      <c r="J54" s="420"/>
      <c r="K54" s="420"/>
      <c r="L54" s="420"/>
      <c r="M54" s="420"/>
      <c r="N54" s="420"/>
      <c r="P54" s="462"/>
    </row>
    <row r="55" spans="1:18">
      <c r="A55" s="185">
        <v>365</v>
      </c>
      <c r="B55" s="424">
        <v>365.2</v>
      </c>
      <c r="D55" s="415" t="s">
        <v>695</v>
      </c>
      <c r="F55" s="422">
        <v>0</v>
      </c>
      <c r="H55" s="424">
        <v>0.13369041514499405</v>
      </c>
      <c r="J55" s="420">
        <v>0.13369041514499405</v>
      </c>
      <c r="K55" s="420"/>
      <c r="L55" s="420">
        <v>0</v>
      </c>
      <c r="M55" s="420"/>
      <c r="N55" s="420">
        <v>0</v>
      </c>
      <c r="P55" s="422" t="s">
        <v>1761</v>
      </c>
      <c r="R55" s="415">
        <v>34.5</v>
      </c>
    </row>
    <row r="56" spans="1:18">
      <c r="A56" s="185">
        <v>367</v>
      </c>
      <c r="B56" s="424">
        <v>367</v>
      </c>
      <c r="D56" s="426" t="s">
        <v>697</v>
      </c>
      <c r="F56" s="430">
        <v>-0.35</v>
      </c>
      <c r="H56" s="424">
        <v>2.0526733971343152</v>
      </c>
      <c r="J56" s="420">
        <v>1.5226733971343152</v>
      </c>
      <c r="K56" s="420"/>
      <c r="L56" s="420">
        <v>0.56000000000000005</v>
      </c>
      <c r="M56" s="420"/>
      <c r="N56" s="420">
        <v>-0.03</v>
      </c>
      <c r="P56" s="422" t="s">
        <v>698</v>
      </c>
      <c r="R56" s="415">
        <v>55</v>
      </c>
    </row>
    <row r="57" spans="1:18">
      <c r="B57" s="424"/>
      <c r="D57" s="451"/>
      <c r="F57" s="453"/>
      <c r="G57" s="451"/>
      <c r="H57" s="473"/>
      <c r="J57" s="420"/>
      <c r="K57" s="420"/>
      <c r="L57" s="420"/>
      <c r="M57" s="420"/>
      <c r="N57" s="420"/>
      <c r="P57" s="416"/>
    </row>
    <row r="58" spans="1:18">
      <c r="B58" s="424"/>
      <c r="D58" s="464" t="s">
        <v>240</v>
      </c>
      <c r="F58" s="469" t="s">
        <v>1786</v>
      </c>
      <c r="H58" s="465">
        <v>2.044278590819562</v>
      </c>
      <c r="J58" s="420"/>
      <c r="K58" s="420"/>
      <c r="L58" s="420"/>
      <c r="M58" s="420"/>
      <c r="N58" s="420"/>
      <c r="P58" s="462"/>
      <c r="R58" s="415">
        <v>55</v>
      </c>
    </row>
    <row r="59" spans="1:18">
      <c r="B59" s="424"/>
      <c r="D59" s="451"/>
      <c r="F59" s="453"/>
      <c r="G59" s="451"/>
      <c r="H59" s="473"/>
      <c r="J59" s="420"/>
      <c r="K59" s="420"/>
      <c r="L59" s="420"/>
      <c r="M59" s="420"/>
      <c r="N59" s="420"/>
      <c r="P59" s="416"/>
    </row>
    <row r="60" spans="1:18">
      <c r="B60" s="424"/>
      <c r="D60" s="451"/>
      <c r="F60" s="453"/>
      <c r="G60" s="451"/>
      <c r="H60" s="473"/>
      <c r="J60" s="420"/>
      <c r="K60" s="420"/>
      <c r="L60" s="420"/>
      <c r="M60" s="420"/>
      <c r="N60" s="420"/>
      <c r="P60" s="416"/>
    </row>
    <row r="61" spans="1:18">
      <c r="A61" s="415"/>
      <c r="B61" s="424"/>
      <c r="D61" s="452" t="s">
        <v>241</v>
      </c>
      <c r="F61" s="461"/>
      <c r="H61" s="473"/>
      <c r="J61" s="420"/>
      <c r="K61" s="420"/>
      <c r="L61" s="420"/>
      <c r="M61" s="420"/>
      <c r="N61" s="420"/>
      <c r="P61" s="462"/>
    </row>
    <row r="62" spans="1:18">
      <c r="A62" s="415"/>
      <c r="B62" s="424"/>
      <c r="D62" s="466"/>
      <c r="F62" s="461"/>
      <c r="H62" s="473"/>
      <c r="J62" s="420"/>
      <c r="K62" s="420"/>
      <c r="L62" s="420"/>
      <c r="M62" s="420"/>
      <c r="N62" s="420"/>
      <c r="P62" s="462"/>
    </row>
    <row r="63" spans="1:18">
      <c r="A63" s="185">
        <v>374</v>
      </c>
      <c r="B63" s="424">
        <v>374.22</v>
      </c>
      <c r="D63" s="415" t="s">
        <v>699</v>
      </c>
      <c r="F63" s="422">
        <v>0</v>
      </c>
      <c r="H63" s="433" t="s">
        <v>1760</v>
      </c>
      <c r="J63" s="420">
        <v>0</v>
      </c>
      <c r="K63" s="420"/>
      <c r="L63" s="420">
        <v>0</v>
      </c>
      <c r="M63" s="420"/>
      <c r="N63" s="420">
        <v>0</v>
      </c>
      <c r="P63" s="422" t="s">
        <v>1763</v>
      </c>
      <c r="R63" s="415" t="s">
        <v>1760</v>
      </c>
    </row>
    <row r="64" spans="1:18">
      <c r="B64" s="424">
        <v>375.1</v>
      </c>
      <c r="D64" s="415" t="s">
        <v>1764</v>
      </c>
      <c r="F64" s="461">
        <v>-15</v>
      </c>
      <c r="H64" s="424">
        <v>2.4588642124913425</v>
      </c>
      <c r="J64" s="420">
        <v>2.1388642124913426</v>
      </c>
      <c r="K64" s="420"/>
      <c r="L64" s="420">
        <v>0.32</v>
      </c>
      <c r="M64" s="420"/>
      <c r="N64" s="420">
        <v>0</v>
      </c>
      <c r="P64" s="422" t="s">
        <v>675</v>
      </c>
      <c r="R64" s="415">
        <v>39.9</v>
      </c>
    </row>
    <row r="65" spans="1:18">
      <c r="B65" s="424">
        <v>375.2</v>
      </c>
      <c r="D65" s="415" t="s">
        <v>1765</v>
      </c>
      <c r="F65" s="461">
        <v>-15</v>
      </c>
      <c r="H65" s="424">
        <v>3.6791208512640248</v>
      </c>
      <c r="J65" s="420">
        <v>3.1991208512640248</v>
      </c>
      <c r="K65" s="420"/>
      <c r="L65" s="420">
        <v>0.48</v>
      </c>
      <c r="M65" s="420"/>
      <c r="N65" s="420">
        <v>0</v>
      </c>
      <c r="P65" s="422" t="s">
        <v>1766</v>
      </c>
      <c r="R65" s="415">
        <v>21.3</v>
      </c>
    </row>
    <row r="66" spans="1:18">
      <c r="A66" s="185">
        <v>376</v>
      </c>
      <c r="B66" s="424">
        <v>376</v>
      </c>
      <c r="D66" s="415" t="s">
        <v>704</v>
      </c>
      <c r="F66" s="430">
        <v>-0.3</v>
      </c>
      <c r="H66" s="424">
        <v>1.9932384582108758</v>
      </c>
      <c r="J66" s="420">
        <v>1.5332384582108758</v>
      </c>
      <c r="K66" s="420"/>
      <c r="L66" s="420">
        <v>0.49</v>
      </c>
      <c r="M66" s="420"/>
      <c r="N66" s="420">
        <v>-0.03</v>
      </c>
      <c r="P66" s="422" t="s">
        <v>1767</v>
      </c>
      <c r="R66" s="415">
        <v>49</v>
      </c>
    </row>
    <row r="67" spans="1:18">
      <c r="A67" s="185">
        <v>378</v>
      </c>
      <c r="B67" s="424">
        <v>378</v>
      </c>
      <c r="D67" s="415" t="s">
        <v>1768</v>
      </c>
      <c r="F67" s="430">
        <v>-0.1</v>
      </c>
      <c r="H67" s="424">
        <v>2.7748721963270846</v>
      </c>
      <c r="J67" s="420">
        <v>2.5248721963270842</v>
      </c>
      <c r="K67" s="420"/>
      <c r="L67" s="420">
        <v>0.28000000000000003</v>
      </c>
      <c r="M67" s="420"/>
      <c r="N67" s="420">
        <v>-0.03</v>
      </c>
      <c r="P67" s="422" t="s">
        <v>1769</v>
      </c>
      <c r="R67" s="415">
        <v>35.4</v>
      </c>
    </row>
    <row r="68" spans="1:18">
      <c r="A68" s="185">
        <v>379</v>
      </c>
      <c r="B68" s="424">
        <v>379</v>
      </c>
      <c r="D68" s="415" t="s">
        <v>1770</v>
      </c>
      <c r="F68" s="430">
        <v>-0.25</v>
      </c>
      <c r="H68" s="424">
        <v>3.6328574462883032</v>
      </c>
      <c r="J68" s="420">
        <v>2.9128574462883035</v>
      </c>
      <c r="K68" s="420"/>
      <c r="L68" s="420">
        <v>0.78</v>
      </c>
      <c r="M68" s="420"/>
      <c r="N68" s="420">
        <v>-0.06</v>
      </c>
      <c r="P68" s="422" t="s">
        <v>1771</v>
      </c>
      <c r="R68" s="415">
        <v>29.8</v>
      </c>
    </row>
    <row r="69" spans="1:18">
      <c r="A69" s="185">
        <v>380</v>
      </c>
      <c r="B69" s="424">
        <v>380</v>
      </c>
      <c r="D69" s="426" t="s">
        <v>710</v>
      </c>
      <c r="F69" s="430">
        <v>-0.45</v>
      </c>
      <c r="H69" s="424">
        <v>3.2773181910172284</v>
      </c>
      <c r="J69" s="420">
        <v>2.2573181910172284</v>
      </c>
      <c r="K69" s="420"/>
      <c r="L69" s="420">
        <v>1.02</v>
      </c>
      <c r="M69" s="420"/>
      <c r="N69" s="420">
        <v>0</v>
      </c>
      <c r="P69" s="422" t="s">
        <v>1772</v>
      </c>
      <c r="R69" s="415">
        <v>35.5</v>
      </c>
    </row>
    <row r="70" spans="1:18">
      <c r="A70" s="185">
        <v>381</v>
      </c>
      <c r="B70" s="424">
        <v>381</v>
      </c>
      <c r="D70" s="426" t="s">
        <v>712</v>
      </c>
      <c r="F70" s="430">
        <v>-0.05</v>
      </c>
      <c r="H70" s="424">
        <v>3.8295628059696982</v>
      </c>
      <c r="J70" s="420">
        <v>3.6495628059696981</v>
      </c>
      <c r="K70" s="420"/>
      <c r="L70" s="420">
        <v>0.28999999999999998</v>
      </c>
      <c r="M70" s="420"/>
      <c r="N70" s="420">
        <v>-0.11</v>
      </c>
      <c r="P70" s="422" t="s">
        <v>1773</v>
      </c>
      <c r="R70" s="415">
        <v>20.7</v>
      </c>
    </row>
    <row r="71" spans="1:18">
      <c r="A71" s="185">
        <v>383</v>
      </c>
      <c r="B71" s="424">
        <v>383</v>
      </c>
      <c r="D71" s="415" t="s">
        <v>714</v>
      </c>
      <c r="F71" s="430">
        <v>-0.1</v>
      </c>
      <c r="H71" s="424">
        <v>3.7672629585427106</v>
      </c>
      <c r="J71" s="420">
        <v>3.4172629585427106</v>
      </c>
      <c r="K71" s="420"/>
      <c r="L71" s="420">
        <v>0.38</v>
      </c>
      <c r="M71" s="420"/>
      <c r="N71" s="420">
        <v>-0.03</v>
      </c>
      <c r="P71" s="422" t="s">
        <v>1774</v>
      </c>
      <c r="R71" s="415">
        <v>25.5</v>
      </c>
    </row>
    <row r="72" spans="1:18">
      <c r="A72" s="185">
        <v>385</v>
      </c>
      <c r="B72" s="424">
        <v>385</v>
      </c>
      <c r="D72" s="426" t="s">
        <v>716</v>
      </c>
      <c r="F72" s="430">
        <v>-0.05</v>
      </c>
      <c r="H72" s="424">
        <v>2.3085563929019748</v>
      </c>
      <c r="J72" s="420">
        <v>2.1985563929019749</v>
      </c>
      <c r="K72" s="420"/>
      <c r="L72" s="420">
        <v>0.15</v>
      </c>
      <c r="M72" s="420"/>
      <c r="N72" s="420">
        <v>-0.04</v>
      </c>
      <c r="P72" s="422" t="s">
        <v>236</v>
      </c>
      <c r="R72" s="415">
        <v>36.9</v>
      </c>
    </row>
    <row r="73" spans="1:18">
      <c r="A73" s="185">
        <v>387</v>
      </c>
      <c r="B73" s="424">
        <v>387</v>
      </c>
      <c r="D73" s="426" t="s">
        <v>718</v>
      </c>
      <c r="F73" s="422">
        <v>0</v>
      </c>
      <c r="H73" s="424">
        <v>1.944735850481508</v>
      </c>
      <c r="J73" s="420">
        <v>1.944735850481508</v>
      </c>
      <c r="K73" s="420"/>
      <c r="L73" s="420">
        <v>0</v>
      </c>
      <c r="M73" s="420"/>
      <c r="N73" s="420">
        <v>0</v>
      </c>
      <c r="P73" s="422" t="s">
        <v>1775</v>
      </c>
      <c r="R73" s="415">
        <v>25.2</v>
      </c>
    </row>
    <row r="74" spans="1:18">
      <c r="B74" s="424"/>
      <c r="F74" s="461"/>
      <c r="H74" s="424" t="s">
        <v>47</v>
      </c>
      <c r="J74" s="420"/>
      <c r="K74" s="420"/>
      <c r="L74" s="420"/>
      <c r="M74" s="420"/>
      <c r="N74" s="420"/>
      <c r="P74" s="462"/>
      <c r="R74" s="415" t="s">
        <v>47</v>
      </c>
    </row>
    <row r="75" spans="1:18">
      <c r="B75" s="424"/>
      <c r="D75" s="464" t="s">
        <v>244</v>
      </c>
      <c r="F75" s="461"/>
      <c r="H75" s="465">
        <v>2.7100372463984597</v>
      </c>
      <c r="J75" s="420"/>
      <c r="K75" s="420"/>
      <c r="L75" s="420"/>
      <c r="M75" s="420"/>
      <c r="N75" s="420"/>
      <c r="P75" s="462"/>
      <c r="R75" s="415">
        <v>38.5</v>
      </c>
    </row>
    <row r="76" spans="1:18">
      <c r="B76" s="424"/>
      <c r="D76" s="464"/>
      <c r="F76" s="461"/>
      <c r="H76" s="473"/>
      <c r="J76" s="420"/>
      <c r="K76" s="420"/>
      <c r="L76" s="420"/>
      <c r="M76" s="420"/>
      <c r="N76" s="420"/>
      <c r="P76" s="462"/>
    </row>
    <row r="77" spans="1:18">
      <c r="A77" s="415"/>
      <c r="B77" s="424">
        <v>375.1</v>
      </c>
      <c r="D77" s="415" t="s">
        <v>1764</v>
      </c>
      <c r="F77" s="461">
        <v>-15</v>
      </c>
      <c r="H77" s="424">
        <v>2.4588642124913425</v>
      </c>
      <c r="J77" s="420">
        <v>2.1388642124913426</v>
      </c>
      <c r="K77" s="420"/>
      <c r="L77" s="420">
        <v>0.32</v>
      </c>
      <c r="M77" s="420"/>
      <c r="N77" s="420">
        <v>0</v>
      </c>
      <c r="P77" s="422" t="s">
        <v>675</v>
      </c>
      <c r="R77" s="415">
        <v>39.9</v>
      </c>
    </row>
    <row r="78" spans="1:18">
      <c r="B78" s="424">
        <v>375.2</v>
      </c>
      <c r="D78" s="415" t="s">
        <v>1765</v>
      </c>
      <c r="F78" s="461">
        <v>-15</v>
      </c>
      <c r="H78" s="468">
        <v>3.6791208512640248</v>
      </c>
      <c r="J78" s="420">
        <v>3.1991208512640248</v>
      </c>
      <c r="K78" s="420"/>
      <c r="L78" s="420">
        <v>0.48</v>
      </c>
      <c r="M78" s="420"/>
      <c r="N78" s="420">
        <v>0</v>
      </c>
      <c r="P78" s="422" t="s">
        <v>1766</v>
      </c>
      <c r="R78" s="415">
        <v>21.3</v>
      </c>
    </row>
    <row r="79" spans="1:18">
      <c r="A79" s="185">
        <v>375</v>
      </c>
      <c r="B79" s="424"/>
      <c r="D79" s="464"/>
      <c r="F79" s="430">
        <v>-0.15</v>
      </c>
      <c r="H79" s="474">
        <f>((12285+23744)/(499620.92+645371.57)*100)</f>
        <v>3.1466581933650937</v>
      </c>
      <c r="J79" s="420"/>
      <c r="K79" s="420"/>
      <c r="L79" s="420"/>
      <c r="M79" s="420"/>
      <c r="N79" s="420"/>
      <c r="P79" s="475" t="s">
        <v>1787</v>
      </c>
      <c r="R79" s="471" t="s">
        <v>1788</v>
      </c>
    </row>
    <row r="80" spans="1:18">
      <c r="B80" s="424"/>
      <c r="D80" s="464"/>
      <c r="F80" s="461"/>
      <c r="H80" s="473"/>
      <c r="J80" s="420"/>
      <c r="K80" s="420"/>
      <c r="L80" s="420"/>
      <c r="M80" s="420"/>
      <c r="N80" s="420"/>
      <c r="P80" s="462"/>
    </row>
    <row r="81" spans="1:18">
      <c r="B81" s="424"/>
      <c r="D81" s="464"/>
      <c r="F81" s="461"/>
      <c r="H81" s="473"/>
      <c r="J81" s="420"/>
      <c r="K81" s="420"/>
      <c r="L81" s="420"/>
      <c r="M81" s="420"/>
      <c r="N81" s="420"/>
      <c r="P81" s="462"/>
    </row>
    <row r="82" spans="1:18">
      <c r="B82" s="424"/>
      <c r="F82" s="461"/>
      <c r="H82" s="473"/>
      <c r="J82" s="420"/>
      <c r="K82" s="420"/>
      <c r="L82" s="420"/>
      <c r="M82" s="420"/>
      <c r="N82" s="420"/>
      <c r="P82" s="462"/>
    </row>
    <row r="83" spans="1:18">
      <c r="B83" s="424"/>
      <c r="D83" s="452" t="s">
        <v>245</v>
      </c>
      <c r="F83" s="461"/>
      <c r="H83" s="473"/>
      <c r="J83" s="420"/>
      <c r="K83" s="420"/>
      <c r="L83" s="420"/>
      <c r="M83" s="420"/>
      <c r="N83" s="420"/>
      <c r="P83" s="462"/>
    </row>
    <row r="84" spans="1:18">
      <c r="B84" s="424"/>
      <c r="D84" s="466"/>
      <c r="F84" s="461"/>
      <c r="H84" s="473"/>
      <c r="J84" s="420"/>
      <c r="K84" s="420"/>
      <c r="L84" s="420"/>
      <c r="M84" s="420"/>
      <c r="N84" s="420"/>
      <c r="P84" s="462"/>
    </row>
    <row r="85" spans="1:18">
      <c r="A85" s="415"/>
      <c r="B85" s="476">
        <v>392</v>
      </c>
      <c r="D85" s="421" t="s">
        <v>247</v>
      </c>
      <c r="F85" s="422">
        <v>0</v>
      </c>
      <c r="G85" s="423"/>
      <c r="H85" s="424">
        <v>4.5411533102867825</v>
      </c>
      <c r="J85" s="420">
        <v>4.5411533102867825</v>
      </c>
      <c r="K85" s="420"/>
      <c r="L85" s="420">
        <v>0</v>
      </c>
      <c r="M85" s="420"/>
      <c r="N85" s="420">
        <v>0</v>
      </c>
      <c r="P85" s="422" t="s">
        <v>1776</v>
      </c>
      <c r="R85" s="415">
        <v>5</v>
      </c>
    </row>
    <row r="86" spans="1:18">
      <c r="A86" s="415"/>
      <c r="B86" s="476">
        <v>392.1</v>
      </c>
      <c r="D86" s="421" t="s">
        <v>249</v>
      </c>
      <c r="F86" s="422">
        <v>0</v>
      </c>
      <c r="G86" s="423"/>
      <c r="H86" s="424">
        <v>4.1457916355009807</v>
      </c>
      <c r="J86" s="420">
        <v>4.1457916355009807</v>
      </c>
      <c r="K86" s="420"/>
      <c r="L86" s="420">
        <v>0</v>
      </c>
      <c r="M86" s="420"/>
      <c r="N86" s="420">
        <v>0</v>
      </c>
      <c r="P86" s="422" t="s">
        <v>1777</v>
      </c>
      <c r="R86" s="415">
        <v>7</v>
      </c>
    </row>
    <row r="87" spans="1:18">
      <c r="A87" s="415"/>
      <c r="B87" s="424">
        <v>392.2</v>
      </c>
      <c r="D87" s="426" t="s">
        <v>720</v>
      </c>
      <c r="F87" s="422">
        <v>0</v>
      </c>
      <c r="H87" s="424">
        <v>7.1615422533761297</v>
      </c>
      <c r="J87" s="420">
        <v>7.1615422533761297</v>
      </c>
      <c r="K87" s="420"/>
      <c r="L87" s="420">
        <v>0</v>
      </c>
      <c r="M87" s="420"/>
      <c r="N87" s="420">
        <v>0</v>
      </c>
      <c r="P87" s="422" t="s">
        <v>1778</v>
      </c>
      <c r="R87" s="415">
        <v>11.5</v>
      </c>
    </row>
    <row r="88" spans="1:18">
      <c r="A88" s="185">
        <v>394</v>
      </c>
      <c r="B88" s="424">
        <v>394</v>
      </c>
      <c r="D88" s="415" t="s">
        <v>1779</v>
      </c>
      <c r="F88" s="477" t="s">
        <v>1789</v>
      </c>
      <c r="H88" s="424">
        <v>4.2592662533947783</v>
      </c>
      <c r="J88" s="420">
        <v>4.2592662533947783</v>
      </c>
      <c r="K88" s="420"/>
      <c r="L88" s="420">
        <v>0</v>
      </c>
      <c r="M88" s="420"/>
      <c r="N88" s="420">
        <v>0</v>
      </c>
      <c r="P88" s="422" t="s">
        <v>251</v>
      </c>
      <c r="R88" s="415">
        <v>14.2</v>
      </c>
    </row>
    <row r="89" spans="1:18">
      <c r="B89" s="476">
        <v>396.1</v>
      </c>
      <c r="D89" s="426" t="s">
        <v>1780</v>
      </c>
      <c r="F89" s="422">
        <v>0</v>
      </c>
      <c r="G89" s="423"/>
      <c r="H89" s="424">
        <v>2.2597790963085882</v>
      </c>
      <c r="J89" s="420">
        <v>2.2597790963085882</v>
      </c>
      <c r="K89" s="420"/>
      <c r="L89" s="420">
        <v>0</v>
      </c>
      <c r="M89" s="420"/>
      <c r="N89" s="420">
        <v>0</v>
      </c>
      <c r="P89" s="422" t="s">
        <v>1781</v>
      </c>
      <c r="R89" s="415">
        <v>11.7</v>
      </c>
    </row>
    <row r="90" spans="1:18">
      <c r="B90" s="424">
        <v>396.2</v>
      </c>
      <c r="D90" s="426" t="s">
        <v>726</v>
      </c>
      <c r="F90" s="422">
        <v>0</v>
      </c>
      <c r="H90" s="424">
        <v>3.3355338494164868</v>
      </c>
      <c r="J90" s="420">
        <v>3.3355338494164868</v>
      </c>
      <c r="K90" s="420"/>
      <c r="L90" s="420">
        <v>0</v>
      </c>
      <c r="M90" s="420"/>
      <c r="N90" s="420">
        <v>0</v>
      </c>
      <c r="P90" s="422" t="s">
        <v>1782</v>
      </c>
      <c r="R90" s="415">
        <v>16.8</v>
      </c>
    </row>
    <row r="91" spans="1:18">
      <c r="B91" s="425"/>
      <c r="F91" s="461"/>
      <c r="H91" s="473"/>
      <c r="J91" s="420"/>
      <c r="K91" s="420"/>
      <c r="L91" s="420"/>
      <c r="M91" s="420"/>
      <c r="N91" s="420"/>
      <c r="P91" s="462"/>
    </row>
    <row r="92" spans="1:18">
      <c r="B92" s="425"/>
      <c r="D92" s="464" t="s">
        <v>256</v>
      </c>
      <c r="F92" s="477" t="s">
        <v>1789</v>
      </c>
      <c r="H92" s="465">
        <v>3.8540381630847866</v>
      </c>
      <c r="J92" s="420"/>
      <c r="K92" s="420"/>
      <c r="L92" s="420"/>
      <c r="M92" s="420"/>
      <c r="N92" s="420"/>
      <c r="P92" s="462"/>
      <c r="R92" s="415">
        <v>12.9</v>
      </c>
    </row>
    <row r="93" spans="1:18">
      <c r="B93" s="425"/>
      <c r="D93" s="478"/>
      <c r="F93" s="461"/>
      <c r="H93" s="473"/>
      <c r="J93" s="420"/>
      <c r="K93" s="420"/>
      <c r="L93" s="420"/>
      <c r="M93" s="420"/>
      <c r="N93" s="420"/>
      <c r="P93" s="462"/>
    </row>
    <row r="94" spans="1:18">
      <c r="B94" s="425"/>
      <c r="D94" s="464" t="s">
        <v>257</v>
      </c>
      <c r="F94" s="461"/>
      <c r="H94" s="465">
        <v>2.6159298005670784</v>
      </c>
      <c r="J94" s="420"/>
      <c r="K94" s="420"/>
      <c r="L94" s="420"/>
      <c r="M94" s="420"/>
      <c r="N94" s="420"/>
      <c r="P94" s="462"/>
      <c r="R94" s="415">
        <v>38.9</v>
      </c>
    </row>
    <row r="95" spans="1:18">
      <c r="B95" s="425"/>
      <c r="D95" s="464"/>
      <c r="F95" s="461"/>
      <c r="H95" s="473"/>
      <c r="J95" s="420"/>
      <c r="K95" s="420"/>
      <c r="L95" s="420"/>
      <c r="M95" s="420"/>
      <c r="N95" s="420"/>
      <c r="P95" s="462"/>
    </row>
    <row r="96" spans="1:18">
      <c r="J96" s="420"/>
      <c r="K96" s="420"/>
      <c r="L96" s="420"/>
      <c r="M96" s="420"/>
      <c r="N96" s="420"/>
    </row>
    <row r="97" spans="1:18">
      <c r="B97" s="476">
        <v>392</v>
      </c>
      <c r="D97" s="421" t="s">
        <v>247</v>
      </c>
      <c r="F97" s="422">
        <v>0</v>
      </c>
      <c r="G97" s="423"/>
      <c r="H97" s="424">
        <v>4.5411533102867825</v>
      </c>
      <c r="J97" s="420">
        <v>4.5411533102867825</v>
      </c>
      <c r="K97" s="420"/>
      <c r="L97" s="420">
        <v>0</v>
      </c>
      <c r="M97" s="420"/>
      <c r="N97" s="420">
        <v>0</v>
      </c>
      <c r="P97" s="422" t="s">
        <v>1776</v>
      </c>
      <c r="R97" s="415">
        <v>5</v>
      </c>
    </row>
    <row r="98" spans="1:18">
      <c r="B98" s="476">
        <v>392.1</v>
      </c>
      <c r="D98" s="421" t="s">
        <v>249</v>
      </c>
      <c r="F98" s="422">
        <v>0</v>
      </c>
      <c r="G98" s="423"/>
      <c r="H98" s="424">
        <v>4.1457916355009807</v>
      </c>
      <c r="J98" s="420">
        <v>4.1457916355009807</v>
      </c>
      <c r="K98" s="420"/>
      <c r="L98" s="420">
        <v>0</v>
      </c>
      <c r="M98" s="420"/>
      <c r="N98" s="420">
        <v>0</v>
      </c>
      <c r="P98" s="422" t="s">
        <v>1777</v>
      </c>
      <c r="R98" s="415">
        <v>7</v>
      </c>
    </row>
    <row r="99" spans="1:18">
      <c r="A99" s="415"/>
      <c r="B99" s="424">
        <v>392.2</v>
      </c>
      <c r="D99" s="426" t="s">
        <v>720</v>
      </c>
      <c r="F99" s="422">
        <v>0</v>
      </c>
      <c r="H99" s="424">
        <v>7.1615422533761297</v>
      </c>
      <c r="J99" s="420">
        <v>7.1615422533761297</v>
      </c>
      <c r="K99" s="420"/>
      <c r="L99" s="420">
        <v>0</v>
      </c>
      <c r="M99" s="420"/>
      <c r="N99" s="420">
        <v>0</v>
      </c>
      <c r="P99" s="422" t="s">
        <v>1778</v>
      </c>
      <c r="R99" s="415">
        <v>11.5</v>
      </c>
    </row>
    <row r="100" spans="1:18">
      <c r="A100" s="185">
        <v>392</v>
      </c>
      <c r="F100" s="477" t="s">
        <v>1789</v>
      </c>
      <c r="H100" s="472">
        <f>((573+38398+41391)/(12617.94+926192.23+577962.1)*100)</f>
        <v>5.2982244987904474</v>
      </c>
      <c r="J100" s="420"/>
      <c r="K100" s="420"/>
      <c r="L100" s="420"/>
      <c r="M100" s="420"/>
      <c r="N100" s="420"/>
      <c r="P100" s="480" t="s">
        <v>1790</v>
      </c>
      <c r="R100" s="480" t="s">
        <v>1791</v>
      </c>
    </row>
    <row r="101" spans="1:18">
      <c r="J101" s="420"/>
      <c r="K101" s="420"/>
      <c r="L101" s="420"/>
      <c r="M101" s="420"/>
      <c r="N101" s="420"/>
    </row>
    <row r="102" spans="1:18">
      <c r="B102" s="476">
        <v>396.1</v>
      </c>
      <c r="D102" s="426" t="s">
        <v>1780</v>
      </c>
      <c r="F102" s="422">
        <v>0</v>
      </c>
      <c r="G102" s="423"/>
      <c r="H102" s="424">
        <v>2.2597790963085882</v>
      </c>
      <c r="J102" s="420">
        <v>2.2597790963085882</v>
      </c>
      <c r="K102" s="420"/>
      <c r="L102" s="420">
        <v>0</v>
      </c>
      <c r="M102" s="420"/>
      <c r="N102" s="420">
        <v>0</v>
      </c>
      <c r="P102" s="422" t="s">
        <v>1781</v>
      </c>
      <c r="R102" s="415">
        <v>11.7</v>
      </c>
    </row>
    <row r="103" spans="1:18">
      <c r="B103" s="424">
        <v>396.2</v>
      </c>
      <c r="D103" s="426" t="s">
        <v>726</v>
      </c>
      <c r="F103" s="422">
        <v>0</v>
      </c>
      <c r="H103" s="424">
        <v>3.3355338494164868</v>
      </c>
      <c r="J103" s="420">
        <v>3.3355338494164868</v>
      </c>
      <c r="K103" s="420"/>
      <c r="L103" s="420">
        <v>0</v>
      </c>
      <c r="M103" s="420"/>
      <c r="N103" s="420">
        <v>0</v>
      </c>
      <c r="P103" s="422" t="s">
        <v>1782</v>
      </c>
      <c r="R103" s="415">
        <v>16.8</v>
      </c>
    </row>
    <row r="104" spans="1:18">
      <c r="A104" s="185">
        <v>396</v>
      </c>
      <c r="F104" s="477" t="s">
        <v>1789</v>
      </c>
      <c r="H104" s="472">
        <f>((66246+7149)/(2931525.48+214328.51)*100)</f>
        <v>2.3330707729381932</v>
      </c>
      <c r="J104" s="420"/>
      <c r="K104" s="420"/>
      <c r="L104" s="420"/>
      <c r="M104" s="420"/>
      <c r="N104" s="420"/>
      <c r="P104" s="480" t="s">
        <v>1793</v>
      </c>
      <c r="R104" s="480" t="s">
        <v>1792</v>
      </c>
    </row>
    <row r="105" spans="1:18">
      <c r="A105" s="415"/>
      <c r="J105" s="420"/>
      <c r="K105" s="420"/>
      <c r="L105" s="420"/>
      <c r="M105" s="420"/>
      <c r="N105" s="420"/>
    </row>
    <row r="106" spans="1:18">
      <c r="J106" s="420"/>
      <c r="K106" s="420"/>
      <c r="L106" s="420"/>
      <c r="M106" s="420"/>
      <c r="N106" s="420"/>
    </row>
    <row r="107" spans="1:18">
      <c r="J107" s="420"/>
      <c r="K107" s="420"/>
      <c r="L107" s="420"/>
      <c r="M107" s="420"/>
      <c r="N107" s="420"/>
    </row>
    <row r="108" spans="1:18">
      <c r="J108" s="420"/>
      <c r="K108" s="420"/>
      <c r="L108" s="420"/>
      <c r="M108" s="420"/>
      <c r="N108" s="420"/>
    </row>
    <row r="109" spans="1:18">
      <c r="J109" s="420"/>
      <c r="K109" s="420"/>
      <c r="L109" s="420"/>
      <c r="M109" s="420"/>
      <c r="N109" s="420"/>
    </row>
    <row r="110" spans="1:18">
      <c r="J110" s="420"/>
      <c r="K110" s="420"/>
      <c r="L110" s="420"/>
      <c r="M110" s="420"/>
      <c r="N110" s="420"/>
    </row>
    <row r="111" spans="1:18">
      <c r="J111" s="420"/>
      <c r="K111" s="420"/>
      <c r="L111" s="420"/>
      <c r="M111" s="420"/>
      <c r="N111" s="420"/>
    </row>
    <row r="112" spans="1:18">
      <c r="J112" s="420"/>
      <c r="K112" s="420"/>
      <c r="L112" s="420"/>
      <c r="M112" s="420"/>
      <c r="N112" s="420"/>
    </row>
    <row r="113" spans="10:14">
      <c r="J113" s="420"/>
      <c r="K113" s="420"/>
      <c r="L113" s="420"/>
      <c r="M113" s="420"/>
      <c r="N113" s="420"/>
    </row>
    <row r="114" spans="10:14">
      <c r="J114" s="420"/>
      <c r="K114" s="420"/>
      <c r="L114" s="420"/>
      <c r="M114" s="420"/>
      <c r="N114" s="420"/>
    </row>
    <row r="115" spans="10:14">
      <c r="J115" s="420"/>
      <c r="K115" s="420"/>
      <c r="L115" s="420"/>
      <c r="M115" s="420"/>
      <c r="N115" s="420"/>
    </row>
    <row r="116" spans="10:14">
      <c r="J116" s="420"/>
      <c r="K116" s="420"/>
      <c r="L116" s="420"/>
      <c r="M116" s="420"/>
      <c r="N116" s="420"/>
    </row>
    <row r="117" spans="10:14">
      <c r="J117" s="420"/>
      <c r="K117" s="420"/>
      <c r="L117" s="420"/>
      <c r="M117" s="420"/>
      <c r="N117" s="420"/>
    </row>
    <row r="118" spans="10:14">
      <c r="J118" s="420"/>
      <c r="K118" s="420"/>
      <c r="L118" s="420"/>
      <c r="M118" s="420"/>
      <c r="N118" s="420"/>
    </row>
    <row r="119" spans="10:14">
      <c r="J119" s="420"/>
      <c r="K119" s="420"/>
      <c r="L119" s="420"/>
      <c r="M119" s="420"/>
      <c r="N119" s="420"/>
    </row>
    <row r="120" spans="10:14">
      <c r="J120" s="420"/>
      <c r="K120" s="420"/>
      <c r="L120" s="420"/>
      <c r="M120" s="420"/>
      <c r="N120" s="420"/>
    </row>
    <row r="121" spans="10:14">
      <c r="J121" s="420"/>
      <c r="K121" s="420"/>
      <c r="L121" s="420"/>
      <c r="M121" s="420"/>
      <c r="N121" s="420"/>
    </row>
    <row r="122" spans="10:14">
      <c r="J122" s="420"/>
      <c r="K122" s="420"/>
      <c r="L122" s="420"/>
      <c r="M122" s="420"/>
      <c r="N122" s="420"/>
    </row>
    <row r="123" spans="10:14">
      <c r="J123" s="420"/>
      <c r="K123" s="420"/>
      <c r="L123" s="420"/>
      <c r="M123" s="420"/>
      <c r="N123" s="420"/>
    </row>
    <row r="124" spans="10:14">
      <c r="J124" s="420"/>
      <c r="K124" s="420"/>
      <c r="L124" s="420"/>
      <c r="M124" s="420"/>
      <c r="N124" s="420"/>
    </row>
    <row r="125" spans="10:14">
      <c r="J125" s="420"/>
      <c r="K125" s="420"/>
      <c r="L125" s="420"/>
      <c r="M125" s="420"/>
      <c r="N125" s="420"/>
    </row>
    <row r="126" spans="10:14">
      <c r="J126" s="420"/>
      <c r="K126" s="420"/>
      <c r="L126" s="420"/>
      <c r="M126" s="420"/>
      <c r="N126" s="420"/>
    </row>
    <row r="127" spans="10:14">
      <c r="J127" s="420"/>
      <c r="K127" s="420"/>
      <c r="L127" s="420"/>
      <c r="M127" s="420"/>
      <c r="N127" s="420"/>
    </row>
    <row r="128" spans="10:14">
      <c r="J128" s="420"/>
      <c r="K128" s="420"/>
      <c r="L128" s="420"/>
      <c r="M128" s="420"/>
      <c r="N128" s="420"/>
    </row>
    <row r="129" spans="10:14">
      <c r="J129" s="420"/>
      <c r="K129" s="420"/>
      <c r="L129" s="420"/>
      <c r="M129" s="420"/>
      <c r="N129" s="420"/>
    </row>
    <row r="130" spans="10:14">
      <c r="J130" s="420"/>
      <c r="K130" s="420"/>
      <c r="L130" s="420"/>
      <c r="M130" s="420"/>
      <c r="N130" s="420"/>
    </row>
    <row r="131" spans="10:14">
      <c r="J131" s="420"/>
      <c r="K131" s="420"/>
      <c r="L131" s="420"/>
      <c r="M131" s="420"/>
      <c r="N131" s="420"/>
    </row>
    <row r="132" spans="10:14">
      <c r="J132" s="420"/>
      <c r="K132" s="420"/>
      <c r="L132" s="420"/>
      <c r="M132" s="420"/>
      <c r="N132" s="420"/>
    </row>
    <row r="133" spans="10:14">
      <c r="J133" s="420"/>
      <c r="K133" s="420"/>
      <c r="L133" s="420"/>
      <c r="M133" s="420"/>
      <c r="N133" s="420"/>
    </row>
    <row r="134" spans="10:14">
      <c r="J134" s="420"/>
      <c r="K134" s="420"/>
      <c r="L134" s="420"/>
      <c r="M134" s="420"/>
      <c r="N134" s="420"/>
    </row>
    <row r="135" spans="10:14">
      <c r="J135" s="420"/>
      <c r="K135" s="420"/>
      <c r="L135" s="420"/>
      <c r="M135" s="420"/>
      <c r="N135" s="420"/>
    </row>
    <row r="136" spans="10:14">
      <c r="J136" s="420"/>
      <c r="K136" s="420"/>
      <c r="L136" s="420"/>
      <c r="M136" s="420"/>
      <c r="N136" s="420"/>
    </row>
    <row r="137" spans="10:14">
      <c r="J137" s="420"/>
      <c r="K137" s="420"/>
      <c r="L137" s="420"/>
      <c r="M137" s="420"/>
      <c r="N137" s="420"/>
    </row>
    <row r="138" spans="10:14">
      <c r="J138" s="420"/>
      <c r="K138" s="420"/>
      <c r="L138" s="420"/>
      <c r="M138" s="420"/>
      <c r="N138" s="420"/>
    </row>
    <row r="139" spans="10:14">
      <c r="J139" s="420"/>
      <c r="K139" s="420"/>
      <c r="L139" s="420"/>
      <c r="M139" s="420"/>
      <c r="N139" s="420"/>
    </row>
    <row r="140" spans="10:14">
      <c r="J140" s="420"/>
      <c r="K140" s="420"/>
      <c r="L140" s="420"/>
      <c r="M140" s="420"/>
      <c r="N140" s="420"/>
    </row>
    <row r="141" spans="10:14">
      <c r="J141" s="420"/>
      <c r="K141" s="420"/>
      <c r="L141" s="420"/>
      <c r="M141" s="420"/>
      <c r="N141" s="420"/>
    </row>
    <row r="142" spans="10:14">
      <c r="J142" s="420"/>
      <c r="K142" s="420"/>
      <c r="L142" s="420"/>
      <c r="M142" s="420"/>
      <c r="N142" s="420"/>
    </row>
    <row r="143" spans="10:14">
      <c r="J143" s="420"/>
      <c r="K143" s="420"/>
      <c r="L143" s="420"/>
      <c r="M143" s="420"/>
      <c r="N143" s="420"/>
    </row>
    <row r="144" spans="10:14">
      <c r="J144" s="420"/>
      <c r="K144" s="420"/>
      <c r="L144" s="420"/>
      <c r="M144" s="420"/>
      <c r="N144" s="420"/>
    </row>
    <row r="145" spans="10:14">
      <c r="J145" s="420"/>
      <c r="K145" s="420"/>
      <c r="L145" s="420"/>
      <c r="M145" s="420"/>
      <c r="N145" s="420"/>
    </row>
    <row r="146" spans="10:14">
      <c r="J146" s="420"/>
      <c r="K146" s="420"/>
      <c r="L146" s="420"/>
      <c r="M146" s="420"/>
      <c r="N146" s="420"/>
    </row>
    <row r="147" spans="10:14">
      <c r="J147" s="420"/>
      <c r="K147" s="420"/>
      <c r="L147" s="420"/>
      <c r="M147" s="420"/>
      <c r="N147" s="420"/>
    </row>
    <row r="148" spans="10:14">
      <c r="J148" s="420"/>
      <c r="K148" s="420"/>
      <c r="L148" s="420"/>
      <c r="M148" s="420"/>
      <c r="N148" s="420"/>
    </row>
    <row r="149" spans="10:14">
      <c r="J149" s="420"/>
      <c r="K149" s="420"/>
      <c r="L149" s="420"/>
      <c r="M149" s="420"/>
      <c r="N149" s="420"/>
    </row>
    <row r="150" spans="10:14">
      <c r="J150" s="420"/>
      <c r="K150" s="420"/>
      <c r="L150" s="420"/>
      <c r="M150" s="420"/>
      <c r="N150" s="420"/>
    </row>
    <row r="151" spans="10:14">
      <c r="J151" s="420"/>
      <c r="K151" s="420"/>
      <c r="L151" s="420"/>
      <c r="M151" s="420"/>
      <c r="N151" s="420"/>
    </row>
    <row r="152" spans="10:14">
      <c r="J152" s="420"/>
      <c r="K152" s="420"/>
      <c r="L152" s="420"/>
      <c r="M152" s="420"/>
      <c r="N152" s="420"/>
    </row>
    <row r="153" spans="10:14">
      <c r="J153" s="420"/>
      <c r="K153" s="420"/>
      <c r="L153" s="420"/>
      <c r="M153" s="420"/>
      <c r="N153" s="420"/>
    </row>
    <row r="154" spans="10:14">
      <c r="J154" s="420"/>
      <c r="K154" s="420"/>
      <c r="L154" s="420"/>
      <c r="M154" s="420"/>
      <c r="N154" s="420"/>
    </row>
    <row r="155" spans="10:14">
      <c r="J155" s="420"/>
      <c r="K155" s="420"/>
      <c r="L155" s="420"/>
      <c r="M155" s="420"/>
      <c r="N155" s="420"/>
    </row>
    <row r="156" spans="10:14">
      <c r="J156" s="420"/>
      <c r="K156" s="420"/>
      <c r="L156" s="420"/>
      <c r="M156" s="420"/>
      <c r="N156" s="420"/>
    </row>
    <row r="157" spans="10:14">
      <c r="J157" s="420"/>
      <c r="K157" s="420"/>
      <c r="L157" s="420"/>
      <c r="M157" s="420"/>
      <c r="N157" s="420"/>
    </row>
    <row r="158" spans="10:14">
      <c r="J158" s="420"/>
      <c r="K158" s="420"/>
      <c r="L158" s="420"/>
      <c r="M158" s="420"/>
      <c r="N158" s="420"/>
    </row>
    <row r="159" spans="10:14">
      <c r="J159" s="420"/>
      <c r="K159" s="420"/>
      <c r="L159" s="420"/>
      <c r="M159" s="420"/>
      <c r="N159" s="420"/>
    </row>
    <row r="160" spans="10:14">
      <c r="J160" s="420"/>
      <c r="K160" s="420"/>
      <c r="L160" s="420"/>
      <c r="M160" s="420"/>
      <c r="N160" s="420"/>
    </row>
    <row r="161" spans="10:14">
      <c r="J161" s="420"/>
      <c r="K161" s="420"/>
      <c r="L161" s="420"/>
      <c r="M161" s="420"/>
      <c r="N161" s="420"/>
    </row>
    <row r="162" spans="10:14">
      <c r="J162" s="420"/>
      <c r="K162" s="420"/>
      <c r="L162" s="420"/>
      <c r="M162" s="420"/>
      <c r="N162" s="420"/>
    </row>
    <row r="163" spans="10:14">
      <c r="J163" s="420"/>
      <c r="K163" s="420"/>
      <c r="L163" s="420"/>
      <c r="M163" s="420"/>
      <c r="N163" s="420"/>
    </row>
    <row r="164" spans="10:14">
      <c r="J164" s="420"/>
      <c r="K164" s="420"/>
      <c r="L164" s="420"/>
      <c r="M164" s="420"/>
      <c r="N164" s="420"/>
    </row>
    <row r="165" spans="10:14">
      <c r="J165" s="420"/>
      <c r="K165" s="420"/>
      <c r="L165" s="420"/>
      <c r="M165" s="420"/>
      <c r="N165" s="420"/>
    </row>
    <row r="166" spans="10:14">
      <c r="J166" s="420"/>
      <c r="K166" s="420"/>
      <c r="L166" s="420"/>
      <c r="M166" s="420"/>
      <c r="N166" s="420"/>
    </row>
    <row r="167" spans="10:14">
      <c r="J167" s="420"/>
      <c r="K167" s="420"/>
      <c r="L167" s="420"/>
      <c r="M167" s="420"/>
      <c r="N167" s="420"/>
    </row>
    <row r="168" spans="10:14">
      <c r="J168" s="420"/>
      <c r="K168" s="420"/>
      <c r="L168" s="420"/>
      <c r="M168" s="420"/>
      <c r="N168" s="420"/>
    </row>
    <row r="169" spans="10:14">
      <c r="J169" s="420"/>
      <c r="K169" s="420"/>
      <c r="L169" s="420"/>
      <c r="M169" s="420"/>
      <c r="N169" s="420"/>
    </row>
    <row r="170" spans="10:14">
      <c r="J170" s="420"/>
      <c r="K170" s="420"/>
      <c r="L170" s="420"/>
      <c r="M170" s="420"/>
      <c r="N170" s="420"/>
    </row>
    <row r="171" spans="10:14">
      <c r="J171" s="420"/>
      <c r="K171" s="420"/>
      <c r="L171" s="420"/>
      <c r="M171" s="420"/>
      <c r="N171" s="420"/>
    </row>
    <row r="172" spans="10:14">
      <c r="J172" s="420"/>
      <c r="K172" s="420"/>
      <c r="L172" s="420"/>
      <c r="M172" s="420"/>
      <c r="N172" s="420"/>
    </row>
    <row r="173" spans="10:14">
      <c r="J173" s="420"/>
      <c r="K173" s="420"/>
      <c r="L173" s="420"/>
      <c r="M173" s="420"/>
      <c r="N173" s="420"/>
    </row>
    <row r="174" spans="10:14">
      <c r="J174" s="420"/>
      <c r="K174" s="420"/>
      <c r="L174" s="420"/>
      <c r="M174" s="420"/>
      <c r="N174" s="420"/>
    </row>
    <row r="175" spans="10:14">
      <c r="J175" s="420"/>
      <c r="K175" s="420"/>
      <c r="L175" s="420"/>
      <c r="M175" s="420"/>
      <c r="N175" s="420"/>
    </row>
    <row r="176" spans="10:14">
      <c r="J176" s="420"/>
      <c r="K176" s="420"/>
      <c r="L176" s="420"/>
      <c r="M176" s="420"/>
      <c r="N176" s="420"/>
    </row>
    <row r="177" spans="10:14">
      <c r="J177" s="420"/>
      <c r="K177" s="420"/>
      <c r="L177" s="420"/>
      <c r="M177" s="420"/>
      <c r="N177" s="420"/>
    </row>
    <row r="178" spans="10:14">
      <c r="J178" s="420"/>
      <c r="K178" s="420"/>
      <c r="L178" s="420"/>
      <c r="M178" s="420"/>
      <c r="N178" s="420"/>
    </row>
    <row r="179" spans="10:14">
      <c r="J179" s="420"/>
      <c r="K179" s="420"/>
      <c r="L179" s="420"/>
      <c r="M179" s="420"/>
      <c r="N179" s="420"/>
    </row>
    <row r="180" spans="10:14">
      <c r="J180" s="420"/>
      <c r="K180" s="420"/>
      <c r="L180" s="420"/>
      <c r="M180" s="420"/>
      <c r="N180" s="420"/>
    </row>
    <row r="181" spans="10:14">
      <c r="J181" s="420"/>
      <c r="K181" s="420"/>
      <c r="L181" s="420"/>
      <c r="M181" s="420"/>
      <c r="N181" s="420"/>
    </row>
    <row r="182" spans="10:14">
      <c r="J182" s="420"/>
      <c r="K182" s="420"/>
      <c r="L182" s="420"/>
      <c r="M182" s="420"/>
      <c r="N182" s="420"/>
    </row>
    <row r="183" spans="10:14">
      <c r="J183" s="420"/>
      <c r="K183" s="420"/>
      <c r="L183" s="420"/>
      <c r="M183" s="420"/>
      <c r="N183" s="420"/>
    </row>
    <row r="184" spans="10:14">
      <c r="J184" s="420"/>
      <c r="K184" s="420"/>
      <c r="L184" s="420"/>
      <c r="M184" s="420"/>
      <c r="N184" s="420"/>
    </row>
    <row r="185" spans="10:14">
      <c r="J185" s="420"/>
      <c r="K185" s="420"/>
      <c r="L185" s="420"/>
      <c r="M185" s="420"/>
      <c r="N185" s="420"/>
    </row>
    <row r="186" spans="10:14">
      <c r="J186" s="420"/>
      <c r="K186" s="420"/>
      <c r="L186" s="420"/>
      <c r="M186" s="420"/>
      <c r="N186" s="420"/>
    </row>
    <row r="187" spans="10:14">
      <c r="J187" s="420"/>
      <c r="K187" s="420"/>
      <c r="L187" s="420"/>
      <c r="M187" s="420"/>
      <c r="N187" s="420"/>
    </row>
    <row r="188" spans="10:14">
      <c r="J188" s="420"/>
      <c r="K188" s="420"/>
      <c r="L188" s="420"/>
      <c r="M188" s="420"/>
      <c r="N188" s="420"/>
    </row>
    <row r="189" spans="10:14">
      <c r="J189" s="420"/>
      <c r="K189" s="420"/>
      <c r="L189" s="420"/>
      <c r="M189" s="420"/>
      <c r="N189" s="420"/>
    </row>
    <row r="190" spans="10:14">
      <c r="J190" s="420"/>
      <c r="K190" s="420"/>
      <c r="L190" s="420"/>
      <c r="M190" s="420"/>
      <c r="N190" s="420"/>
    </row>
    <row r="191" spans="10:14">
      <c r="J191" s="420"/>
      <c r="K191" s="420"/>
      <c r="L191" s="420"/>
      <c r="M191" s="420"/>
      <c r="N191" s="420"/>
    </row>
    <row r="192" spans="10:14">
      <c r="J192" s="420"/>
      <c r="K192" s="420"/>
      <c r="L192" s="420"/>
      <c r="M192" s="420"/>
      <c r="N192" s="420"/>
    </row>
    <row r="193" spans="10:14">
      <c r="J193" s="420"/>
      <c r="K193" s="420"/>
      <c r="L193" s="420"/>
      <c r="M193" s="420"/>
      <c r="N193" s="420"/>
    </row>
    <row r="194" spans="10:14">
      <c r="J194" s="420"/>
      <c r="K194" s="420"/>
      <c r="L194" s="420"/>
      <c r="M194" s="420"/>
      <c r="N194" s="420"/>
    </row>
    <row r="195" spans="10:14">
      <c r="J195" s="420"/>
      <c r="K195" s="420"/>
      <c r="L195" s="420"/>
      <c r="M195" s="420"/>
      <c r="N195" s="420"/>
    </row>
    <row r="196" spans="10:14">
      <c r="J196" s="420"/>
      <c r="K196" s="420"/>
      <c r="L196" s="420"/>
      <c r="M196" s="420"/>
      <c r="N196" s="420"/>
    </row>
    <row r="197" spans="10:14">
      <c r="J197" s="420"/>
      <c r="K197" s="420"/>
      <c r="L197" s="420"/>
      <c r="M197" s="420"/>
      <c r="N197" s="420"/>
    </row>
    <row r="198" spans="10:14">
      <c r="J198" s="420"/>
      <c r="K198" s="420"/>
      <c r="L198" s="420"/>
      <c r="M198" s="420"/>
      <c r="N198" s="420"/>
    </row>
    <row r="199" spans="10:14">
      <c r="J199" s="420"/>
      <c r="K199" s="420"/>
      <c r="L199" s="420"/>
      <c r="M199" s="420"/>
      <c r="N199" s="420"/>
    </row>
    <row r="200" spans="10:14">
      <c r="J200" s="420"/>
      <c r="K200" s="420"/>
      <c r="L200" s="420"/>
      <c r="M200" s="420"/>
      <c r="N200" s="420"/>
    </row>
    <row r="201" spans="10:14">
      <c r="J201" s="420"/>
      <c r="K201" s="420"/>
      <c r="L201" s="420"/>
      <c r="M201" s="420"/>
      <c r="N201" s="420"/>
    </row>
    <row r="202" spans="10:14">
      <c r="J202" s="420"/>
      <c r="K202" s="420"/>
      <c r="L202" s="420"/>
      <c r="M202" s="420"/>
      <c r="N202" s="420"/>
    </row>
    <row r="203" spans="10:14">
      <c r="J203" s="420"/>
      <c r="K203" s="420"/>
      <c r="L203" s="420"/>
      <c r="M203" s="420"/>
      <c r="N203" s="420"/>
    </row>
    <row r="204" spans="10:14">
      <c r="J204" s="420"/>
      <c r="K204" s="420"/>
      <c r="L204" s="420"/>
      <c r="M204" s="420"/>
      <c r="N204" s="420"/>
    </row>
    <row r="205" spans="10:14">
      <c r="J205" s="420"/>
      <c r="K205" s="420"/>
      <c r="L205" s="420"/>
      <c r="M205" s="420"/>
      <c r="N205" s="420"/>
    </row>
    <row r="206" spans="10:14">
      <c r="J206" s="420"/>
      <c r="K206" s="420"/>
      <c r="L206" s="420"/>
      <c r="M206" s="420"/>
      <c r="N206" s="420"/>
    </row>
    <row r="207" spans="10:14">
      <c r="J207" s="420"/>
      <c r="K207" s="420"/>
      <c r="L207" s="420"/>
      <c r="M207" s="420"/>
      <c r="N207" s="420"/>
    </row>
    <row r="208" spans="10:14">
      <c r="J208" s="420"/>
      <c r="K208" s="420"/>
      <c r="L208" s="420"/>
      <c r="M208" s="420"/>
      <c r="N208" s="420"/>
    </row>
    <row r="209" spans="10:14">
      <c r="J209" s="420"/>
      <c r="K209" s="420"/>
      <c r="L209" s="420"/>
      <c r="M209" s="420"/>
      <c r="N209" s="420"/>
    </row>
    <row r="210" spans="10:14">
      <c r="J210" s="420"/>
      <c r="K210" s="420"/>
      <c r="L210" s="420"/>
      <c r="M210" s="420"/>
      <c r="N210" s="420"/>
    </row>
    <row r="211" spans="10:14">
      <c r="J211" s="420"/>
      <c r="K211" s="420"/>
      <c r="L211" s="420"/>
      <c r="M211" s="420"/>
      <c r="N211" s="420"/>
    </row>
    <row r="212" spans="10:14">
      <c r="J212" s="420"/>
      <c r="K212" s="420"/>
      <c r="L212" s="420"/>
      <c r="M212" s="420"/>
      <c r="N212" s="420"/>
    </row>
    <row r="213" spans="10:14">
      <c r="J213" s="420"/>
      <c r="K213" s="420"/>
      <c r="L213" s="420"/>
      <c r="M213" s="420"/>
      <c r="N213" s="420"/>
    </row>
    <row r="214" spans="10:14">
      <c r="J214" s="420"/>
      <c r="K214" s="420"/>
      <c r="L214" s="420"/>
      <c r="M214" s="420"/>
      <c r="N214" s="420"/>
    </row>
    <row r="215" spans="10:14">
      <c r="J215" s="420"/>
      <c r="K215" s="420"/>
      <c r="L215" s="420"/>
      <c r="M215" s="420"/>
      <c r="N215" s="420"/>
    </row>
    <row r="216" spans="10:14">
      <c r="J216" s="420"/>
      <c r="K216" s="420"/>
      <c r="L216" s="420"/>
      <c r="M216" s="420"/>
      <c r="N216" s="420"/>
    </row>
    <row r="217" spans="10:14">
      <c r="J217" s="420"/>
      <c r="K217" s="420"/>
      <c r="L217" s="420"/>
      <c r="M217" s="420"/>
      <c r="N217" s="420"/>
    </row>
    <row r="218" spans="10:14">
      <c r="J218" s="420"/>
      <c r="K218" s="420"/>
      <c r="L218" s="420"/>
      <c r="M218" s="420"/>
      <c r="N218" s="420"/>
    </row>
    <row r="219" spans="10:14">
      <c r="J219" s="420"/>
      <c r="K219" s="420"/>
      <c r="L219" s="420"/>
      <c r="M219" s="420"/>
      <c r="N219" s="420"/>
    </row>
    <row r="220" spans="10:14">
      <c r="J220" s="420"/>
      <c r="K220" s="420"/>
      <c r="L220" s="420"/>
      <c r="M220" s="420"/>
      <c r="N220" s="420"/>
    </row>
    <row r="221" spans="10:14">
      <c r="J221" s="420"/>
      <c r="K221" s="420"/>
      <c r="L221" s="420"/>
      <c r="M221" s="420"/>
      <c r="N221" s="420"/>
    </row>
    <row r="222" spans="10:14">
      <c r="J222" s="420"/>
      <c r="K222" s="420"/>
      <c r="L222" s="420"/>
      <c r="M222" s="420"/>
      <c r="N222" s="420"/>
    </row>
    <row r="223" spans="10:14">
      <c r="J223" s="420"/>
      <c r="K223" s="420"/>
      <c r="L223" s="420"/>
      <c r="M223" s="420"/>
      <c r="N223" s="420"/>
    </row>
    <row r="224" spans="10:14">
      <c r="J224" s="420"/>
      <c r="K224" s="420"/>
      <c r="L224" s="420"/>
      <c r="M224" s="420"/>
      <c r="N224" s="420"/>
    </row>
    <row r="225" spans="10:14">
      <c r="J225" s="420"/>
      <c r="K225" s="420"/>
      <c r="L225" s="420"/>
      <c r="M225" s="420"/>
      <c r="N225" s="420"/>
    </row>
    <row r="226" spans="10:14">
      <c r="J226" s="420"/>
      <c r="K226" s="420"/>
      <c r="L226" s="420"/>
      <c r="M226" s="420"/>
      <c r="N226" s="420"/>
    </row>
    <row r="227" spans="10:14">
      <c r="J227" s="420"/>
      <c r="K227" s="420"/>
      <c r="L227" s="420"/>
      <c r="M227" s="420"/>
      <c r="N227" s="420"/>
    </row>
    <row r="228" spans="10:14">
      <c r="J228" s="420"/>
      <c r="K228" s="420"/>
      <c r="L228" s="420"/>
      <c r="M228" s="420"/>
      <c r="N228" s="420"/>
    </row>
    <row r="229" spans="10:14">
      <c r="J229" s="420"/>
      <c r="K229" s="420"/>
      <c r="L229" s="420"/>
      <c r="M229" s="420"/>
      <c r="N229" s="420"/>
    </row>
    <row r="230" spans="10:14">
      <c r="J230" s="420"/>
      <c r="K230" s="420"/>
      <c r="L230" s="420"/>
      <c r="M230" s="420"/>
      <c r="N230" s="420"/>
    </row>
    <row r="231" spans="10:14">
      <c r="J231" s="420"/>
      <c r="K231" s="420"/>
      <c r="L231" s="420"/>
      <c r="M231" s="420"/>
      <c r="N231" s="420"/>
    </row>
    <row r="232" spans="10:14">
      <c r="J232" s="420"/>
      <c r="K232" s="420"/>
      <c r="L232" s="420"/>
      <c r="M232" s="420"/>
      <c r="N232" s="420"/>
    </row>
    <row r="233" spans="10:14">
      <c r="J233" s="420"/>
      <c r="K233" s="420"/>
      <c r="L233" s="420"/>
      <c r="M233" s="420"/>
      <c r="N233" s="420"/>
    </row>
    <row r="234" spans="10:14">
      <c r="J234" s="420"/>
      <c r="K234" s="420"/>
      <c r="L234" s="420"/>
      <c r="M234" s="420"/>
      <c r="N234" s="420"/>
    </row>
    <row r="235" spans="10:14">
      <c r="J235" s="420"/>
      <c r="K235" s="420"/>
      <c r="L235" s="420"/>
      <c r="M235" s="420"/>
      <c r="N235" s="420"/>
    </row>
    <row r="236" spans="10:14">
      <c r="J236" s="420"/>
      <c r="K236" s="420"/>
      <c r="L236" s="420"/>
      <c r="M236" s="420"/>
      <c r="N236" s="420"/>
    </row>
    <row r="237" spans="10:14">
      <c r="J237" s="420"/>
      <c r="K237" s="420"/>
      <c r="L237" s="420"/>
      <c r="M237" s="420"/>
      <c r="N237" s="420"/>
    </row>
    <row r="238" spans="10:14">
      <c r="J238" s="420"/>
      <c r="K238" s="420"/>
      <c r="L238" s="420"/>
      <c r="M238" s="420"/>
      <c r="N238" s="420"/>
    </row>
    <row r="239" spans="10:14">
      <c r="J239" s="420"/>
      <c r="K239" s="420"/>
      <c r="L239" s="420"/>
      <c r="M239" s="420"/>
      <c r="N239" s="420"/>
    </row>
    <row r="240" spans="10:14">
      <c r="J240" s="420"/>
      <c r="K240" s="420"/>
      <c r="L240" s="420"/>
      <c r="M240" s="420"/>
      <c r="N240" s="420"/>
    </row>
    <row r="241" spans="10:14">
      <c r="J241" s="420"/>
      <c r="K241" s="420"/>
      <c r="L241" s="420"/>
      <c r="M241" s="420"/>
      <c r="N241" s="420"/>
    </row>
    <row r="242" spans="10:14">
      <c r="J242" s="420"/>
      <c r="K242" s="420"/>
      <c r="L242" s="420"/>
      <c r="M242" s="420"/>
      <c r="N242" s="420"/>
    </row>
    <row r="243" spans="10:14">
      <c r="J243" s="420"/>
      <c r="K243" s="420"/>
      <c r="L243" s="420"/>
      <c r="M243" s="420"/>
      <c r="N243" s="420"/>
    </row>
    <row r="244" spans="10:14">
      <c r="J244" s="420"/>
      <c r="K244" s="420"/>
      <c r="L244" s="420"/>
      <c r="M244" s="420"/>
      <c r="N244" s="420"/>
    </row>
    <row r="245" spans="10:14">
      <c r="J245" s="420"/>
      <c r="K245" s="420"/>
      <c r="L245" s="420"/>
      <c r="M245" s="420"/>
      <c r="N245" s="420"/>
    </row>
    <row r="246" spans="10:14">
      <c r="J246" s="420"/>
      <c r="K246" s="420"/>
      <c r="L246" s="420"/>
      <c r="M246" s="420"/>
      <c r="N246" s="420"/>
    </row>
    <row r="247" spans="10:14">
      <c r="J247" s="420"/>
      <c r="K247" s="420"/>
      <c r="L247" s="420"/>
      <c r="M247" s="420"/>
      <c r="N247" s="420"/>
    </row>
    <row r="248" spans="10:14">
      <c r="J248" s="420"/>
      <c r="K248" s="420"/>
      <c r="L248" s="420"/>
      <c r="M248" s="420"/>
      <c r="N248" s="420"/>
    </row>
    <row r="249" spans="10:14">
      <c r="J249" s="420"/>
      <c r="K249" s="420"/>
      <c r="L249" s="420"/>
      <c r="M249" s="420"/>
      <c r="N249" s="420"/>
    </row>
    <row r="250" spans="10:14">
      <c r="J250" s="420"/>
      <c r="K250" s="420"/>
      <c r="L250" s="420"/>
      <c r="M250" s="420"/>
      <c r="N250" s="420"/>
    </row>
    <row r="251" spans="10:14">
      <c r="J251" s="420"/>
      <c r="K251" s="420"/>
      <c r="L251" s="420"/>
      <c r="M251" s="420"/>
      <c r="N251" s="420"/>
    </row>
    <row r="252" spans="10:14">
      <c r="J252" s="420"/>
      <c r="K252" s="420"/>
      <c r="L252" s="420"/>
      <c r="M252" s="420"/>
      <c r="N252" s="420"/>
    </row>
    <row r="253" spans="10:14">
      <c r="J253" s="420"/>
      <c r="K253" s="420"/>
      <c r="L253" s="420"/>
      <c r="M253" s="420"/>
      <c r="N253" s="420"/>
    </row>
    <row r="254" spans="10:14">
      <c r="J254" s="420"/>
      <c r="K254" s="420"/>
      <c r="L254" s="420"/>
      <c r="M254" s="420"/>
      <c r="N254" s="420"/>
    </row>
    <row r="255" spans="10:14">
      <c r="J255" s="420"/>
      <c r="K255" s="420"/>
      <c r="L255" s="420"/>
      <c r="M255" s="420"/>
      <c r="N255" s="420"/>
    </row>
    <row r="256" spans="10:14">
      <c r="J256" s="420"/>
      <c r="K256" s="420"/>
      <c r="L256" s="420"/>
      <c r="M256" s="420"/>
      <c r="N256" s="420"/>
    </row>
    <row r="257" spans="10:14">
      <c r="J257" s="420"/>
      <c r="K257" s="420"/>
      <c r="L257" s="420"/>
      <c r="M257" s="420"/>
      <c r="N257" s="420"/>
    </row>
    <row r="258" spans="10:14">
      <c r="J258" s="420"/>
      <c r="K258" s="420"/>
      <c r="L258" s="420"/>
      <c r="M258" s="420"/>
      <c r="N258" s="420"/>
    </row>
    <row r="259" spans="10:14">
      <c r="J259" s="420"/>
      <c r="K259" s="420"/>
      <c r="L259" s="420"/>
      <c r="M259" s="420"/>
      <c r="N259" s="420"/>
    </row>
    <row r="260" spans="10:14">
      <c r="J260" s="420"/>
      <c r="K260" s="420"/>
      <c r="L260" s="420"/>
      <c r="M260" s="420"/>
      <c r="N260" s="420"/>
    </row>
    <row r="261" spans="10:14">
      <c r="J261" s="420"/>
      <c r="K261" s="420"/>
      <c r="L261" s="420"/>
      <c r="M261" s="420"/>
      <c r="N261" s="420"/>
    </row>
    <row r="262" spans="10:14">
      <c r="J262" s="420"/>
      <c r="K262" s="420"/>
      <c r="L262" s="420"/>
      <c r="M262" s="420"/>
      <c r="N262" s="420"/>
    </row>
    <row r="263" spans="10:14">
      <c r="J263" s="420"/>
      <c r="K263" s="420"/>
      <c r="L263" s="420"/>
      <c r="M263" s="420"/>
      <c r="N263" s="420"/>
    </row>
    <row r="264" spans="10:14">
      <c r="J264" s="420"/>
      <c r="K264" s="420"/>
      <c r="L264" s="420"/>
      <c r="M264" s="420"/>
      <c r="N264" s="420"/>
    </row>
    <row r="265" spans="10:14">
      <c r="J265" s="420"/>
      <c r="K265" s="420"/>
      <c r="L265" s="420"/>
      <c r="M265" s="420"/>
      <c r="N265" s="420"/>
    </row>
    <row r="266" spans="10:14">
      <c r="J266" s="420"/>
      <c r="K266" s="420"/>
      <c r="L266" s="420"/>
      <c r="M266" s="420"/>
      <c r="N266" s="420"/>
    </row>
    <row r="267" spans="10:14">
      <c r="J267" s="420"/>
      <c r="K267" s="420"/>
      <c r="L267" s="420"/>
      <c r="M267" s="420"/>
      <c r="N267" s="420"/>
    </row>
    <row r="268" spans="10:14">
      <c r="J268" s="420"/>
      <c r="K268" s="420"/>
      <c r="L268" s="420"/>
      <c r="M268" s="420"/>
      <c r="N268" s="420"/>
    </row>
    <row r="269" spans="10:14">
      <c r="J269" s="420"/>
      <c r="K269" s="420"/>
      <c r="L269" s="420"/>
      <c r="M269" s="420"/>
      <c r="N269" s="420"/>
    </row>
    <row r="270" spans="10:14">
      <c r="J270" s="420"/>
      <c r="K270" s="420"/>
      <c r="L270" s="420"/>
      <c r="M270" s="420"/>
      <c r="N270" s="420"/>
    </row>
    <row r="271" spans="10:14">
      <c r="J271" s="420"/>
      <c r="K271" s="420"/>
      <c r="L271" s="420"/>
      <c r="M271" s="420"/>
      <c r="N271" s="420"/>
    </row>
    <row r="272" spans="10:14">
      <c r="J272" s="420"/>
      <c r="K272" s="420"/>
      <c r="L272" s="420"/>
      <c r="M272" s="420"/>
      <c r="N272" s="420"/>
    </row>
    <row r="273" spans="9:14">
      <c r="J273" s="420"/>
      <c r="K273" s="420"/>
      <c r="L273" s="420"/>
      <c r="M273" s="420"/>
      <c r="N273" s="420"/>
    </row>
    <row r="274" spans="9:14">
      <c r="J274" s="420"/>
      <c r="K274" s="420"/>
      <c r="L274" s="420"/>
      <c r="M274" s="420"/>
      <c r="N274" s="420"/>
    </row>
    <row r="275" spans="9:14">
      <c r="J275" s="420"/>
      <c r="K275" s="420"/>
      <c r="L275" s="420"/>
      <c r="M275" s="420"/>
      <c r="N275" s="420"/>
    </row>
    <row r="276" spans="9:14">
      <c r="J276" s="420"/>
      <c r="K276" s="420"/>
      <c r="L276" s="420"/>
      <c r="M276" s="420"/>
      <c r="N276" s="420"/>
    </row>
    <row r="277" spans="9:14">
      <c r="J277" s="420"/>
      <c r="K277" s="420"/>
      <c r="L277" s="420"/>
      <c r="M277" s="420"/>
      <c r="N277" s="420"/>
    </row>
    <row r="278" spans="9:14">
      <c r="J278" s="420"/>
      <c r="K278" s="420"/>
      <c r="L278" s="420"/>
      <c r="M278" s="420"/>
      <c r="N278" s="420"/>
    </row>
    <row r="279" spans="9:14">
      <c r="J279" s="420"/>
      <c r="K279" s="420"/>
      <c r="L279" s="420"/>
      <c r="M279" s="420"/>
      <c r="N279" s="420"/>
    </row>
    <row r="280" spans="9:14">
      <c r="I280" s="423"/>
      <c r="J280" s="429"/>
      <c r="K280" s="429"/>
      <c r="L280" s="429"/>
      <c r="M280" s="429"/>
      <c r="N280" s="429"/>
    </row>
    <row r="281" spans="9:14">
      <c r="J281" s="420"/>
      <c r="K281" s="420"/>
      <c r="L281" s="420"/>
      <c r="M281" s="420"/>
      <c r="N281" s="420"/>
    </row>
    <row r="282" spans="9:14">
      <c r="J282" s="420"/>
      <c r="K282" s="420"/>
      <c r="L282" s="420"/>
      <c r="M282" s="420"/>
      <c r="N282" s="420"/>
    </row>
    <row r="283" spans="9:14">
      <c r="J283" s="420"/>
      <c r="K283" s="420"/>
      <c r="L283" s="420"/>
      <c r="M283" s="420"/>
      <c r="N283" s="420"/>
    </row>
    <row r="284" spans="9:14">
      <c r="J284" s="420"/>
      <c r="K284" s="420"/>
      <c r="L284" s="420"/>
      <c r="M284" s="420"/>
      <c r="N284" s="420"/>
    </row>
    <row r="285" spans="9:14">
      <c r="J285" s="420"/>
      <c r="K285" s="420"/>
      <c r="L285" s="420"/>
      <c r="M285" s="420"/>
      <c r="N285" s="420"/>
    </row>
    <row r="286" spans="9:14">
      <c r="J286" s="420"/>
      <c r="K286" s="420"/>
      <c r="L286" s="420"/>
      <c r="M286" s="420"/>
      <c r="N286" s="420"/>
    </row>
    <row r="287" spans="9:14">
      <c r="J287" s="420"/>
      <c r="K287" s="420"/>
      <c r="L287" s="420"/>
      <c r="M287" s="420"/>
      <c r="N287" s="420"/>
    </row>
    <row r="288" spans="9:14">
      <c r="J288" s="420"/>
      <c r="K288" s="420"/>
      <c r="L288" s="420"/>
      <c r="M288" s="420"/>
      <c r="N288" s="420"/>
    </row>
    <row r="289" spans="10:14">
      <c r="J289" s="420"/>
      <c r="K289" s="420"/>
      <c r="L289" s="420"/>
      <c r="M289" s="420"/>
      <c r="N289" s="420"/>
    </row>
    <row r="290" spans="10:14">
      <c r="J290" s="420"/>
      <c r="K290" s="420"/>
      <c r="L290" s="420"/>
      <c r="M290" s="420"/>
      <c r="N290" s="420"/>
    </row>
    <row r="291" spans="10:14">
      <c r="J291" s="420"/>
      <c r="K291" s="420"/>
      <c r="L291" s="420"/>
      <c r="M291" s="420"/>
      <c r="N291" s="420"/>
    </row>
    <row r="292" spans="10:14">
      <c r="J292" s="420"/>
      <c r="K292" s="420"/>
      <c r="L292" s="420"/>
      <c r="M292" s="420"/>
      <c r="N292" s="420"/>
    </row>
    <row r="293" spans="10:14">
      <c r="J293" s="420"/>
      <c r="K293" s="420"/>
      <c r="L293" s="420"/>
      <c r="M293" s="420"/>
      <c r="N293" s="420"/>
    </row>
    <row r="294" spans="10:14">
      <c r="J294" s="420"/>
      <c r="K294" s="420"/>
      <c r="L294" s="420"/>
      <c r="M294" s="420"/>
      <c r="N294" s="420"/>
    </row>
  </sheetData>
  <mergeCells count="4">
    <mergeCell ref="B1:R1"/>
    <mergeCell ref="B2:R2"/>
    <mergeCell ref="B5:R5"/>
    <mergeCell ref="B6:R6"/>
  </mergeCells>
  <printOptions horizontalCentered="1"/>
  <pageMargins left="0.2" right="0.2" top="0.5" bottom="0.75" header="0.3" footer="0.3"/>
  <pageSetup scale="65" fitToHeight="3" orientation="landscape" r:id="rId1"/>
  <headerFooter>
    <oddFooter>&amp;L&amp;Z&amp;F&amp;F&amp;A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Q420"/>
  <sheetViews>
    <sheetView topLeftCell="A34" zoomScale="75" zoomScaleNormal="75" workbookViewId="0">
      <selection activeCell="C58" sqref="C58"/>
    </sheetView>
  </sheetViews>
  <sheetFormatPr defaultColWidth="11" defaultRowHeight="15.75"/>
  <cols>
    <col min="1" max="1" width="11" style="415" customWidth="1"/>
    <col min="2" max="2" width="3.109375" style="415" customWidth="1"/>
    <col min="3" max="3" width="69.33203125" style="415" customWidth="1"/>
    <col min="4" max="4" width="4.21875" style="415" customWidth="1"/>
    <col min="5" max="5" width="11" style="479" customWidth="1"/>
    <col min="6" max="6" width="4.21875" style="415" customWidth="1"/>
    <col min="7" max="7" width="13.21875" style="415" customWidth="1"/>
    <col min="8" max="8" width="5.33203125" style="415" customWidth="1"/>
    <col min="9" max="9" width="11.6640625" style="415" bestFit="1" customWidth="1"/>
    <col min="10" max="10" width="4.109375" style="415" customWidth="1"/>
    <col min="11" max="11" width="14.109375" style="415" bestFit="1" customWidth="1"/>
    <col min="12" max="12" width="4.109375" style="415" customWidth="1"/>
    <col min="13" max="13" width="13.88671875" style="415" bestFit="1" customWidth="1"/>
    <col min="14" max="14" width="2.77734375" style="415" customWidth="1"/>
    <col min="15" max="15" width="11" style="415"/>
    <col min="16" max="16" width="3.6640625" style="415" customWidth="1"/>
    <col min="17" max="17" width="12.44140625" style="415" bestFit="1" customWidth="1"/>
    <col min="18" max="16384" width="11" style="415"/>
  </cols>
  <sheetData>
    <row r="1" spans="1:17">
      <c r="A1" s="504" t="s">
        <v>1729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</row>
    <row r="2" spans="1:17">
      <c r="A2" s="504" t="s">
        <v>745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</row>
    <row r="3" spans="1:17">
      <c r="A3" s="447"/>
      <c r="B3" s="447"/>
      <c r="C3" s="447"/>
      <c r="D3" s="447"/>
      <c r="E3" s="447"/>
      <c r="F3" s="447"/>
      <c r="G3" s="447"/>
      <c r="N3" s="425"/>
    </row>
    <row r="4" spans="1:17">
      <c r="A4" s="447"/>
      <c r="B4" s="447"/>
      <c r="C4" s="447"/>
      <c r="D4" s="447"/>
      <c r="E4" s="447"/>
      <c r="F4" s="447"/>
      <c r="G4" s="447"/>
      <c r="N4" s="425"/>
    </row>
    <row r="5" spans="1:17">
      <c r="A5" s="504" t="s">
        <v>1730</v>
      </c>
      <c r="B5" s="504"/>
      <c r="C5" s="504"/>
      <c r="D5" s="504"/>
      <c r="E5" s="504"/>
      <c r="F5" s="504"/>
      <c r="G5" s="504"/>
      <c r="H5" s="504"/>
      <c r="I5" s="504"/>
      <c r="J5" s="504"/>
      <c r="K5" s="504"/>
      <c r="L5" s="504"/>
      <c r="M5" s="504"/>
      <c r="N5" s="504"/>
      <c r="O5" s="504"/>
      <c r="P5" s="504"/>
      <c r="Q5" s="504"/>
    </row>
    <row r="6" spans="1:17">
      <c r="A6" s="504" t="s">
        <v>1731</v>
      </c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</row>
    <row r="7" spans="1:17">
      <c r="A7" s="448"/>
      <c r="B7" s="449"/>
      <c r="C7" s="449"/>
      <c r="D7" s="449"/>
      <c r="E7" s="450"/>
      <c r="F7" s="449"/>
      <c r="N7" s="425"/>
    </row>
    <row r="8" spans="1:17">
      <c r="A8" s="425"/>
      <c r="B8" s="451"/>
      <c r="C8" s="452"/>
      <c r="D8" s="416"/>
      <c r="E8" s="453" t="s">
        <v>213</v>
      </c>
      <c r="F8" s="416"/>
      <c r="G8" s="454"/>
      <c r="I8" s="416"/>
      <c r="J8" s="416"/>
      <c r="K8" s="416" t="s">
        <v>211</v>
      </c>
      <c r="L8" s="416"/>
      <c r="M8" s="416" t="s">
        <v>1732</v>
      </c>
      <c r="N8" s="425"/>
      <c r="Q8" s="416" t="s">
        <v>218</v>
      </c>
    </row>
    <row r="9" spans="1:17">
      <c r="A9" s="425"/>
      <c r="B9" s="451"/>
      <c r="C9" s="416"/>
      <c r="D9" s="416"/>
      <c r="E9" s="453" t="s">
        <v>217</v>
      </c>
      <c r="F9" s="416"/>
      <c r="G9" s="455" t="s">
        <v>219</v>
      </c>
      <c r="I9" s="416" t="s">
        <v>1733</v>
      </c>
      <c r="J9" s="416"/>
      <c r="K9" s="416" t="s">
        <v>1734</v>
      </c>
      <c r="L9" s="416"/>
      <c r="M9" s="416" t="s">
        <v>1735</v>
      </c>
      <c r="N9" s="425"/>
      <c r="O9" s="416" t="s">
        <v>220</v>
      </c>
      <c r="Q9" s="416" t="s">
        <v>221</v>
      </c>
    </row>
    <row r="10" spans="1:17">
      <c r="A10" s="425"/>
      <c r="B10" s="451"/>
      <c r="C10" s="416" t="s">
        <v>222</v>
      </c>
      <c r="D10" s="416"/>
      <c r="E10" s="453" t="s">
        <v>223</v>
      </c>
      <c r="F10" s="416"/>
      <c r="G10" s="452" t="s">
        <v>224</v>
      </c>
      <c r="I10" s="417" t="s">
        <v>224</v>
      </c>
      <c r="J10" s="416"/>
      <c r="K10" s="417" t="s">
        <v>224</v>
      </c>
      <c r="L10" s="416"/>
      <c r="M10" s="417" t="s">
        <v>224</v>
      </c>
      <c r="N10" s="425"/>
      <c r="O10" s="416" t="s">
        <v>225</v>
      </c>
      <c r="Q10" s="417" t="s">
        <v>226</v>
      </c>
    </row>
    <row r="11" spans="1:17">
      <c r="A11" s="425"/>
      <c r="B11" s="451"/>
      <c r="C11" s="456"/>
      <c r="D11" s="457"/>
      <c r="E11" s="458"/>
      <c r="F11" s="457"/>
      <c r="G11" s="459"/>
      <c r="H11" s="418"/>
      <c r="I11" s="419"/>
      <c r="J11" s="419"/>
      <c r="K11" s="419"/>
      <c r="L11" s="419"/>
      <c r="M11" s="419"/>
      <c r="N11" s="425"/>
      <c r="O11" s="456"/>
      <c r="Q11" s="419"/>
    </row>
    <row r="12" spans="1:17">
      <c r="A12" s="425"/>
      <c r="B12" s="451"/>
      <c r="C12" s="457"/>
      <c r="D12" s="457"/>
      <c r="E12" s="453"/>
      <c r="F12" s="457"/>
      <c r="G12" s="457"/>
      <c r="N12" s="425"/>
      <c r="O12" s="457"/>
    </row>
    <row r="13" spans="1:17">
      <c r="A13" s="425"/>
      <c r="C13" s="452" t="s">
        <v>746</v>
      </c>
      <c r="E13" s="461"/>
      <c r="G13" s="473"/>
      <c r="N13" s="425"/>
      <c r="O13" s="462"/>
    </row>
    <row r="14" spans="1:17">
      <c r="A14" s="423"/>
      <c r="B14" s="423"/>
      <c r="C14" s="481"/>
      <c r="D14" s="423"/>
      <c r="E14" s="461"/>
      <c r="F14" s="423"/>
      <c r="G14" s="482"/>
      <c r="I14" s="420"/>
      <c r="J14" s="420"/>
      <c r="K14" s="420"/>
      <c r="L14" s="420"/>
      <c r="M14" s="420"/>
      <c r="N14" s="423"/>
      <c r="O14" s="462"/>
    </row>
    <row r="15" spans="1:17">
      <c r="A15" s="423"/>
      <c r="B15" s="423"/>
      <c r="C15" s="463" t="s">
        <v>118</v>
      </c>
      <c r="D15" s="423"/>
      <c r="E15" s="461"/>
      <c r="F15" s="423"/>
      <c r="G15" s="482"/>
      <c r="I15" s="420"/>
      <c r="J15" s="420"/>
      <c r="K15" s="420"/>
      <c r="L15" s="420"/>
      <c r="M15" s="420"/>
      <c r="N15" s="423"/>
      <c r="O15" s="462"/>
    </row>
    <row r="16" spans="1:17">
      <c r="A16" s="423"/>
      <c r="B16" s="423"/>
      <c r="C16" s="481"/>
      <c r="D16" s="423"/>
      <c r="E16" s="461"/>
      <c r="F16" s="423"/>
      <c r="G16" s="482"/>
      <c r="I16" s="420"/>
      <c r="J16" s="420"/>
      <c r="K16" s="420"/>
      <c r="L16" s="420"/>
      <c r="M16" s="420"/>
      <c r="N16" s="423"/>
      <c r="O16" s="462"/>
    </row>
    <row r="17" spans="1:17">
      <c r="A17" s="483"/>
      <c r="B17" s="423"/>
      <c r="C17" s="481" t="s">
        <v>747</v>
      </c>
      <c r="D17" s="423"/>
      <c r="E17" s="422">
        <v>0</v>
      </c>
      <c r="F17" s="423"/>
      <c r="G17" s="424">
        <v>21.72</v>
      </c>
      <c r="I17" s="420">
        <v>21.72</v>
      </c>
      <c r="J17" s="420"/>
      <c r="K17" s="420">
        <v>0</v>
      </c>
      <c r="L17" s="420"/>
      <c r="M17" s="420">
        <v>0</v>
      </c>
      <c r="N17" s="423"/>
      <c r="O17" s="422" t="s">
        <v>229</v>
      </c>
      <c r="Q17" s="415">
        <v>3</v>
      </c>
    </row>
    <row r="18" spans="1:17">
      <c r="A18" s="483">
        <v>303.10000000000002</v>
      </c>
      <c r="B18" s="423"/>
      <c r="C18" s="481" t="s">
        <v>230</v>
      </c>
      <c r="D18" s="423"/>
      <c r="E18" s="422">
        <v>0</v>
      </c>
      <c r="F18" s="423"/>
      <c r="G18" s="424">
        <v>10.039999999999999</v>
      </c>
      <c r="I18" s="420">
        <v>10.039999999999999</v>
      </c>
      <c r="J18" s="420"/>
      <c r="K18" s="420">
        <v>0</v>
      </c>
      <c r="L18" s="420"/>
      <c r="M18" s="420">
        <v>0</v>
      </c>
      <c r="N18" s="423"/>
      <c r="O18" s="422" t="s">
        <v>231</v>
      </c>
      <c r="Q18" s="415">
        <v>3.5</v>
      </c>
    </row>
    <row r="19" spans="1:17">
      <c r="A19" s="483"/>
      <c r="B19" s="423"/>
      <c r="C19" s="481"/>
      <c r="D19" s="423"/>
      <c r="E19" s="461"/>
      <c r="F19" s="423"/>
      <c r="G19" s="424"/>
      <c r="I19" s="420"/>
      <c r="J19" s="420"/>
      <c r="K19" s="420"/>
      <c r="L19" s="420"/>
      <c r="M19" s="420"/>
      <c r="N19" s="423"/>
      <c r="O19" s="422"/>
    </row>
    <row r="20" spans="1:17">
      <c r="A20" s="483">
        <v>303</v>
      </c>
      <c r="B20" s="423"/>
      <c r="C20" s="464" t="s">
        <v>232</v>
      </c>
      <c r="D20" s="423"/>
      <c r="E20" s="430">
        <v>0</v>
      </c>
      <c r="F20" s="423"/>
      <c r="G20" s="465">
        <v>16.18</v>
      </c>
      <c r="I20" s="420"/>
      <c r="J20" s="420"/>
      <c r="K20" s="420"/>
      <c r="L20" s="420"/>
      <c r="M20" s="420"/>
      <c r="N20" s="423"/>
      <c r="O20" s="470" t="s">
        <v>258</v>
      </c>
      <c r="Q20" s="415">
        <v>3.1</v>
      </c>
    </row>
    <row r="21" spans="1:17">
      <c r="A21" s="423"/>
      <c r="B21" s="423"/>
      <c r="C21" s="481"/>
      <c r="D21" s="423"/>
      <c r="E21" s="461"/>
      <c r="F21" s="423"/>
      <c r="G21" s="482"/>
      <c r="I21" s="420"/>
      <c r="J21" s="420"/>
      <c r="K21" s="420"/>
      <c r="L21" s="420"/>
      <c r="M21" s="420"/>
      <c r="N21" s="423"/>
      <c r="O21" s="462"/>
    </row>
    <row r="22" spans="1:17">
      <c r="A22" s="423"/>
      <c r="B22" s="423"/>
      <c r="C22" s="481"/>
      <c r="D22" s="423"/>
      <c r="E22" s="461"/>
      <c r="F22" s="423"/>
      <c r="G22" s="482"/>
      <c r="I22" s="420"/>
      <c r="J22" s="420"/>
      <c r="K22" s="420"/>
      <c r="L22" s="420"/>
      <c r="M22" s="420"/>
      <c r="N22" s="423"/>
      <c r="O22" s="462"/>
    </row>
    <row r="23" spans="1:17">
      <c r="A23" s="423"/>
      <c r="B23" s="423"/>
      <c r="C23" s="463" t="s">
        <v>245</v>
      </c>
      <c r="D23" s="423"/>
      <c r="E23" s="461"/>
      <c r="F23" s="423"/>
      <c r="G23" s="482"/>
      <c r="I23" s="420"/>
      <c r="J23" s="420"/>
      <c r="K23" s="420"/>
      <c r="L23" s="420"/>
      <c r="M23" s="420"/>
      <c r="N23" s="423"/>
      <c r="O23" s="462"/>
    </row>
    <row r="24" spans="1:17">
      <c r="A24" s="423"/>
      <c r="B24" s="423"/>
      <c r="C24" s="481"/>
      <c r="D24" s="423"/>
      <c r="E24" s="461"/>
      <c r="F24" s="423"/>
      <c r="G24" s="482"/>
      <c r="I24" s="420"/>
      <c r="J24" s="420"/>
      <c r="K24" s="420"/>
      <c r="L24" s="420"/>
      <c r="M24" s="420"/>
      <c r="N24" s="423"/>
      <c r="O24" s="462"/>
    </row>
    <row r="25" spans="1:17">
      <c r="A25" s="483">
        <v>389.2</v>
      </c>
      <c r="B25" s="423"/>
      <c r="C25" s="481" t="s">
        <v>1736</v>
      </c>
      <c r="D25" s="423"/>
      <c r="E25" s="461">
        <v>0</v>
      </c>
      <c r="F25" s="423"/>
      <c r="G25" s="424">
        <v>1.1499999999999999</v>
      </c>
      <c r="I25" s="420">
        <v>1.1499999999999999</v>
      </c>
      <c r="J25" s="420"/>
      <c r="K25" s="420">
        <v>0</v>
      </c>
      <c r="L25" s="420"/>
      <c r="M25" s="420">
        <v>0</v>
      </c>
      <c r="N25" s="423"/>
      <c r="O25" s="462" t="s">
        <v>235</v>
      </c>
      <c r="Q25" s="415">
        <v>26.4</v>
      </c>
    </row>
    <row r="26" spans="1:17">
      <c r="A26" s="423"/>
      <c r="B26" s="423"/>
      <c r="C26" s="481"/>
      <c r="D26" s="423"/>
      <c r="E26" s="461"/>
      <c r="F26" s="423"/>
      <c r="G26" s="482"/>
      <c r="I26" s="420"/>
      <c r="J26" s="420"/>
      <c r="K26" s="420"/>
      <c r="L26" s="420"/>
      <c r="M26" s="420"/>
      <c r="N26" s="423"/>
      <c r="O26" s="462"/>
    </row>
    <row r="27" spans="1:17">
      <c r="A27" s="423"/>
      <c r="B27" s="423"/>
      <c r="C27" s="481" t="s">
        <v>234</v>
      </c>
      <c r="D27" s="423"/>
      <c r="E27" s="461"/>
      <c r="F27" s="423"/>
      <c r="G27" s="482"/>
      <c r="I27" s="420"/>
      <c r="J27" s="420"/>
      <c r="K27" s="420"/>
      <c r="L27" s="420"/>
      <c r="M27" s="420"/>
      <c r="N27" s="423"/>
      <c r="O27" s="462"/>
    </row>
    <row r="28" spans="1:17">
      <c r="A28" s="483">
        <v>390.1</v>
      </c>
      <c r="B28" s="423"/>
      <c r="C28" s="421" t="s">
        <v>748</v>
      </c>
      <c r="D28" s="423"/>
      <c r="E28" s="461">
        <v>-15</v>
      </c>
      <c r="F28" s="423"/>
      <c r="G28" s="424">
        <v>2.75</v>
      </c>
      <c r="I28" s="420">
        <v>2.39</v>
      </c>
      <c r="J28" s="420"/>
      <c r="K28" s="420">
        <v>0.36</v>
      </c>
      <c r="L28" s="420"/>
      <c r="M28" s="420">
        <v>0</v>
      </c>
      <c r="N28" s="423"/>
      <c r="O28" s="422" t="s">
        <v>1737</v>
      </c>
      <c r="Q28" s="415">
        <v>27.6</v>
      </c>
    </row>
    <row r="29" spans="1:17">
      <c r="A29" s="483">
        <v>390.2</v>
      </c>
      <c r="C29" s="421" t="s">
        <v>749</v>
      </c>
      <c r="D29" s="423"/>
      <c r="E29" s="461">
        <v>-5</v>
      </c>
      <c r="F29" s="423"/>
      <c r="G29" s="424">
        <v>2.56</v>
      </c>
      <c r="I29" s="420">
        <v>2.44</v>
      </c>
      <c r="J29" s="420"/>
      <c r="K29" s="420">
        <v>0.12</v>
      </c>
      <c r="L29" s="420"/>
      <c r="M29" s="420">
        <v>0</v>
      </c>
      <c r="N29" s="423"/>
      <c r="O29" s="422" t="s">
        <v>1738</v>
      </c>
      <c r="Q29" s="415">
        <v>18.100000000000001</v>
      </c>
    </row>
    <row r="30" spans="1:17">
      <c r="A30" s="483">
        <v>390.3</v>
      </c>
      <c r="C30" s="421" t="s">
        <v>751</v>
      </c>
      <c r="D30" s="423"/>
      <c r="E30" s="461">
        <v>-15</v>
      </c>
      <c r="F30" s="423"/>
      <c r="G30" s="424">
        <v>1.94</v>
      </c>
      <c r="I30" s="420">
        <v>1.69</v>
      </c>
      <c r="J30" s="420"/>
      <c r="K30" s="420">
        <v>0.25</v>
      </c>
      <c r="L30" s="420"/>
      <c r="M30" s="420">
        <v>0</v>
      </c>
      <c r="N30" s="423"/>
      <c r="O30" s="422" t="s">
        <v>675</v>
      </c>
      <c r="Q30" s="415">
        <v>27.6</v>
      </c>
    </row>
    <row r="31" spans="1:17">
      <c r="A31" s="484">
        <v>390.4</v>
      </c>
      <c r="B31" s="426"/>
      <c r="C31" s="421" t="s">
        <v>752</v>
      </c>
      <c r="D31" s="423"/>
      <c r="E31" s="461">
        <v>-15</v>
      </c>
      <c r="F31" s="423"/>
      <c r="G31" s="424">
        <v>2.61</v>
      </c>
      <c r="I31" s="420">
        <v>2.27</v>
      </c>
      <c r="J31" s="420"/>
      <c r="K31" s="420">
        <v>0.34</v>
      </c>
      <c r="L31" s="420"/>
      <c r="M31" s="420">
        <v>0</v>
      </c>
      <c r="N31" s="423"/>
      <c r="O31" s="422" t="s">
        <v>709</v>
      </c>
      <c r="Q31" s="415">
        <v>34</v>
      </c>
    </row>
    <row r="32" spans="1:17">
      <c r="A32" s="484">
        <v>390.6</v>
      </c>
      <c r="B32" s="426"/>
      <c r="C32" s="421" t="s">
        <v>754</v>
      </c>
      <c r="D32" s="423"/>
      <c r="E32" s="461">
        <v>-5</v>
      </c>
      <c r="F32" s="423"/>
      <c r="G32" s="468">
        <v>1.97</v>
      </c>
      <c r="I32" s="420">
        <v>1.88</v>
      </c>
      <c r="J32" s="420"/>
      <c r="K32" s="420">
        <v>0.09</v>
      </c>
      <c r="L32" s="420"/>
      <c r="M32" s="420">
        <v>0</v>
      </c>
      <c r="N32" s="423"/>
      <c r="O32" s="422" t="s">
        <v>243</v>
      </c>
      <c r="Q32" s="415">
        <v>37.1</v>
      </c>
    </row>
    <row r="33" spans="1:17">
      <c r="A33" s="484">
        <v>390</v>
      </c>
      <c r="B33" s="426"/>
      <c r="C33" s="421"/>
      <c r="D33" s="423"/>
      <c r="E33" s="469" t="s">
        <v>1785</v>
      </c>
      <c r="F33" s="423"/>
      <c r="G33" s="424">
        <f>((2047308/77686144.33)*100)</f>
        <v>2.6353579749090374</v>
      </c>
      <c r="I33" s="420"/>
      <c r="J33" s="420"/>
      <c r="K33" s="420"/>
      <c r="L33" s="420"/>
      <c r="M33" s="420"/>
      <c r="N33" s="423"/>
      <c r="O33" s="470" t="s">
        <v>1797</v>
      </c>
      <c r="Q33" s="471" t="s">
        <v>1739</v>
      </c>
    </row>
    <row r="34" spans="1:17">
      <c r="A34" s="484"/>
      <c r="B34" s="426"/>
      <c r="C34" s="421"/>
      <c r="D34" s="423"/>
      <c r="E34" s="461"/>
      <c r="F34" s="423"/>
      <c r="G34" s="424"/>
      <c r="I34" s="420"/>
      <c r="J34" s="420"/>
      <c r="K34" s="420"/>
      <c r="L34" s="420"/>
      <c r="M34" s="420"/>
      <c r="N34" s="423"/>
      <c r="O34" s="422"/>
    </row>
    <row r="35" spans="1:17">
      <c r="A35" s="484"/>
      <c r="B35" s="426"/>
      <c r="C35" s="421" t="s">
        <v>757</v>
      </c>
      <c r="D35" s="423"/>
      <c r="E35" s="461"/>
      <c r="F35" s="423"/>
      <c r="G35" s="424"/>
      <c r="I35" s="420"/>
      <c r="J35" s="420"/>
      <c r="K35" s="420"/>
      <c r="L35" s="420"/>
      <c r="M35" s="420"/>
      <c r="N35" s="423"/>
      <c r="O35" s="422"/>
    </row>
    <row r="36" spans="1:17">
      <c r="A36" s="484">
        <v>391.1</v>
      </c>
      <c r="B36" s="426"/>
      <c r="C36" s="421" t="s">
        <v>758</v>
      </c>
      <c r="D36" s="423"/>
      <c r="E36" s="430">
        <v>0</v>
      </c>
      <c r="F36" s="423"/>
      <c r="G36" s="424">
        <v>1.41</v>
      </c>
      <c r="I36" s="420">
        <v>1.41</v>
      </c>
      <c r="J36" s="420"/>
      <c r="K36" s="420">
        <v>0</v>
      </c>
      <c r="L36" s="420"/>
      <c r="M36" s="420">
        <v>0</v>
      </c>
      <c r="N36" s="423"/>
      <c r="O36" s="422" t="s">
        <v>228</v>
      </c>
      <c r="Q36" s="415">
        <v>18</v>
      </c>
    </row>
    <row r="37" spans="1:17">
      <c r="A37" s="484">
        <v>391.2</v>
      </c>
      <c r="B37" s="426"/>
      <c r="C37" s="421" t="s">
        <v>759</v>
      </c>
      <c r="D37" s="423"/>
      <c r="E37" s="430">
        <v>0</v>
      </c>
      <c r="F37" s="423"/>
      <c r="G37" s="424">
        <v>13.53</v>
      </c>
      <c r="I37" s="420">
        <v>13.53</v>
      </c>
      <c r="J37" s="420"/>
      <c r="K37" s="420">
        <v>0</v>
      </c>
      <c r="L37" s="420"/>
      <c r="M37" s="420">
        <v>0</v>
      </c>
      <c r="N37" s="423"/>
      <c r="O37" s="422" t="s">
        <v>760</v>
      </c>
      <c r="Q37" s="415">
        <v>4.9000000000000004</v>
      </c>
    </row>
    <row r="38" spans="1:17">
      <c r="A38" s="484">
        <v>391.3</v>
      </c>
      <c r="B38" s="426"/>
      <c r="C38" s="421" t="s">
        <v>761</v>
      </c>
      <c r="D38" s="423"/>
      <c r="E38" s="430">
        <v>0</v>
      </c>
      <c r="F38" s="423"/>
      <c r="G38" s="424">
        <v>18.59</v>
      </c>
      <c r="I38" s="420">
        <v>18.59</v>
      </c>
      <c r="J38" s="420"/>
      <c r="K38" s="420">
        <v>0</v>
      </c>
      <c r="L38" s="420"/>
      <c r="M38" s="420">
        <v>0</v>
      </c>
      <c r="N38" s="423"/>
      <c r="O38" s="422" t="s">
        <v>229</v>
      </c>
      <c r="Q38" s="415">
        <v>3.1</v>
      </c>
    </row>
    <row r="39" spans="1:17">
      <c r="A39" s="484">
        <v>391.31</v>
      </c>
      <c r="B39" s="426"/>
      <c r="C39" s="421" t="s">
        <v>762</v>
      </c>
      <c r="D39" s="423"/>
      <c r="E39" s="430">
        <v>0</v>
      </c>
      <c r="F39" s="423"/>
      <c r="G39" s="424">
        <v>21.71</v>
      </c>
      <c r="I39" s="420">
        <v>21.71</v>
      </c>
      <c r="J39" s="420"/>
      <c r="K39" s="420">
        <v>0</v>
      </c>
      <c r="L39" s="420"/>
      <c r="M39" s="420">
        <v>0</v>
      </c>
      <c r="N39" s="423"/>
      <c r="O39" s="422" t="s">
        <v>246</v>
      </c>
      <c r="Q39" s="415">
        <v>2.8</v>
      </c>
    </row>
    <row r="40" spans="1:17">
      <c r="A40" s="484">
        <v>391.4</v>
      </c>
      <c r="B40" s="426"/>
      <c r="C40" s="421" t="s">
        <v>763</v>
      </c>
      <c r="D40" s="423"/>
      <c r="E40" s="430">
        <v>0</v>
      </c>
      <c r="F40" s="423"/>
      <c r="G40" s="468">
        <v>11.42</v>
      </c>
      <c r="I40" s="420">
        <v>11.42</v>
      </c>
      <c r="J40" s="420"/>
      <c r="K40" s="420">
        <v>0</v>
      </c>
      <c r="L40" s="420"/>
      <c r="M40" s="420">
        <v>0</v>
      </c>
      <c r="N40" s="423"/>
      <c r="O40" s="422" t="s">
        <v>254</v>
      </c>
      <c r="Q40" s="415">
        <v>4.3</v>
      </c>
    </row>
    <row r="41" spans="1:17">
      <c r="A41" s="484">
        <v>391</v>
      </c>
      <c r="B41" s="426"/>
      <c r="C41" s="421"/>
      <c r="D41" s="423"/>
      <c r="E41" s="430">
        <v>0</v>
      </c>
      <c r="F41" s="423"/>
      <c r="G41" s="424">
        <f>((6090835/38573809.2)*100)</f>
        <v>15.790079140019181</v>
      </c>
      <c r="I41" s="420"/>
      <c r="J41" s="420"/>
      <c r="K41" s="420"/>
      <c r="L41" s="420"/>
      <c r="M41" s="420"/>
      <c r="N41" s="423"/>
      <c r="O41" s="470" t="s">
        <v>1798</v>
      </c>
      <c r="Q41" s="471" t="s">
        <v>1740</v>
      </c>
    </row>
    <row r="42" spans="1:17">
      <c r="A42" s="484"/>
      <c r="B42" s="426"/>
      <c r="C42" s="421"/>
      <c r="D42" s="423"/>
      <c r="E42" s="422"/>
      <c r="F42" s="423"/>
      <c r="G42" s="424"/>
      <c r="I42" s="420"/>
      <c r="J42" s="420"/>
      <c r="K42" s="420"/>
      <c r="L42" s="420"/>
      <c r="M42" s="420"/>
      <c r="N42" s="423"/>
      <c r="O42" s="422"/>
    </row>
    <row r="43" spans="1:17">
      <c r="A43" s="484"/>
      <c r="C43" s="421" t="s">
        <v>766</v>
      </c>
      <c r="E43" s="422">
        <v>0</v>
      </c>
      <c r="F43" s="423"/>
      <c r="G43" s="424">
        <v>1.21</v>
      </c>
      <c r="I43" s="420">
        <v>1.21</v>
      </c>
      <c r="J43" s="420"/>
      <c r="K43" s="420">
        <v>0</v>
      </c>
      <c r="L43" s="420"/>
      <c r="M43" s="420">
        <v>0</v>
      </c>
      <c r="N43" s="425"/>
      <c r="O43" s="422" t="s">
        <v>1741</v>
      </c>
      <c r="Q43" s="415">
        <v>3.3</v>
      </c>
    </row>
    <row r="44" spans="1:17">
      <c r="A44" s="484"/>
      <c r="C44" s="421" t="s">
        <v>767</v>
      </c>
      <c r="E44" s="422">
        <v>0</v>
      </c>
      <c r="F44" s="423"/>
      <c r="G44" s="424">
        <v>3.47</v>
      </c>
      <c r="I44" s="420">
        <v>3.47</v>
      </c>
      <c r="J44" s="420"/>
      <c r="K44" s="420">
        <v>0</v>
      </c>
      <c r="L44" s="420"/>
      <c r="M44" s="420">
        <v>0</v>
      </c>
      <c r="N44" s="425"/>
      <c r="O44" s="422" t="s">
        <v>1742</v>
      </c>
      <c r="Q44" s="415">
        <v>8.6</v>
      </c>
    </row>
    <row r="45" spans="1:17">
      <c r="A45" s="484"/>
      <c r="B45" s="426"/>
      <c r="C45" s="421" t="s">
        <v>768</v>
      </c>
      <c r="D45" s="423"/>
      <c r="E45" s="422">
        <v>0</v>
      </c>
      <c r="F45" s="423"/>
      <c r="G45" s="424">
        <v>5.63</v>
      </c>
      <c r="I45" s="420">
        <v>5.63</v>
      </c>
      <c r="J45" s="420"/>
      <c r="K45" s="420">
        <v>0</v>
      </c>
      <c r="L45" s="420"/>
      <c r="M45" s="420">
        <v>0</v>
      </c>
      <c r="N45" s="423"/>
      <c r="O45" s="422" t="s">
        <v>1743</v>
      </c>
      <c r="Q45" s="415">
        <v>13.9</v>
      </c>
    </row>
    <row r="46" spans="1:17">
      <c r="A46" s="484">
        <v>393</v>
      </c>
      <c r="B46" s="426"/>
      <c r="C46" s="421" t="s">
        <v>769</v>
      </c>
      <c r="D46" s="423"/>
      <c r="E46" s="430">
        <v>0</v>
      </c>
      <c r="F46" s="423"/>
      <c r="G46" s="424">
        <v>5.15</v>
      </c>
      <c r="I46" s="420">
        <v>5.15</v>
      </c>
      <c r="J46" s="420"/>
      <c r="K46" s="420">
        <v>0</v>
      </c>
      <c r="L46" s="420"/>
      <c r="M46" s="420">
        <v>0</v>
      </c>
      <c r="N46" s="423"/>
      <c r="O46" s="422" t="s">
        <v>251</v>
      </c>
      <c r="Q46" s="415">
        <v>8.6999999999999993</v>
      </c>
    </row>
    <row r="47" spans="1:17">
      <c r="A47" s="484">
        <v>394</v>
      </c>
      <c r="B47" s="426"/>
      <c r="C47" s="421" t="s">
        <v>770</v>
      </c>
      <c r="D47" s="423"/>
      <c r="E47" s="430">
        <v>0</v>
      </c>
      <c r="F47" s="423"/>
      <c r="G47" s="424">
        <v>4.25</v>
      </c>
      <c r="I47" s="420">
        <v>4.25</v>
      </c>
      <c r="J47" s="420"/>
      <c r="K47" s="420">
        <v>0</v>
      </c>
      <c r="L47" s="420"/>
      <c r="M47" s="420">
        <v>0</v>
      </c>
      <c r="N47" s="423"/>
      <c r="O47" s="422" t="s">
        <v>251</v>
      </c>
      <c r="Q47" s="415">
        <v>11.7</v>
      </c>
    </row>
    <row r="48" spans="1:17">
      <c r="A48" s="484"/>
      <c r="B48" s="426"/>
      <c r="C48" s="421" t="s">
        <v>771</v>
      </c>
      <c r="D48" s="423"/>
      <c r="E48" s="422">
        <v>0</v>
      </c>
      <c r="F48" s="423"/>
      <c r="G48" s="424">
        <v>0.33</v>
      </c>
      <c r="I48" s="420">
        <v>0.33</v>
      </c>
      <c r="J48" s="420"/>
      <c r="K48" s="420">
        <v>0</v>
      </c>
      <c r="L48" s="420"/>
      <c r="M48" s="420">
        <v>0</v>
      </c>
      <c r="N48" s="423"/>
      <c r="O48" s="422" t="s">
        <v>1744</v>
      </c>
      <c r="Q48" s="415">
        <v>16</v>
      </c>
    </row>
    <row r="49" spans="1:17">
      <c r="A49" s="484"/>
      <c r="C49" s="421" t="s">
        <v>772</v>
      </c>
      <c r="E49" s="422">
        <v>0</v>
      </c>
      <c r="F49" s="423"/>
      <c r="G49" s="424">
        <v>1.4</v>
      </c>
      <c r="I49" s="420">
        <v>1.4</v>
      </c>
      <c r="J49" s="420"/>
      <c r="K49" s="420">
        <v>0</v>
      </c>
      <c r="L49" s="420"/>
      <c r="M49" s="420">
        <v>0</v>
      </c>
      <c r="N49" s="425"/>
      <c r="O49" s="422" t="s">
        <v>1745</v>
      </c>
      <c r="Q49" s="415">
        <v>7.6</v>
      </c>
    </row>
    <row r="50" spans="1:17">
      <c r="A50" s="484"/>
      <c r="B50" s="426"/>
      <c r="C50" s="421" t="s">
        <v>1746</v>
      </c>
      <c r="D50" s="423"/>
      <c r="E50" s="422">
        <v>0</v>
      </c>
      <c r="G50" s="424">
        <v>0.79</v>
      </c>
      <c r="I50" s="420">
        <v>0.79</v>
      </c>
      <c r="J50" s="420"/>
      <c r="K50" s="420">
        <v>0</v>
      </c>
      <c r="L50" s="420"/>
      <c r="M50" s="420">
        <v>0</v>
      </c>
      <c r="N50" s="423"/>
      <c r="O50" s="422" t="s">
        <v>1747</v>
      </c>
      <c r="Q50" s="415">
        <v>20.9</v>
      </c>
    </row>
    <row r="51" spans="1:17">
      <c r="A51" s="484"/>
      <c r="B51" s="426"/>
      <c r="C51" s="421" t="s">
        <v>1748</v>
      </c>
      <c r="D51" s="423"/>
      <c r="E51" s="422">
        <v>0</v>
      </c>
      <c r="G51" s="424">
        <v>3.13</v>
      </c>
      <c r="I51" s="420">
        <v>3.13</v>
      </c>
      <c r="J51" s="420"/>
      <c r="K51" s="420">
        <v>0</v>
      </c>
      <c r="L51" s="420"/>
      <c r="M51" s="420">
        <v>0</v>
      </c>
      <c r="N51" s="423"/>
      <c r="O51" s="422" t="s">
        <v>254</v>
      </c>
      <c r="Q51" s="415">
        <v>8.1999999999999993</v>
      </c>
    </row>
    <row r="52" spans="1:17">
      <c r="A52" s="484"/>
      <c r="B52" s="423"/>
      <c r="C52" s="421"/>
      <c r="E52" s="461"/>
      <c r="F52" s="423"/>
      <c r="G52" s="424"/>
      <c r="I52" s="420"/>
      <c r="J52" s="420"/>
      <c r="K52" s="420"/>
      <c r="L52" s="420"/>
      <c r="M52" s="420"/>
      <c r="N52" s="423"/>
      <c r="O52" s="422"/>
    </row>
    <row r="53" spans="1:17">
      <c r="A53" s="484"/>
      <c r="B53" s="423"/>
      <c r="C53" s="464" t="s">
        <v>256</v>
      </c>
      <c r="E53" s="461"/>
      <c r="F53" s="423"/>
      <c r="G53" s="465">
        <v>5.44</v>
      </c>
      <c r="I53" s="420"/>
      <c r="J53" s="420"/>
      <c r="K53" s="420"/>
      <c r="L53" s="420"/>
      <c r="M53" s="420"/>
      <c r="N53" s="423"/>
      <c r="O53" s="422"/>
      <c r="Q53" s="415">
        <v>9.6999999999999993</v>
      </c>
    </row>
    <row r="54" spans="1:17">
      <c r="A54" s="484"/>
      <c r="B54" s="423"/>
      <c r="C54" s="421"/>
      <c r="D54" s="423"/>
      <c r="E54" s="461" t="s">
        <v>777</v>
      </c>
      <c r="F54" s="423"/>
      <c r="G54" s="482"/>
      <c r="I54" s="420"/>
      <c r="J54" s="420"/>
      <c r="K54" s="420"/>
      <c r="L54" s="420"/>
      <c r="M54" s="420"/>
      <c r="N54" s="423"/>
      <c r="O54" s="422"/>
    </row>
    <row r="55" spans="1:17">
      <c r="A55" s="484"/>
      <c r="B55" s="423"/>
      <c r="C55" s="464" t="s">
        <v>257</v>
      </c>
      <c r="D55" s="423"/>
      <c r="E55" s="461"/>
      <c r="F55" s="423"/>
      <c r="G55" s="465">
        <v>9.32</v>
      </c>
      <c r="I55" s="420"/>
      <c r="J55" s="420"/>
      <c r="K55" s="420"/>
      <c r="L55" s="420"/>
      <c r="M55" s="420"/>
      <c r="N55" s="423"/>
      <c r="O55" s="422"/>
      <c r="Q55" s="415">
        <v>5.6</v>
      </c>
    </row>
    <row r="56" spans="1:17">
      <c r="A56" s="484"/>
      <c r="B56" s="423"/>
      <c r="C56" s="464"/>
      <c r="D56" s="423"/>
      <c r="E56" s="461"/>
      <c r="F56" s="423"/>
      <c r="G56" s="482"/>
      <c r="I56" s="420"/>
      <c r="J56" s="420"/>
      <c r="K56" s="420"/>
      <c r="L56" s="420"/>
      <c r="M56" s="420"/>
      <c r="N56" s="423"/>
      <c r="O56" s="422"/>
    </row>
    <row r="57" spans="1:17">
      <c r="A57" s="484"/>
      <c r="B57" s="423"/>
      <c r="C57" s="421"/>
      <c r="D57" s="423"/>
      <c r="E57" s="461"/>
      <c r="F57" s="423"/>
      <c r="G57" s="482"/>
      <c r="I57" s="420"/>
      <c r="J57" s="420"/>
      <c r="K57" s="420"/>
      <c r="L57" s="420"/>
      <c r="M57" s="420"/>
      <c r="N57" s="423"/>
      <c r="O57" s="462"/>
    </row>
    <row r="58" spans="1:17">
      <c r="A58" s="484"/>
      <c r="C58" s="421" t="s">
        <v>766</v>
      </c>
      <c r="E58" s="430">
        <v>0</v>
      </c>
      <c r="F58" s="423"/>
      <c r="G58" s="424">
        <v>1.21</v>
      </c>
      <c r="I58" s="420">
        <v>1.21</v>
      </c>
      <c r="J58" s="420"/>
      <c r="K58" s="420">
        <v>0</v>
      </c>
      <c r="L58" s="420"/>
      <c r="M58" s="420">
        <v>0</v>
      </c>
      <c r="N58" s="425"/>
      <c r="O58" s="422" t="s">
        <v>1741</v>
      </c>
      <c r="Q58" s="415">
        <v>3.3</v>
      </c>
    </row>
    <row r="59" spans="1:17">
      <c r="A59" s="484">
        <v>392.1</v>
      </c>
      <c r="C59" s="421" t="s">
        <v>767</v>
      </c>
      <c r="E59" s="430">
        <v>0</v>
      </c>
      <c r="F59" s="423"/>
      <c r="G59" s="424">
        <v>3.47</v>
      </c>
      <c r="I59" s="420">
        <v>3.47</v>
      </c>
      <c r="J59" s="420"/>
      <c r="K59" s="420">
        <v>0</v>
      </c>
      <c r="L59" s="420"/>
      <c r="M59" s="420">
        <v>0</v>
      </c>
      <c r="N59" s="425"/>
      <c r="O59" s="422" t="s">
        <v>1742</v>
      </c>
      <c r="Q59" s="415">
        <v>8.6</v>
      </c>
    </row>
    <row r="60" spans="1:17">
      <c r="A60" s="484">
        <v>392.2</v>
      </c>
      <c r="B60" s="426"/>
      <c r="C60" s="421" t="s">
        <v>768</v>
      </c>
      <c r="D60" s="423"/>
      <c r="E60" s="430">
        <v>0</v>
      </c>
      <c r="F60" s="423"/>
      <c r="G60" s="468">
        <v>5.63</v>
      </c>
      <c r="I60" s="420">
        <v>5.63</v>
      </c>
      <c r="J60" s="420"/>
      <c r="K60" s="420">
        <v>0</v>
      </c>
      <c r="L60" s="420"/>
      <c r="M60" s="420">
        <v>0</v>
      </c>
      <c r="N60" s="423"/>
      <c r="O60" s="422" t="s">
        <v>1743</v>
      </c>
      <c r="Q60" s="415">
        <v>13.9</v>
      </c>
    </row>
    <row r="61" spans="1:17">
      <c r="A61" s="424">
        <v>392</v>
      </c>
      <c r="C61" s="421"/>
      <c r="E61" s="430">
        <v>0</v>
      </c>
      <c r="G61" s="424">
        <f>((251+7346+2787)/(20757.36+211576.32+49546.27)*100)</f>
        <v>3.6838377472395609</v>
      </c>
      <c r="I61" s="420"/>
      <c r="J61" s="420"/>
      <c r="K61" s="420"/>
      <c r="L61" s="420"/>
      <c r="M61" s="420"/>
      <c r="N61" s="425"/>
      <c r="O61" s="480" t="s">
        <v>1749</v>
      </c>
      <c r="Q61" s="480" t="s">
        <v>1750</v>
      </c>
    </row>
    <row r="62" spans="1:17">
      <c r="A62" s="424"/>
      <c r="C62" s="421"/>
      <c r="E62" s="430"/>
      <c r="G62" s="473"/>
      <c r="I62" s="420"/>
      <c r="J62" s="420"/>
      <c r="K62" s="420"/>
      <c r="L62" s="420"/>
      <c r="M62" s="420"/>
      <c r="N62" s="425"/>
    </row>
    <row r="63" spans="1:17">
      <c r="A63" s="484">
        <v>396.1</v>
      </c>
      <c r="B63" s="426"/>
      <c r="C63" s="421" t="s">
        <v>771</v>
      </c>
      <c r="D63" s="423"/>
      <c r="E63" s="430">
        <v>0</v>
      </c>
      <c r="F63" s="423"/>
      <c r="G63" s="424">
        <v>0.33</v>
      </c>
      <c r="I63" s="420">
        <v>0.33</v>
      </c>
      <c r="J63" s="420"/>
      <c r="K63" s="420">
        <v>0</v>
      </c>
      <c r="L63" s="420"/>
      <c r="M63" s="420">
        <v>0</v>
      </c>
      <c r="N63" s="423"/>
      <c r="O63" s="422" t="s">
        <v>1744</v>
      </c>
      <c r="Q63" s="415">
        <v>16</v>
      </c>
    </row>
    <row r="64" spans="1:17">
      <c r="A64" s="484">
        <v>396.2</v>
      </c>
      <c r="C64" s="421" t="s">
        <v>772</v>
      </c>
      <c r="E64" s="430">
        <v>0</v>
      </c>
      <c r="F64" s="423"/>
      <c r="G64" s="468">
        <v>1.4</v>
      </c>
      <c r="I64" s="420">
        <v>1.4</v>
      </c>
      <c r="J64" s="420"/>
      <c r="K64" s="420">
        <v>0</v>
      </c>
      <c r="L64" s="420"/>
      <c r="M64" s="420">
        <v>0</v>
      </c>
      <c r="N64" s="425"/>
      <c r="O64" s="422" t="s">
        <v>1745</v>
      </c>
      <c r="Q64" s="415">
        <v>7.6</v>
      </c>
    </row>
    <row r="65" spans="1:17">
      <c r="A65" s="424">
        <v>396</v>
      </c>
      <c r="C65" s="464"/>
      <c r="E65" s="430">
        <v>0</v>
      </c>
      <c r="G65" s="424">
        <f>((997+198)/(301414.67+14147.08)*100)</f>
        <v>0.37868974931213939</v>
      </c>
      <c r="I65" s="420"/>
      <c r="J65" s="420"/>
      <c r="K65" s="420"/>
      <c r="L65" s="420"/>
      <c r="M65" s="420"/>
      <c r="N65" s="425"/>
      <c r="O65" s="480" t="s">
        <v>1751</v>
      </c>
      <c r="Q65" s="480" t="s">
        <v>1752</v>
      </c>
    </row>
    <row r="66" spans="1:17">
      <c r="A66" s="425"/>
      <c r="C66" s="464"/>
      <c r="E66" s="430"/>
      <c r="G66" s="473"/>
      <c r="I66" s="420"/>
      <c r="J66" s="420"/>
      <c r="K66" s="420"/>
      <c r="L66" s="420"/>
      <c r="M66" s="420"/>
      <c r="N66" s="425"/>
    </row>
    <row r="67" spans="1:17">
      <c r="A67" s="484"/>
      <c r="B67" s="426"/>
      <c r="C67" s="421" t="s">
        <v>1746</v>
      </c>
      <c r="D67" s="423"/>
      <c r="E67" s="430">
        <v>0</v>
      </c>
      <c r="G67" s="424">
        <v>0.79</v>
      </c>
      <c r="I67" s="420">
        <v>0.79</v>
      </c>
      <c r="J67" s="420"/>
      <c r="K67" s="420">
        <v>0</v>
      </c>
      <c r="L67" s="420"/>
      <c r="M67" s="420">
        <v>0</v>
      </c>
      <c r="N67" s="423"/>
      <c r="O67" s="422" t="s">
        <v>1747</v>
      </c>
      <c r="Q67" s="415">
        <v>20.9</v>
      </c>
    </row>
    <row r="68" spans="1:17">
      <c r="A68" s="484">
        <v>397.1</v>
      </c>
      <c r="B68" s="426"/>
      <c r="C68" s="421" t="s">
        <v>1748</v>
      </c>
      <c r="D68" s="423"/>
      <c r="E68" s="430">
        <v>0</v>
      </c>
      <c r="G68" s="468">
        <v>3.13</v>
      </c>
      <c r="I68" s="420">
        <v>3.13</v>
      </c>
      <c r="J68" s="420"/>
      <c r="K68" s="420">
        <v>0</v>
      </c>
      <c r="L68" s="420"/>
      <c r="M68" s="420">
        <v>0</v>
      </c>
      <c r="N68" s="423"/>
      <c r="O68" s="422" t="s">
        <v>254</v>
      </c>
      <c r="Q68" s="415">
        <v>8.1999999999999993</v>
      </c>
    </row>
    <row r="69" spans="1:17">
      <c r="A69" s="424">
        <v>397</v>
      </c>
      <c r="E69" s="430">
        <v>0</v>
      </c>
      <c r="G69" s="424">
        <f>((225974+553477)/(28477141.96+17702772.47)*100)</f>
        <v>1.687857176915085</v>
      </c>
      <c r="I69" s="420"/>
      <c r="J69" s="420"/>
      <c r="K69" s="420"/>
      <c r="L69" s="420"/>
      <c r="M69" s="420"/>
      <c r="O69" s="480" t="s">
        <v>1753</v>
      </c>
      <c r="Q69" s="480" t="s">
        <v>1754</v>
      </c>
    </row>
    <row r="70" spans="1:17">
      <c r="E70" s="461"/>
      <c r="I70" s="420"/>
      <c r="J70" s="420"/>
      <c r="K70" s="420"/>
      <c r="L70" s="420"/>
      <c r="M70" s="420"/>
    </row>
    <row r="71" spans="1:17">
      <c r="I71" s="420"/>
      <c r="J71" s="420"/>
      <c r="K71" s="420"/>
      <c r="L71" s="420"/>
      <c r="M71" s="420"/>
    </row>
    <row r="72" spans="1:17">
      <c r="I72" s="420"/>
      <c r="J72" s="420"/>
      <c r="K72" s="420"/>
      <c r="L72" s="420"/>
      <c r="M72" s="420"/>
    </row>
    <row r="73" spans="1:17">
      <c r="I73" s="420"/>
      <c r="J73" s="420"/>
      <c r="K73" s="420"/>
      <c r="L73" s="420"/>
      <c r="M73" s="420"/>
    </row>
    <row r="74" spans="1:17">
      <c r="I74" s="420"/>
      <c r="J74" s="420"/>
      <c r="K74" s="420"/>
      <c r="L74" s="420"/>
      <c r="M74" s="420"/>
    </row>
    <row r="75" spans="1:17">
      <c r="I75" s="420"/>
      <c r="J75" s="420"/>
      <c r="K75" s="420"/>
      <c r="L75" s="420"/>
      <c r="M75" s="420"/>
    </row>
    <row r="76" spans="1:17">
      <c r="I76" s="420"/>
      <c r="J76" s="420"/>
      <c r="K76" s="420"/>
      <c r="L76" s="420"/>
      <c r="M76" s="420"/>
    </row>
    <row r="77" spans="1:17">
      <c r="I77" s="420"/>
      <c r="J77" s="420"/>
      <c r="K77" s="420"/>
      <c r="L77" s="420"/>
      <c r="M77" s="420"/>
    </row>
    <row r="78" spans="1:17">
      <c r="I78" s="420"/>
      <c r="J78" s="420"/>
      <c r="K78" s="420"/>
      <c r="L78" s="420"/>
      <c r="M78" s="420"/>
    </row>
    <row r="79" spans="1:17">
      <c r="I79" s="420"/>
      <c r="J79" s="420"/>
      <c r="K79" s="420"/>
      <c r="L79" s="420"/>
      <c r="M79" s="420"/>
    </row>
    <row r="80" spans="1:17">
      <c r="I80" s="420"/>
      <c r="J80" s="420"/>
      <c r="K80" s="420"/>
      <c r="L80" s="420"/>
      <c r="M80" s="420"/>
    </row>
    <row r="81" spans="9:13">
      <c r="I81" s="420"/>
      <c r="J81" s="420"/>
      <c r="K81" s="420"/>
      <c r="L81" s="420"/>
      <c r="M81" s="420"/>
    </row>
    <row r="82" spans="9:13">
      <c r="I82" s="420"/>
      <c r="J82" s="420"/>
      <c r="K82" s="420"/>
      <c r="L82" s="420"/>
      <c r="M82" s="420"/>
    </row>
    <row r="83" spans="9:13">
      <c r="I83" s="420"/>
      <c r="J83" s="420"/>
      <c r="K83" s="420"/>
      <c r="L83" s="420"/>
      <c r="M83" s="420"/>
    </row>
    <row r="84" spans="9:13">
      <c r="I84" s="420"/>
      <c r="J84" s="420"/>
      <c r="K84" s="420"/>
      <c r="L84" s="420"/>
      <c r="M84" s="420"/>
    </row>
    <row r="85" spans="9:13">
      <c r="I85" s="420"/>
      <c r="J85" s="420"/>
      <c r="K85" s="420"/>
      <c r="L85" s="420"/>
      <c r="M85" s="420"/>
    </row>
    <row r="86" spans="9:13">
      <c r="I86" s="420"/>
      <c r="J86" s="420"/>
      <c r="K86" s="420"/>
      <c r="L86" s="420"/>
      <c r="M86" s="420"/>
    </row>
    <row r="87" spans="9:13">
      <c r="I87" s="420"/>
      <c r="J87" s="420"/>
      <c r="K87" s="420"/>
      <c r="L87" s="420"/>
      <c r="M87" s="420"/>
    </row>
    <row r="88" spans="9:13">
      <c r="I88" s="420"/>
      <c r="J88" s="420"/>
      <c r="K88" s="420"/>
      <c r="L88" s="420"/>
      <c r="M88" s="420"/>
    </row>
    <row r="89" spans="9:13">
      <c r="I89" s="420"/>
      <c r="J89" s="420"/>
      <c r="K89" s="420"/>
      <c r="L89" s="420"/>
      <c r="M89" s="420"/>
    </row>
    <row r="90" spans="9:13">
      <c r="I90" s="420"/>
      <c r="J90" s="420"/>
      <c r="K90" s="420"/>
      <c r="L90" s="420"/>
      <c r="M90" s="420"/>
    </row>
    <row r="91" spans="9:13">
      <c r="I91" s="420"/>
      <c r="J91" s="420"/>
      <c r="K91" s="420"/>
      <c r="L91" s="420"/>
      <c r="M91" s="420"/>
    </row>
    <row r="92" spans="9:13">
      <c r="I92" s="420"/>
      <c r="J92" s="420"/>
      <c r="K92" s="420"/>
      <c r="L92" s="420"/>
      <c r="M92" s="420"/>
    </row>
    <row r="93" spans="9:13">
      <c r="I93" s="420"/>
      <c r="J93" s="420"/>
      <c r="K93" s="420"/>
      <c r="L93" s="420"/>
      <c r="M93" s="420"/>
    </row>
    <row r="94" spans="9:13">
      <c r="I94" s="420"/>
      <c r="J94" s="420"/>
      <c r="K94" s="420"/>
      <c r="L94" s="420"/>
      <c r="M94" s="420"/>
    </row>
    <row r="95" spans="9:13">
      <c r="I95" s="420"/>
      <c r="J95" s="420"/>
      <c r="K95" s="420"/>
      <c r="L95" s="420"/>
      <c r="M95" s="420"/>
    </row>
    <row r="96" spans="9:13">
      <c r="I96" s="420"/>
      <c r="J96" s="420"/>
      <c r="K96" s="420"/>
      <c r="L96" s="420"/>
      <c r="M96" s="420"/>
    </row>
    <row r="97" spans="9:13">
      <c r="I97" s="420"/>
      <c r="J97" s="420"/>
      <c r="K97" s="420"/>
      <c r="L97" s="420"/>
      <c r="M97" s="420"/>
    </row>
    <row r="98" spans="9:13">
      <c r="I98" s="420"/>
      <c r="J98" s="420"/>
      <c r="K98" s="420"/>
      <c r="L98" s="420"/>
      <c r="M98" s="420"/>
    </row>
    <row r="99" spans="9:13">
      <c r="I99" s="420"/>
      <c r="J99" s="420"/>
      <c r="K99" s="420"/>
      <c r="L99" s="420"/>
      <c r="M99" s="420"/>
    </row>
    <row r="100" spans="9:13">
      <c r="I100" s="420"/>
      <c r="J100" s="420"/>
      <c r="K100" s="420"/>
      <c r="L100" s="420"/>
      <c r="M100" s="420"/>
    </row>
    <row r="101" spans="9:13">
      <c r="I101" s="420"/>
      <c r="J101" s="420"/>
      <c r="K101" s="420"/>
      <c r="L101" s="420"/>
      <c r="M101" s="420"/>
    </row>
    <row r="102" spans="9:13">
      <c r="I102" s="420"/>
      <c r="J102" s="420"/>
      <c r="K102" s="420"/>
      <c r="L102" s="420"/>
      <c r="M102" s="420"/>
    </row>
    <row r="103" spans="9:13">
      <c r="I103" s="420"/>
      <c r="J103" s="420"/>
      <c r="K103" s="420"/>
      <c r="L103" s="420"/>
      <c r="M103" s="420"/>
    </row>
    <row r="104" spans="9:13">
      <c r="I104" s="420"/>
      <c r="J104" s="420"/>
      <c r="K104" s="420"/>
      <c r="L104" s="420"/>
      <c r="M104" s="420"/>
    </row>
    <row r="105" spans="9:13">
      <c r="I105" s="420"/>
      <c r="J105" s="420"/>
      <c r="K105" s="420"/>
      <c r="L105" s="420"/>
      <c r="M105" s="420"/>
    </row>
    <row r="106" spans="9:13">
      <c r="I106" s="420"/>
      <c r="J106" s="420"/>
      <c r="K106" s="420"/>
      <c r="L106" s="420"/>
      <c r="M106" s="420"/>
    </row>
    <row r="107" spans="9:13">
      <c r="I107" s="420"/>
      <c r="J107" s="420"/>
      <c r="K107" s="420"/>
      <c r="L107" s="420"/>
      <c r="M107" s="420"/>
    </row>
    <row r="108" spans="9:13">
      <c r="I108" s="420"/>
      <c r="J108" s="420"/>
      <c r="K108" s="420"/>
      <c r="L108" s="420"/>
      <c r="M108" s="420"/>
    </row>
    <row r="109" spans="9:13">
      <c r="I109" s="420"/>
      <c r="J109" s="420"/>
      <c r="K109" s="420"/>
      <c r="L109" s="420"/>
      <c r="M109" s="420"/>
    </row>
    <row r="110" spans="9:13">
      <c r="I110" s="420"/>
      <c r="J110" s="420"/>
      <c r="K110" s="420"/>
      <c r="L110" s="420"/>
      <c r="M110" s="420"/>
    </row>
    <row r="111" spans="9:13">
      <c r="I111" s="420"/>
      <c r="J111" s="420"/>
      <c r="K111" s="420"/>
      <c r="L111" s="420"/>
      <c r="M111" s="420"/>
    </row>
    <row r="112" spans="9:13">
      <c r="I112" s="420"/>
      <c r="J112" s="420"/>
      <c r="K112" s="420"/>
      <c r="L112" s="420"/>
      <c r="M112" s="420"/>
    </row>
    <row r="113" spans="9:13">
      <c r="I113" s="420"/>
      <c r="J113" s="420"/>
      <c r="K113" s="420"/>
      <c r="L113" s="420"/>
      <c r="M113" s="420"/>
    </row>
    <row r="114" spans="9:13">
      <c r="I114" s="420"/>
      <c r="J114" s="420"/>
      <c r="K114" s="420"/>
      <c r="L114" s="420"/>
      <c r="M114" s="420"/>
    </row>
    <row r="115" spans="9:13">
      <c r="I115" s="420"/>
      <c r="J115" s="420"/>
      <c r="K115" s="420"/>
      <c r="L115" s="420"/>
      <c r="M115" s="420"/>
    </row>
    <row r="116" spans="9:13">
      <c r="I116" s="420"/>
      <c r="J116" s="420"/>
      <c r="K116" s="420"/>
      <c r="L116" s="420"/>
      <c r="M116" s="420"/>
    </row>
    <row r="117" spans="9:13">
      <c r="I117" s="420"/>
      <c r="J117" s="420"/>
      <c r="K117" s="420"/>
      <c r="L117" s="420"/>
      <c r="M117" s="420"/>
    </row>
    <row r="118" spans="9:13">
      <c r="I118" s="420"/>
      <c r="J118" s="420"/>
      <c r="K118" s="420"/>
      <c r="L118" s="420"/>
      <c r="M118" s="420"/>
    </row>
    <row r="119" spans="9:13">
      <c r="I119" s="420"/>
      <c r="J119" s="420"/>
      <c r="K119" s="420"/>
      <c r="L119" s="420"/>
      <c r="M119" s="420"/>
    </row>
    <row r="120" spans="9:13">
      <c r="I120" s="420"/>
      <c r="J120" s="420"/>
      <c r="K120" s="420"/>
      <c r="L120" s="420"/>
      <c r="M120" s="420"/>
    </row>
    <row r="121" spans="9:13">
      <c r="I121" s="420"/>
      <c r="J121" s="420"/>
      <c r="K121" s="420"/>
      <c r="L121" s="420"/>
      <c r="M121" s="420"/>
    </row>
    <row r="122" spans="9:13">
      <c r="I122" s="420"/>
      <c r="J122" s="420"/>
      <c r="K122" s="420"/>
      <c r="L122" s="420"/>
      <c r="M122" s="420"/>
    </row>
    <row r="123" spans="9:13">
      <c r="I123" s="420"/>
      <c r="J123" s="420"/>
      <c r="K123" s="420"/>
      <c r="L123" s="420"/>
      <c r="M123" s="420"/>
    </row>
    <row r="124" spans="9:13">
      <c r="I124" s="420"/>
      <c r="J124" s="420"/>
      <c r="K124" s="420"/>
      <c r="L124" s="420"/>
      <c r="M124" s="420"/>
    </row>
    <row r="125" spans="9:13">
      <c r="I125" s="420"/>
      <c r="J125" s="420"/>
      <c r="K125" s="420"/>
      <c r="L125" s="420"/>
      <c r="M125" s="420"/>
    </row>
    <row r="126" spans="9:13">
      <c r="I126" s="420"/>
      <c r="J126" s="420"/>
      <c r="K126" s="420"/>
      <c r="L126" s="420"/>
      <c r="M126" s="420"/>
    </row>
    <row r="127" spans="9:13">
      <c r="I127" s="420"/>
      <c r="J127" s="420"/>
      <c r="K127" s="420"/>
      <c r="L127" s="420"/>
      <c r="M127" s="420"/>
    </row>
    <row r="128" spans="9:13">
      <c r="I128" s="420"/>
      <c r="J128" s="420"/>
      <c r="K128" s="420"/>
      <c r="L128" s="420"/>
      <c r="M128" s="420"/>
    </row>
    <row r="129" spans="9:13">
      <c r="I129" s="420"/>
      <c r="J129" s="420"/>
      <c r="K129" s="420"/>
      <c r="L129" s="420"/>
      <c r="M129" s="420"/>
    </row>
    <row r="130" spans="9:13">
      <c r="I130" s="420"/>
      <c r="J130" s="420"/>
      <c r="K130" s="420"/>
      <c r="L130" s="420"/>
      <c r="M130" s="420"/>
    </row>
    <row r="131" spans="9:13">
      <c r="I131" s="420"/>
      <c r="J131" s="420"/>
      <c r="K131" s="420"/>
      <c r="L131" s="420"/>
      <c r="M131" s="420"/>
    </row>
    <row r="132" spans="9:13">
      <c r="I132" s="420"/>
      <c r="J132" s="420"/>
      <c r="K132" s="420"/>
      <c r="L132" s="420"/>
      <c r="M132" s="420"/>
    </row>
    <row r="133" spans="9:13">
      <c r="I133" s="420"/>
      <c r="J133" s="420"/>
      <c r="K133" s="420"/>
      <c r="L133" s="420"/>
      <c r="M133" s="420"/>
    </row>
    <row r="134" spans="9:13">
      <c r="I134" s="420"/>
      <c r="J134" s="420"/>
      <c r="K134" s="420"/>
      <c r="L134" s="420"/>
      <c r="M134" s="420"/>
    </row>
    <row r="135" spans="9:13">
      <c r="I135" s="420"/>
      <c r="J135" s="420"/>
      <c r="K135" s="420"/>
      <c r="L135" s="420"/>
      <c r="M135" s="420"/>
    </row>
    <row r="136" spans="9:13">
      <c r="I136" s="420"/>
      <c r="J136" s="420"/>
      <c r="K136" s="420"/>
      <c r="L136" s="420"/>
      <c r="M136" s="420"/>
    </row>
    <row r="137" spans="9:13">
      <c r="I137" s="420"/>
      <c r="J137" s="420"/>
      <c r="K137" s="420"/>
      <c r="L137" s="420"/>
      <c r="M137" s="420"/>
    </row>
    <row r="138" spans="9:13">
      <c r="I138" s="420"/>
      <c r="J138" s="420"/>
      <c r="K138" s="420"/>
      <c r="L138" s="420"/>
      <c r="M138" s="420"/>
    </row>
    <row r="139" spans="9:13">
      <c r="I139" s="420"/>
      <c r="J139" s="420"/>
      <c r="K139" s="420"/>
      <c r="L139" s="420"/>
      <c r="M139" s="420"/>
    </row>
    <row r="140" spans="9:13">
      <c r="I140" s="420"/>
      <c r="J140" s="420"/>
      <c r="K140" s="420"/>
      <c r="L140" s="420"/>
      <c r="M140" s="420"/>
    </row>
    <row r="141" spans="9:13">
      <c r="I141" s="420"/>
      <c r="J141" s="420"/>
      <c r="K141" s="420"/>
      <c r="L141" s="420"/>
      <c r="M141" s="420"/>
    </row>
    <row r="142" spans="9:13">
      <c r="I142" s="420"/>
      <c r="J142" s="420"/>
      <c r="K142" s="420"/>
      <c r="L142" s="420"/>
      <c r="M142" s="420"/>
    </row>
    <row r="143" spans="9:13">
      <c r="I143" s="420"/>
      <c r="J143" s="420"/>
      <c r="K143" s="420"/>
      <c r="L143" s="420"/>
      <c r="M143" s="420"/>
    </row>
    <row r="144" spans="9:13">
      <c r="I144" s="420"/>
      <c r="J144" s="420"/>
      <c r="K144" s="420"/>
      <c r="L144" s="420"/>
      <c r="M144" s="420"/>
    </row>
    <row r="145" spans="9:13">
      <c r="I145" s="420"/>
      <c r="J145" s="420"/>
      <c r="K145" s="420"/>
      <c r="L145" s="420"/>
      <c r="M145" s="420"/>
    </row>
    <row r="146" spans="9:13">
      <c r="I146" s="420"/>
      <c r="J146" s="420"/>
      <c r="K146" s="420"/>
      <c r="L146" s="420"/>
      <c r="M146" s="420"/>
    </row>
    <row r="147" spans="9:13">
      <c r="I147" s="420"/>
      <c r="J147" s="420"/>
      <c r="K147" s="420"/>
      <c r="L147" s="420"/>
      <c r="M147" s="420"/>
    </row>
    <row r="148" spans="9:13">
      <c r="I148" s="420"/>
      <c r="J148" s="420"/>
      <c r="K148" s="420"/>
      <c r="L148" s="420"/>
      <c r="M148" s="420"/>
    </row>
    <row r="149" spans="9:13">
      <c r="I149" s="420"/>
      <c r="J149" s="420"/>
      <c r="K149" s="420"/>
      <c r="L149" s="420"/>
      <c r="M149" s="420"/>
    </row>
    <row r="150" spans="9:13">
      <c r="I150" s="420"/>
      <c r="J150" s="420"/>
      <c r="K150" s="420"/>
      <c r="L150" s="420"/>
      <c r="M150" s="420"/>
    </row>
    <row r="151" spans="9:13">
      <c r="I151" s="420"/>
      <c r="J151" s="420"/>
      <c r="K151" s="420"/>
      <c r="L151" s="420"/>
      <c r="M151" s="420"/>
    </row>
    <row r="152" spans="9:13">
      <c r="I152" s="420"/>
      <c r="J152" s="420"/>
      <c r="K152" s="420"/>
      <c r="L152" s="420"/>
      <c r="M152" s="420"/>
    </row>
    <row r="153" spans="9:13">
      <c r="I153" s="420"/>
      <c r="J153" s="420"/>
      <c r="K153" s="420"/>
      <c r="L153" s="420"/>
      <c r="M153" s="420"/>
    </row>
    <row r="154" spans="9:13">
      <c r="I154" s="420"/>
      <c r="J154" s="420"/>
      <c r="K154" s="420"/>
      <c r="L154" s="420"/>
      <c r="M154" s="420"/>
    </row>
    <row r="155" spans="9:13">
      <c r="I155" s="420"/>
      <c r="J155" s="420"/>
      <c r="K155" s="420"/>
      <c r="L155" s="420"/>
      <c r="M155" s="420"/>
    </row>
    <row r="156" spans="9:13">
      <c r="I156" s="420"/>
      <c r="J156" s="420"/>
      <c r="K156" s="420"/>
      <c r="L156" s="420"/>
      <c r="M156" s="420"/>
    </row>
    <row r="157" spans="9:13">
      <c r="I157" s="420"/>
      <c r="J157" s="420"/>
      <c r="K157" s="420"/>
      <c r="L157" s="420"/>
      <c r="M157" s="420"/>
    </row>
    <row r="158" spans="9:13">
      <c r="I158" s="420"/>
      <c r="J158" s="420"/>
      <c r="K158" s="420"/>
      <c r="L158" s="420"/>
      <c r="M158" s="420"/>
    </row>
    <row r="159" spans="9:13">
      <c r="I159" s="420"/>
      <c r="J159" s="420"/>
      <c r="K159" s="420"/>
      <c r="L159" s="420"/>
      <c r="M159" s="420"/>
    </row>
    <row r="160" spans="9:13">
      <c r="I160" s="420"/>
      <c r="J160" s="420"/>
      <c r="K160" s="420"/>
      <c r="L160" s="420"/>
      <c r="M160" s="420"/>
    </row>
    <row r="161" spans="9:13">
      <c r="I161" s="420"/>
      <c r="J161" s="420"/>
      <c r="K161" s="420"/>
      <c r="L161" s="420"/>
      <c r="M161" s="420"/>
    </row>
    <row r="162" spans="9:13">
      <c r="I162" s="420"/>
      <c r="J162" s="420"/>
      <c r="K162" s="420"/>
      <c r="L162" s="420"/>
      <c r="M162" s="420"/>
    </row>
    <row r="163" spans="9:13">
      <c r="I163" s="420"/>
      <c r="J163" s="420"/>
      <c r="K163" s="420"/>
      <c r="L163" s="420"/>
      <c r="M163" s="420"/>
    </row>
    <row r="164" spans="9:13">
      <c r="I164" s="420"/>
      <c r="J164" s="420"/>
      <c r="K164" s="420"/>
      <c r="L164" s="420"/>
      <c r="M164" s="420"/>
    </row>
    <row r="165" spans="9:13">
      <c r="I165" s="420"/>
      <c r="J165" s="420"/>
      <c r="K165" s="420"/>
      <c r="L165" s="420"/>
      <c r="M165" s="420"/>
    </row>
    <row r="166" spans="9:13">
      <c r="I166" s="420"/>
      <c r="J166" s="420"/>
      <c r="K166" s="420"/>
      <c r="L166" s="420"/>
      <c r="M166" s="420"/>
    </row>
    <row r="167" spans="9:13">
      <c r="I167" s="420"/>
      <c r="J167" s="420"/>
      <c r="K167" s="420"/>
      <c r="L167" s="420"/>
      <c r="M167" s="420"/>
    </row>
    <row r="168" spans="9:13">
      <c r="I168" s="420"/>
      <c r="J168" s="420"/>
      <c r="K168" s="420"/>
      <c r="L168" s="420"/>
      <c r="M168" s="420"/>
    </row>
    <row r="169" spans="9:13">
      <c r="I169" s="420"/>
      <c r="J169" s="420"/>
      <c r="K169" s="420"/>
      <c r="L169" s="420"/>
      <c r="M169" s="420"/>
    </row>
    <row r="170" spans="9:13">
      <c r="I170" s="420"/>
      <c r="J170" s="420"/>
      <c r="K170" s="420"/>
      <c r="L170" s="420"/>
      <c r="M170" s="420"/>
    </row>
    <row r="171" spans="9:13">
      <c r="I171" s="420"/>
      <c r="J171" s="420"/>
      <c r="K171" s="420"/>
      <c r="L171" s="420"/>
      <c r="M171" s="420"/>
    </row>
    <row r="172" spans="9:13">
      <c r="I172" s="420"/>
      <c r="J172" s="420"/>
      <c r="K172" s="420"/>
      <c r="L172" s="420"/>
      <c r="M172" s="420"/>
    </row>
    <row r="173" spans="9:13">
      <c r="I173" s="420"/>
      <c r="J173" s="420"/>
      <c r="K173" s="420"/>
      <c r="L173" s="420"/>
      <c r="M173" s="420"/>
    </row>
    <row r="174" spans="9:13">
      <c r="I174" s="420"/>
      <c r="J174" s="420"/>
      <c r="K174" s="420"/>
      <c r="L174" s="420"/>
      <c r="M174" s="420"/>
    </row>
    <row r="175" spans="9:13">
      <c r="I175" s="420"/>
      <c r="J175" s="420"/>
      <c r="K175" s="420"/>
      <c r="L175" s="420"/>
      <c r="M175" s="420"/>
    </row>
    <row r="176" spans="9:13">
      <c r="I176" s="420"/>
      <c r="J176" s="420"/>
      <c r="K176" s="420"/>
      <c r="L176" s="420"/>
      <c r="M176" s="420"/>
    </row>
    <row r="177" spans="9:13">
      <c r="I177" s="420"/>
      <c r="J177" s="420"/>
      <c r="K177" s="420"/>
      <c r="L177" s="420"/>
      <c r="M177" s="420"/>
    </row>
    <row r="178" spans="9:13">
      <c r="I178" s="420"/>
      <c r="J178" s="420"/>
      <c r="K178" s="420"/>
      <c r="L178" s="420"/>
      <c r="M178" s="420"/>
    </row>
    <row r="179" spans="9:13">
      <c r="I179" s="420"/>
      <c r="J179" s="420"/>
      <c r="K179" s="420"/>
      <c r="L179" s="420"/>
      <c r="M179" s="420"/>
    </row>
    <row r="180" spans="9:13">
      <c r="I180" s="420"/>
      <c r="J180" s="420"/>
      <c r="K180" s="420"/>
      <c r="L180" s="420"/>
      <c r="M180" s="420"/>
    </row>
    <row r="181" spans="9:13">
      <c r="I181" s="420"/>
      <c r="J181" s="420"/>
      <c r="K181" s="420"/>
      <c r="L181" s="420"/>
      <c r="M181" s="420"/>
    </row>
    <row r="182" spans="9:13">
      <c r="I182" s="420"/>
      <c r="J182" s="420"/>
      <c r="K182" s="420"/>
      <c r="L182" s="420"/>
      <c r="M182" s="420"/>
    </row>
    <row r="183" spans="9:13">
      <c r="I183" s="420"/>
      <c r="J183" s="420"/>
      <c r="K183" s="420"/>
      <c r="L183" s="420"/>
      <c r="M183" s="420"/>
    </row>
    <row r="184" spans="9:13">
      <c r="I184" s="420"/>
      <c r="J184" s="420"/>
      <c r="K184" s="420"/>
      <c r="L184" s="420"/>
      <c r="M184" s="420"/>
    </row>
    <row r="185" spans="9:13">
      <c r="I185" s="420"/>
      <c r="J185" s="420"/>
      <c r="K185" s="420"/>
      <c r="L185" s="420"/>
      <c r="M185" s="420"/>
    </row>
    <row r="186" spans="9:13">
      <c r="I186" s="420"/>
      <c r="J186" s="420"/>
      <c r="K186" s="420"/>
      <c r="L186" s="420"/>
      <c r="M186" s="420"/>
    </row>
    <row r="187" spans="9:13">
      <c r="I187" s="420"/>
      <c r="J187" s="420"/>
      <c r="K187" s="420"/>
      <c r="L187" s="420"/>
      <c r="M187" s="420"/>
    </row>
    <row r="188" spans="9:13">
      <c r="I188" s="420"/>
      <c r="J188" s="420"/>
      <c r="K188" s="420"/>
      <c r="L188" s="420"/>
      <c r="M188" s="420"/>
    </row>
    <row r="189" spans="9:13">
      <c r="I189" s="420"/>
      <c r="J189" s="420"/>
      <c r="K189" s="420"/>
      <c r="L189" s="420"/>
      <c r="M189" s="420"/>
    </row>
    <row r="190" spans="9:13">
      <c r="I190" s="420"/>
      <c r="J190" s="420"/>
      <c r="K190" s="420"/>
      <c r="L190" s="420"/>
      <c r="M190" s="420"/>
    </row>
    <row r="191" spans="9:13">
      <c r="I191" s="420"/>
      <c r="J191" s="420"/>
      <c r="K191" s="420"/>
      <c r="L191" s="420"/>
      <c r="M191" s="420"/>
    </row>
    <row r="192" spans="9:13">
      <c r="I192" s="420"/>
      <c r="J192" s="420"/>
      <c r="K192" s="420"/>
      <c r="L192" s="420"/>
      <c r="M192" s="420"/>
    </row>
    <row r="193" spans="9:13">
      <c r="I193" s="420"/>
      <c r="J193" s="420"/>
      <c r="K193" s="420"/>
      <c r="L193" s="420"/>
      <c r="M193" s="420"/>
    </row>
    <row r="194" spans="9:13">
      <c r="I194" s="420"/>
      <c r="J194" s="420"/>
      <c r="K194" s="420"/>
      <c r="L194" s="420"/>
      <c r="M194" s="420"/>
    </row>
    <row r="195" spans="9:13">
      <c r="I195" s="420"/>
      <c r="J195" s="420"/>
      <c r="K195" s="420"/>
      <c r="L195" s="420"/>
      <c r="M195" s="420"/>
    </row>
    <row r="196" spans="9:13">
      <c r="I196" s="420"/>
      <c r="J196" s="420"/>
      <c r="K196" s="420"/>
      <c r="L196" s="420"/>
      <c r="M196" s="420"/>
    </row>
    <row r="197" spans="9:13">
      <c r="I197" s="420"/>
      <c r="J197" s="420"/>
      <c r="K197" s="420"/>
      <c r="L197" s="420"/>
      <c r="M197" s="420"/>
    </row>
    <row r="198" spans="9:13">
      <c r="I198" s="420"/>
      <c r="J198" s="420"/>
      <c r="K198" s="420"/>
      <c r="L198" s="420"/>
      <c r="M198" s="420"/>
    </row>
    <row r="199" spans="9:13">
      <c r="I199" s="420"/>
      <c r="J199" s="420"/>
      <c r="K199" s="420"/>
      <c r="L199" s="420"/>
      <c r="M199" s="420"/>
    </row>
    <row r="200" spans="9:13">
      <c r="I200" s="420"/>
      <c r="J200" s="420"/>
      <c r="K200" s="420"/>
      <c r="L200" s="420"/>
      <c r="M200" s="420"/>
    </row>
    <row r="201" spans="9:13">
      <c r="I201" s="420"/>
      <c r="J201" s="420"/>
      <c r="K201" s="420"/>
      <c r="L201" s="420"/>
      <c r="M201" s="420"/>
    </row>
    <row r="202" spans="9:13">
      <c r="I202" s="420"/>
      <c r="J202" s="420"/>
      <c r="K202" s="420"/>
      <c r="L202" s="420"/>
      <c r="M202" s="420"/>
    </row>
    <row r="203" spans="9:13">
      <c r="I203" s="420"/>
      <c r="J203" s="420"/>
      <c r="K203" s="420"/>
      <c r="L203" s="420"/>
      <c r="M203" s="420"/>
    </row>
    <row r="204" spans="9:13">
      <c r="I204" s="420"/>
      <c r="J204" s="420"/>
      <c r="K204" s="420"/>
      <c r="L204" s="420"/>
      <c r="M204" s="420"/>
    </row>
    <row r="205" spans="9:13">
      <c r="I205" s="420"/>
      <c r="J205" s="420"/>
      <c r="K205" s="420"/>
      <c r="L205" s="420"/>
      <c r="M205" s="420"/>
    </row>
    <row r="206" spans="9:13">
      <c r="I206" s="420"/>
      <c r="J206" s="420"/>
      <c r="K206" s="420"/>
      <c r="L206" s="420"/>
      <c r="M206" s="420"/>
    </row>
    <row r="207" spans="9:13">
      <c r="I207" s="420"/>
      <c r="J207" s="420"/>
      <c r="K207" s="420"/>
      <c r="L207" s="420"/>
      <c r="M207" s="420"/>
    </row>
    <row r="208" spans="9:13">
      <c r="I208" s="420"/>
      <c r="J208" s="420"/>
      <c r="K208" s="420"/>
      <c r="L208" s="420"/>
      <c r="M208" s="420"/>
    </row>
    <row r="209" spans="8:13">
      <c r="I209" s="420"/>
      <c r="J209" s="420"/>
      <c r="K209" s="420"/>
      <c r="L209" s="420"/>
      <c r="M209" s="420"/>
    </row>
    <row r="210" spans="8:13">
      <c r="I210" s="420"/>
      <c r="J210" s="420"/>
      <c r="K210" s="420"/>
      <c r="L210" s="420"/>
      <c r="M210" s="420"/>
    </row>
    <row r="211" spans="8:13">
      <c r="I211" s="420"/>
      <c r="J211" s="420"/>
      <c r="K211" s="420"/>
      <c r="L211" s="420"/>
      <c r="M211" s="420"/>
    </row>
    <row r="212" spans="8:13">
      <c r="I212" s="420"/>
      <c r="J212" s="420"/>
      <c r="K212" s="420"/>
      <c r="L212" s="420"/>
      <c r="M212" s="420"/>
    </row>
    <row r="213" spans="8:13">
      <c r="I213" s="420"/>
      <c r="J213" s="420"/>
      <c r="K213" s="420"/>
      <c r="L213" s="420"/>
      <c r="M213" s="420"/>
    </row>
    <row r="214" spans="8:13">
      <c r="H214" s="427"/>
      <c r="I214" s="428"/>
      <c r="J214" s="428"/>
      <c r="K214" s="428"/>
      <c r="L214" s="428"/>
      <c r="M214" s="428"/>
    </row>
    <row r="215" spans="8:13">
      <c r="H215" s="427"/>
      <c r="I215" s="428"/>
      <c r="J215" s="428"/>
      <c r="K215" s="428"/>
      <c r="L215" s="428"/>
      <c r="M215" s="428"/>
    </row>
    <row r="216" spans="8:13">
      <c r="H216" s="427"/>
      <c r="I216" s="428"/>
      <c r="J216" s="428"/>
      <c r="K216" s="428"/>
      <c r="L216" s="428"/>
      <c r="M216" s="428"/>
    </row>
    <row r="217" spans="8:13">
      <c r="I217" s="420"/>
      <c r="J217" s="420"/>
      <c r="K217" s="420"/>
      <c r="L217" s="420"/>
      <c r="M217" s="420"/>
    </row>
    <row r="218" spans="8:13">
      <c r="I218" s="420"/>
      <c r="J218" s="420"/>
      <c r="K218" s="420"/>
      <c r="L218" s="420"/>
      <c r="M218" s="420"/>
    </row>
    <row r="219" spans="8:13">
      <c r="I219" s="420"/>
      <c r="J219" s="420"/>
      <c r="K219" s="420"/>
      <c r="L219" s="420"/>
      <c r="M219" s="420"/>
    </row>
    <row r="220" spans="8:13">
      <c r="I220" s="420"/>
      <c r="J220" s="420"/>
      <c r="K220" s="420"/>
      <c r="L220" s="420"/>
      <c r="M220" s="420"/>
    </row>
    <row r="221" spans="8:13">
      <c r="I221" s="420"/>
      <c r="J221" s="420"/>
      <c r="K221" s="420"/>
      <c r="L221" s="420"/>
      <c r="M221" s="420"/>
    </row>
    <row r="222" spans="8:13">
      <c r="I222" s="420"/>
      <c r="J222" s="420"/>
      <c r="K222" s="420"/>
      <c r="L222" s="420"/>
      <c r="M222" s="420"/>
    </row>
    <row r="223" spans="8:13">
      <c r="I223" s="420"/>
      <c r="J223" s="420"/>
      <c r="K223" s="420"/>
      <c r="L223" s="420"/>
      <c r="M223" s="420"/>
    </row>
    <row r="224" spans="8:13">
      <c r="I224" s="420"/>
      <c r="J224" s="420"/>
      <c r="K224" s="420"/>
      <c r="L224" s="420"/>
      <c r="M224" s="420"/>
    </row>
    <row r="225" spans="9:13">
      <c r="I225" s="420"/>
      <c r="J225" s="420"/>
      <c r="K225" s="420"/>
      <c r="L225" s="420"/>
      <c r="M225" s="420"/>
    </row>
    <row r="226" spans="9:13">
      <c r="I226" s="420"/>
      <c r="J226" s="420"/>
      <c r="K226" s="420"/>
      <c r="L226" s="420"/>
      <c r="M226" s="420"/>
    </row>
    <row r="227" spans="9:13">
      <c r="I227" s="420"/>
      <c r="J227" s="420"/>
      <c r="K227" s="420"/>
      <c r="L227" s="420"/>
      <c r="M227" s="420"/>
    </row>
    <row r="228" spans="9:13">
      <c r="I228" s="420"/>
      <c r="J228" s="420"/>
      <c r="K228" s="420"/>
      <c r="L228" s="420"/>
      <c r="M228" s="420"/>
    </row>
    <row r="229" spans="9:13">
      <c r="I229" s="420"/>
      <c r="J229" s="420"/>
      <c r="K229" s="420"/>
      <c r="L229" s="420"/>
      <c r="M229" s="420"/>
    </row>
    <row r="230" spans="9:13">
      <c r="I230" s="420"/>
      <c r="J230" s="420"/>
      <c r="K230" s="420"/>
      <c r="L230" s="420"/>
      <c r="M230" s="420"/>
    </row>
    <row r="231" spans="9:13">
      <c r="I231" s="420"/>
      <c r="J231" s="420"/>
      <c r="K231" s="420"/>
      <c r="L231" s="420"/>
      <c r="M231" s="420"/>
    </row>
    <row r="232" spans="9:13">
      <c r="I232" s="420"/>
      <c r="J232" s="420"/>
      <c r="K232" s="420"/>
      <c r="L232" s="420"/>
      <c r="M232" s="420"/>
    </row>
    <row r="233" spans="9:13">
      <c r="I233" s="420"/>
      <c r="J233" s="420"/>
      <c r="K233" s="420"/>
      <c r="L233" s="420"/>
      <c r="M233" s="420"/>
    </row>
    <row r="234" spans="9:13">
      <c r="I234" s="420"/>
      <c r="J234" s="420"/>
      <c r="K234" s="420"/>
      <c r="L234" s="420"/>
      <c r="M234" s="420"/>
    </row>
    <row r="235" spans="9:13">
      <c r="I235" s="420"/>
      <c r="J235" s="420"/>
      <c r="K235" s="420"/>
      <c r="L235" s="420"/>
      <c r="M235" s="420"/>
    </row>
    <row r="236" spans="9:13">
      <c r="I236" s="420"/>
      <c r="J236" s="420"/>
      <c r="K236" s="420"/>
      <c r="L236" s="420"/>
      <c r="M236" s="420"/>
    </row>
    <row r="237" spans="9:13">
      <c r="I237" s="420"/>
      <c r="J237" s="420"/>
      <c r="K237" s="420"/>
      <c r="L237" s="420"/>
      <c r="M237" s="420"/>
    </row>
    <row r="238" spans="9:13">
      <c r="I238" s="420"/>
      <c r="J238" s="420"/>
      <c r="K238" s="420"/>
      <c r="L238" s="420"/>
      <c r="M238" s="420"/>
    </row>
    <row r="239" spans="9:13">
      <c r="I239" s="420"/>
      <c r="J239" s="420"/>
      <c r="K239" s="420"/>
      <c r="L239" s="420"/>
      <c r="M239" s="420"/>
    </row>
    <row r="240" spans="9:13">
      <c r="I240" s="420"/>
      <c r="J240" s="420"/>
      <c r="K240" s="420"/>
      <c r="L240" s="420"/>
      <c r="M240" s="420"/>
    </row>
    <row r="241" spans="9:13">
      <c r="I241" s="420"/>
      <c r="J241" s="420"/>
      <c r="K241" s="420"/>
      <c r="L241" s="420"/>
      <c r="M241" s="420"/>
    </row>
    <row r="242" spans="9:13">
      <c r="I242" s="420"/>
      <c r="J242" s="420"/>
      <c r="K242" s="420"/>
      <c r="L242" s="420"/>
      <c r="M242" s="420"/>
    </row>
    <row r="243" spans="9:13">
      <c r="I243" s="420"/>
      <c r="J243" s="420"/>
      <c r="K243" s="420"/>
      <c r="L243" s="420"/>
      <c r="M243" s="420"/>
    </row>
    <row r="244" spans="9:13">
      <c r="I244" s="420"/>
      <c r="J244" s="420"/>
      <c r="K244" s="420"/>
      <c r="L244" s="420"/>
      <c r="M244" s="420"/>
    </row>
    <row r="245" spans="9:13">
      <c r="I245" s="420"/>
      <c r="J245" s="420"/>
      <c r="K245" s="420"/>
      <c r="L245" s="420"/>
      <c r="M245" s="420"/>
    </row>
    <row r="246" spans="9:13">
      <c r="I246" s="420"/>
      <c r="J246" s="420"/>
      <c r="K246" s="420"/>
      <c r="L246" s="420"/>
      <c r="M246" s="420"/>
    </row>
    <row r="247" spans="9:13">
      <c r="I247" s="420"/>
      <c r="J247" s="420"/>
      <c r="K247" s="420"/>
      <c r="L247" s="420"/>
      <c r="M247" s="420"/>
    </row>
    <row r="248" spans="9:13">
      <c r="I248" s="420"/>
      <c r="J248" s="420"/>
      <c r="K248" s="420"/>
      <c r="L248" s="420"/>
      <c r="M248" s="420"/>
    </row>
    <row r="249" spans="9:13">
      <c r="I249" s="420"/>
      <c r="J249" s="420"/>
      <c r="K249" s="420"/>
      <c r="L249" s="420"/>
      <c r="M249" s="420"/>
    </row>
    <row r="250" spans="9:13">
      <c r="I250" s="420"/>
      <c r="J250" s="420"/>
      <c r="K250" s="420"/>
      <c r="L250" s="420"/>
      <c r="M250" s="420"/>
    </row>
    <row r="251" spans="9:13">
      <c r="I251" s="420"/>
      <c r="J251" s="420"/>
      <c r="K251" s="420"/>
      <c r="L251" s="420"/>
      <c r="M251" s="420"/>
    </row>
    <row r="252" spans="9:13">
      <c r="I252" s="420"/>
      <c r="J252" s="420"/>
      <c r="K252" s="420"/>
      <c r="L252" s="420"/>
      <c r="M252" s="420"/>
    </row>
    <row r="253" spans="9:13">
      <c r="I253" s="420"/>
      <c r="J253" s="420"/>
      <c r="K253" s="420"/>
      <c r="L253" s="420"/>
      <c r="M253" s="420"/>
    </row>
    <row r="254" spans="9:13">
      <c r="I254" s="420"/>
      <c r="J254" s="420"/>
      <c r="K254" s="420"/>
      <c r="L254" s="420"/>
      <c r="M254" s="420"/>
    </row>
    <row r="255" spans="9:13">
      <c r="I255" s="420"/>
      <c r="J255" s="420"/>
      <c r="K255" s="420"/>
      <c r="L255" s="420"/>
      <c r="M255" s="420"/>
    </row>
    <row r="256" spans="9:13">
      <c r="I256" s="420"/>
      <c r="J256" s="420"/>
      <c r="K256" s="420"/>
      <c r="L256" s="420"/>
      <c r="M256" s="420"/>
    </row>
    <row r="257" spans="9:13">
      <c r="I257" s="420"/>
      <c r="J257" s="420"/>
      <c r="K257" s="420"/>
      <c r="L257" s="420"/>
      <c r="M257" s="420"/>
    </row>
    <row r="258" spans="9:13">
      <c r="I258" s="420"/>
      <c r="J258" s="420"/>
      <c r="K258" s="420"/>
      <c r="L258" s="420"/>
      <c r="M258" s="420"/>
    </row>
    <row r="259" spans="9:13">
      <c r="I259" s="420"/>
      <c r="J259" s="420"/>
      <c r="K259" s="420"/>
      <c r="L259" s="420"/>
      <c r="M259" s="420"/>
    </row>
    <row r="260" spans="9:13">
      <c r="I260" s="420"/>
      <c r="J260" s="420"/>
      <c r="K260" s="420"/>
      <c r="L260" s="420"/>
      <c r="M260" s="420"/>
    </row>
    <row r="261" spans="9:13">
      <c r="I261" s="420"/>
      <c r="J261" s="420"/>
      <c r="K261" s="420"/>
      <c r="L261" s="420"/>
      <c r="M261" s="420"/>
    </row>
    <row r="262" spans="9:13">
      <c r="I262" s="420"/>
      <c r="J262" s="420"/>
      <c r="K262" s="420"/>
      <c r="L262" s="420"/>
      <c r="M262" s="420"/>
    </row>
    <row r="263" spans="9:13">
      <c r="I263" s="420"/>
      <c r="J263" s="420"/>
      <c r="K263" s="420"/>
      <c r="L263" s="420"/>
      <c r="M263" s="420"/>
    </row>
    <row r="264" spans="9:13">
      <c r="I264" s="420"/>
      <c r="J264" s="420"/>
      <c r="K264" s="420"/>
      <c r="L264" s="420"/>
      <c r="M264" s="420"/>
    </row>
    <row r="265" spans="9:13">
      <c r="I265" s="420"/>
      <c r="J265" s="420"/>
      <c r="K265" s="420"/>
      <c r="L265" s="420"/>
      <c r="M265" s="420"/>
    </row>
    <row r="266" spans="9:13">
      <c r="I266" s="420"/>
      <c r="J266" s="420"/>
      <c r="K266" s="420"/>
      <c r="L266" s="420"/>
      <c r="M266" s="420"/>
    </row>
    <row r="267" spans="9:13">
      <c r="I267" s="420"/>
      <c r="J267" s="420"/>
      <c r="K267" s="420"/>
      <c r="L267" s="420"/>
      <c r="M267" s="420"/>
    </row>
    <row r="268" spans="9:13">
      <c r="I268" s="420"/>
      <c r="J268" s="420"/>
      <c r="K268" s="420"/>
      <c r="L268" s="420"/>
      <c r="M268" s="420"/>
    </row>
    <row r="269" spans="9:13">
      <c r="I269" s="420"/>
      <c r="J269" s="420"/>
      <c r="K269" s="420"/>
      <c r="L269" s="420"/>
      <c r="M269" s="420"/>
    </row>
    <row r="270" spans="9:13">
      <c r="I270" s="420"/>
      <c r="J270" s="420"/>
      <c r="K270" s="420"/>
      <c r="L270" s="420"/>
      <c r="M270" s="420"/>
    </row>
    <row r="271" spans="9:13">
      <c r="I271" s="420"/>
      <c r="J271" s="420"/>
      <c r="K271" s="420"/>
      <c r="L271" s="420"/>
      <c r="M271" s="420"/>
    </row>
    <row r="272" spans="9:13">
      <c r="I272" s="420"/>
      <c r="J272" s="420"/>
      <c r="K272" s="420"/>
      <c r="L272" s="420"/>
      <c r="M272" s="420"/>
    </row>
    <row r="273" spans="9:13">
      <c r="I273" s="420"/>
      <c r="J273" s="420"/>
      <c r="K273" s="420"/>
      <c r="L273" s="420"/>
      <c r="M273" s="420"/>
    </row>
    <row r="274" spans="9:13">
      <c r="I274" s="420"/>
      <c r="J274" s="420"/>
      <c r="K274" s="420"/>
      <c r="L274" s="420"/>
      <c r="M274" s="420"/>
    </row>
    <row r="275" spans="9:13">
      <c r="I275" s="420"/>
      <c r="J275" s="420"/>
      <c r="K275" s="420"/>
      <c r="L275" s="420"/>
      <c r="M275" s="420"/>
    </row>
    <row r="276" spans="9:13">
      <c r="I276" s="420"/>
      <c r="J276" s="420"/>
      <c r="K276" s="420"/>
      <c r="L276" s="420"/>
      <c r="M276" s="420"/>
    </row>
    <row r="277" spans="9:13">
      <c r="I277" s="420"/>
      <c r="J277" s="420"/>
      <c r="K277" s="420"/>
      <c r="L277" s="420"/>
      <c r="M277" s="420"/>
    </row>
    <row r="278" spans="9:13">
      <c r="I278" s="420"/>
      <c r="J278" s="420"/>
      <c r="K278" s="420"/>
      <c r="L278" s="420"/>
      <c r="M278" s="420"/>
    </row>
    <row r="279" spans="9:13">
      <c r="I279" s="420"/>
      <c r="J279" s="420"/>
      <c r="K279" s="420"/>
      <c r="L279" s="420"/>
      <c r="M279" s="420"/>
    </row>
    <row r="280" spans="9:13">
      <c r="I280" s="420"/>
      <c r="J280" s="420"/>
      <c r="K280" s="420"/>
      <c r="L280" s="420"/>
      <c r="M280" s="420"/>
    </row>
    <row r="281" spans="9:13">
      <c r="I281" s="420"/>
      <c r="J281" s="420"/>
      <c r="K281" s="420"/>
      <c r="L281" s="420"/>
      <c r="M281" s="420"/>
    </row>
    <row r="282" spans="9:13">
      <c r="I282" s="420"/>
      <c r="J282" s="420"/>
      <c r="K282" s="420"/>
      <c r="L282" s="420"/>
      <c r="M282" s="420"/>
    </row>
    <row r="283" spans="9:13">
      <c r="I283" s="420"/>
      <c r="J283" s="420"/>
      <c r="K283" s="420"/>
      <c r="L283" s="420"/>
      <c r="M283" s="420"/>
    </row>
    <row r="284" spans="9:13">
      <c r="I284" s="420"/>
      <c r="J284" s="420"/>
      <c r="K284" s="420"/>
      <c r="L284" s="420"/>
      <c r="M284" s="420"/>
    </row>
    <row r="285" spans="9:13">
      <c r="I285" s="420"/>
      <c r="J285" s="420"/>
      <c r="K285" s="420"/>
      <c r="L285" s="420"/>
      <c r="M285" s="420"/>
    </row>
    <row r="286" spans="9:13">
      <c r="I286" s="420"/>
      <c r="J286" s="420"/>
      <c r="K286" s="420"/>
      <c r="L286" s="420"/>
      <c r="M286" s="420"/>
    </row>
    <row r="287" spans="9:13">
      <c r="I287" s="420"/>
      <c r="J287" s="420"/>
      <c r="K287" s="420"/>
      <c r="L287" s="420"/>
      <c r="M287" s="420"/>
    </row>
    <row r="288" spans="9:13">
      <c r="I288" s="420"/>
      <c r="J288" s="420"/>
      <c r="K288" s="420"/>
      <c r="L288" s="420"/>
      <c r="M288" s="420"/>
    </row>
    <row r="289" spans="9:13">
      <c r="I289" s="420"/>
      <c r="J289" s="420"/>
      <c r="K289" s="420"/>
      <c r="L289" s="420"/>
      <c r="M289" s="420"/>
    </row>
    <row r="290" spans="9:13">
      <c r="I290" s="420"/>
      <c r="J290" s="420"/>
      <c r="K290" s="420"/>
      <c r="L290" s="420"/>
      <c r="M290" s="420"/>
    </row>
    <row r="291" spans="9:13">
      <c r="I291" s="420"/>
      <c r="J291" s="420"/>
      <c r="K291" s="420"/>
      <c r="L291" s="420"/>
      <c r="M291" s="420"/>
    </row>
    <row r="292" spans="9:13">
      <c r="I292" s="420"/>
      <c r="J292" s="420"/>
      <c r="K292" s="420"/>
      <c r="L292" s="420"/>
      <c r="M292" s="420"/>
    </row>
    <row r="293" spans="9:13">
      <c r="I293" s="420"/>
      <c r="J293" s="420"/>
      <c r="K293" s="420"/>
      <c r="L293" s="420"/>
      <c r="M293" s="420"/>
    </row>
    <row r="294" spans="9:13">
      <c r="I294" s="420"/>
      <c r="J294" s="420"/>
      <c r="K294" s="420"/>
      <c r="L294" s="420"/>
      <c r="M294" s="420"/>
    </row>
    <row r="295" spans="9:13">
      <c r="I295" s="420"/>
      <c r="J295" s="420"/>
      <c r="K295" s="420"/>
      <c r="L295" s="420"/>
      <c r="M295" s="420"/>
    </row>
    <row r="296" spans="9:13">
      <c r="I296" s="420"/>
      <c r="J296" s="420"/>
      <c r="K296" s="420"/>
      <c r="L296" s="420"/>
      <c r="M296" s="420"/>
    </row>
    <row r="297" spans="9:13">
      <c r="I297" s="420"/>
      <c r="J297" s="420"/>
      <c r="K297" s="420"/>
      <c r="L297" s="420"/>
      <c r="M297" s="420"/>
    </row>
    <row r="298" spans="9:13">
      <c r="I298" s="420"/>
      <c r="J298" s="420"/>
      <c r="K298" s="420"/>
      <c r="L298" s="420"/>
      <c r="M298" s="420"/>
    </row>
    <row r="299" spans="9:13">
      <c r="I299" s="420"/>
      <c r="J299" s="420"/>
      <c r="K299" s="420"/>
      <c r="L299" s="420"/>
      <c r="M299" s="420"/>
    </row>
    <row r="300" spans="9:13">
      <c r="I300" s="420"/>
      <c r="J300" s="420"/>
      <c r="K300" s="420"/>
      <c r="L300" s="420"/>
      <c r="M300" s="420"/>
    </row>
    <row r="301" spans="9:13">
      <c r="I301" s="420"/>
      <c r="J301" s="420"/>
      <c r="K301" s="420"/>
      <c r="L301" s="420"/>
      <c r="M301" s="420"/>
    </row>
    <row r="302" spans="9:13">
      <c r="I302" s="420"/>
      <c r="J302" s="420"/>
      <c r="K302" s="420"/>
      <c r="L302" s="420"/>
      <c r="M302" s="420"/>
    </row>
    <row r="303" spans="9:13">
      <c r="I303" s="420"/>
      <c r="J303" s="420"/>
      <c r="K303" s="420"/>
      <c r="L303" s="420"/>
      <c r="M303" s="420"/>
    </row>
    <row r="304" spans="9:13">
      <c r="I304" s="420"/>
      <c r="J304" s="420"/>
      <c r="K304" s="420"/>
      <c r="L304" s="420"/>
      <c r="M304" s="420"/>
    </row>
    <row r="305" spans="9:13">
      <c r="I305" s="420"/>
      <c r="J305" s="420"/>
      <c r="K305" s="420"/>
      <c r="L305" s="420"/>
      <c r="M305" s="420"/>
    </row>
    <row r="306" spans="9:13">
      <c r="I306" s="420"/>
      <c r="J306" s="420"/>
      <c r="K306" s="420"/>
      <c r="L306" s="420"/>
      <c r="M306" s="420"/>
    </row>
    <row r="307" spans="9:13">
      <c r="I307" s="420"/>
      <c r="J307" s="420"/>
      <c r="K307" s="420"/>
      <c r="L307" s="420"/>
      <c r="M307" s="420"/>
    </row>
    <row r="308" spans="9:13">
      <c r="I308" s="420"/>
      <c r="J308" s="420"/>
      <c r="K308" s="420"/>
      <c r="L308" s="420"/>
      <c r="M308" s="420"/>
    </row>
    <row r="309" spans="9:13">
      <c r="I309" s="420"/>
      <c r="J309" s="420"/>
      <c r="K309" s="420"/>
      <c r="L309" s="420"/>
      <c r="M309" s="420"/>
    </row>
    <row r="310" spans="9:13">
      <c r="I310" s="420"/>
      <c r="J310" s="420"/>
      <c r="K310" s="420"/>
      <c r="L310" s="420"/>
      <c r="M310" s="420"/>
    </row>
    <row r="311" spans="9:13">
      <c r="I311" s="420"/>
      <c r="J311" s="420"/>
      <c r="K311" s="420"/>
      <c r="L311" s="420"/>
      <c r="M311" s="420"/>
    </row>
    <row r="312" spans="9:13">
      <c r="I312" s="420"/>
      <c r="J312" s="420"/>
      <c r="K312" s="420"/>
      <c r="L312" s="420"/>
      <c r="M312" s="420"/>
    </row>
    <row r="313" spans="9:13">
      <c r="I313" s="420"/>
      <c r="J313" s="420"/>
      <c r="K313" s="420"/>
      <c r="L313" s="420"/>
      <c r="M313" s="420"/>
    </row>
    <row r="314" spans="9:13">
      <c r="I314" s="420"/>
      <c r="J314" s="420"/>
      <c r="K314" s="420"/>
      <c r="L314" s="420"/>
      <c r="M314" s="420"/>
    </row>
    <row r="315" spans="9:13">
      <c r="I315" s="420"/>
      <c r="J315" s="420"/>
      <c r="K315" s="420"/>
      <c r="L315" s="420"/>
      <c r="M315" s="420"/>
    </row>
    <row r="316" spans="9:13">
      <c r="I316" s="420"/>
      <c r="J316" s="420"/>
      <c r="K316" s="420"/>
      <c r="L316" s="420"/>
      <c r="M316" s="420"/>
    </row>
    <row r="317" spans="9:13">
      <c r="I317" s="420"/>
      <c r="J317" s="420"/>
      <c r="K317" s="420"/>
      <c r="L317" s="420"/>
      <c r="M317" s="420"/>
    </row>
    <row r="318" spans="9:13">
      <c r="I318" s="420"/>
      <c r="J318" s="420"/>
      <c r="K318" s="420"/>
      <c r="L318" s="420"/>
      <c r="M318" s="420"/>
    </row>
    <row r="319" spans="9:13">
      <c r="I319" s="420"/>
      <c r="J319" s="420"/>
      <c r="K319" s="420"/>
      <c r="L319" s="420"/>
      <c r="M319" s="420"/>
    </row>
    <row r="320" spans="9:13">
      <c r="I320" s="420"/>
      <c r="J320" s="420"/>
      <c r="K320" s="420"/>
      <c r="L320" s="420"/>
      <c r="M320" s="420"/>
    </row>
    <row r="321" spans="9:13">
      <c r="I321" s="420"/>
      <c r="J321" s="420"/>
      <c r="K321" s="420"/>
      <c r="L321" s="420"/>
      <c r="M321" s="420"/>
    </row>
    <row r="322" spans="9:13">
      <c r="I322" s="420"/>
      <c r="J322" s="420"/>
      <c r="K322" s="420"/>
      <c r="L322" s="420"/>
      <c r="M322" s="420"/>
    </row>
    <row r="323" spans="9:13">
      <c r="I323" s="420"/>
      <c r="J323" s="420"/>
      <c r="K323" s="420"/>
      <c r="L323" s="420"/>
      <c r="M323" s="420"/>
    </row>
    <row r="324" spans="9:13">
      <c r="I324" s="420"/>
      <c r="J324" s="420"/>
      <c r="K324" s="420"/>
      <c r="L324" s="420"/>
      <c r="M324" s="420"/>
    </row>
    <row r="325" spans="9:13">
      <c r="I325" s="420"/>
      <c r="J325" s="420"/>
      <c r="K325" s="420"/>
      <c r="L325" s="420"/>
      <c r="M325" s="420"/>
    </row>
    <row r="326" spans="9:13">
      <c r="I326" s="420"/>
      <c r="J326" s="420"/>
      <c r="K326" s="420"/>
      <c r="L326" s="420"/>
      <c r="M326" s="420"/>
    </row>
    <row r="327" spans="9:13">
      <c r="I327" s="420"/>
      <c r="J327" s="420"/>
      <c r="K327" s="420"/>
      <c r="L327" s="420"/>
      <c r="M327" s="420"/>
    </row>
    <row r="328" spans="9:13">
      <c r="I328" s="420"/>
      <c r="J328" s="420"/>
      <c r="K328" s="420"/>
      <c r="L328" s="420"/>
      <c r="M328" s="420"/>
    </row>
    <row r="329" spans="9:13">
      <c r="I329" s="420"/>
      <c r="J329" s="420"/>
      <c r="K329" s="420"/>
      <c r="L329" s="420"/>
      <c r="M329" s="420"/>
    </row>
    <row r="330" spans="9:13">
      <c r="I330" s="420"/>
      <c r="J330" s="420"/>
      <c r="K330" s="420"/>
      <c r="L330" s="420"/>
      <c r="M330" s="420"/>
    </row>
    <row r="331" spans="9:13">
      <c r="I331" s="420"/>
      <c r="J331" s="420"/>
      <c r="K331" s="420"/>
      <c r="L331" s="420"/>
      <c r="M331" s="420"/>
    </row>
    <row r="332" spans="9:13">
      <c r="I332" s="420"/>
      <c r="J332" s="420"/>
      <c r="K332" s="420"/>
      <c r="L332" s="420"/>
      <c r="M332" s="420"/>
    </row>
    <row r="333" spans="9:13">
      <c r="I333" s="420"/>
      <c r="J333" s="420"/>
      <c r="K333" s="420"/>
      <c r="L333" s="420"/>
      <c r="M333" s="420"/>
    </row>
    <row r="334" spans="9:13">
      <c r="I334" s="420"/>
      <c r="J334" s="420"/>
      <c r="K334" s="420"/>
      <c r="L334" s="420"/>
      <c r="M334" s="420"/>
    </row>
    <row r="335" spans="9:13">
      <c r="I335" s="420"/>
      <c r="J335" s="420"/>
      <c r="K335" s="420"/>
      <c r="L335" s="420"/>
      <c r="M335" s="420"/>
    </row>
    <row r="336" spans="9:13">
      <c r="I336" s="420"/>
      <c r="J336" s="420"/>
      <c r="K336" s="420"/>
      <c r="L336" s="420"/>
      <c r="M336" s="420"/>
    </row>
    <row r="337" spans="9:13">
      <c r="I337" s="420"/>
      <c r="J337" s="420"/>
      <c r="K337" s="420"/>
      <c r="L337" s="420"/>
      <c r="M337" s="420"/>
    </row>
    <row r="338" spans="9:13">
      <c r="I338" s="420"/>
      <c r="J338" s="420"/>
      <c r="K338" s="420"/>
      <c r="L338" s="420"/>
      <c r="M338" s="420"/>
    </row>
    <row r="339" spans="9:13">
      <c r="I339" s="420"/>
      <c r="J339" s="420"/>
      <c r="K339" s="420"/>
      <c r="L339" s="420"/>
      <c r="M339" s="420"/>
    </row>
    <row r="340" spans="9:13">
      <c r="I340" s="420"/>
      <c r="J340" s="420"/>
      <c r="K340" s="420"/>
      <c r="L340" s="420"/>
      <c r="M340" s="420"/>
    </row>
    <row r="341" spans="9:13">
      <c r="I341" s="420"/>
      <c r="J341" s="420"/>
      <c r="K341" s="420"/>
      <c r="L341" s="420"/>
      <c r="M341" s="420"/>
    </row>
    <row r="342" spans="9:13">
      <c r="I342" s="420"/>
      <c r="J342" s="420"/>
      <c r="K342" s="420"/>
      <c r="L342" s="420"/>
      <c r="M342" s="420"/>
    </row>
    <row r="343" spans="9:13">
      <c r="I343" s="420"/>
      <c r="J343" s="420"/>
      <c r="K343" s="420"/>
      <c r="L343" s="420"/>
      <c r="M343" s="420"/>
    </row>
    <row r="344" spans="9:13">
      <c r="I344" s="420"/>
      <c r="J344" s="420"/>
      <c r="K344" s="420"/>
      <c r="L344" s="420"/>
      <c r="M344" s="420"/>
    </row>
    <row r="345" spans="9:13">
      <c r="I345" s="420"/>
      <c r="J345" s="420"/>
      <c r="K345" s="420"/>
      <c r="L345" s="420"/>
      <c r="M345" s="420"/>
    </row>
    <row r="346" spans="9:13">
      <c r="I346" s="420"/>
      <c r="J346" s="420"/>
      <c r="K346" s="420"/>
      <c r="L346" s="420"/>
      <c r="M346" s="420"/>
    </row>
    <row r="347" spans="9:13">
      <c r="I347" s="420"/>
      <c r="J347" s="420"/>
      <c r="K347" s="420"/>
      <c r="L347" s="420"/>
      <c r="M347" s="420"/>
    </row>
    <row r="348" spans="9:13">
      <c r="I348" s="420"/>
      <c r="J348" s="420"/>
      <c r="K348" s="420"/>
      <c r="L348" s="420"/>
      <c r="M348" s="420"/>
    </row>
    <row r="349" spans="9:13">
      <c r="I349" s="420"/>
      <c r="J349" s="420"/>
      <c r="K349" s="420"/>
      <c r="L349" s="420"/>
      <c r="M349" s="420"/>
    </row>
    <row r="350" spans="9:13">
      <c r="I350" s="420"/>
      <c r="J350" s="420"/>
      <c r="K350" s="420"/>
      <c r="L350" s="420"/>
      <c r="M350" s="420"/>
    </row>
    <row r="351" spans="9:13">
      <c r="I351" s="420"/>
      <c r="J351" s="420"/>
      <c r="K351" s="420"/>
      <c r="L351" s="420"/>
      <c r="M351" s="420"/>
    </row>
    <row r="352" spans="9:13">
      <c r="I352" s="420"/>
      <c r="J352" s="420"/>
      <c r="K352" s="420"/>
      <c r="L352" s="420"/>
      <c r="M352" s="420"/>
    </row>
    <row r="353" spans="9:13">
      <c r="I353" s="420"/>
      <c r="J353" s="420"/>
      <c r="K353" s="420"/>
      <c r="L353" s="420"/>
      <c r="M353" s="420"/>
    </row>
    <row r="354" spans="9:13">
      <c r="I354" s="420"/>
      <c r="J354" s="420"/>
      <c r="K354" s="420"/>
      <c r="L354" s="420"/>
      <c r="M354" s="420"/>
    </row>
    <row r="355" spans="9:13">
      <c r="I355" s="420"/>
      <c r="J355" s="420"/>
      <c r="K355" s="420"/>
      <c r="L355" s="420"/>
      <c r="M355" s="420"/>
    </row>
    <row r="356" spans="9:13">
      <c r="I356" s="420"/>
      <c r="J356" s="420"/>
      <c r="K356" s="420"/>
      <c r="L356" s="420"/>
      <c r="M356" s="420"/>
    </row>
    <row r="357" spans="9:13">
      <c r="I357" s="420"/>
      <c r="J357" s="420"/>
      <c r="K357" s="420"/>
      <c r="L357" s="420"/>
      <c r="M357" s="420"/>
    </row>
    <row r="358" spans="9:13">
      <c r="I358" s="420"/>
      <c r="J358" s="420"/>
      <c r="K358" s="420"/>
      <c r="L358" s="420"/>
      <c r="M358" s="420"/>
    </row>
    <row r="359" spans="9:13">
      <c r="I359" s="420"/>
      <c r="J359" s="420"/>
      <c r="K359" s="420"/>
      <c r="L359" s="420"/>
      <c r="M359" s="420"/>
    </row>
    <row r="360" spans="9:13">
      <c r="I360" s="420"/>
      <c r="J360" s="420"/>
      <c r="K360" s="420"/>
      <c r="L360" s="420"/>
      <c r="M360" s="420"/>
    </row>
    <row r="361" spans="9:13">
      <c r="I361" s="420"/>
      <c r="J361" s="420"/>
      <c r="K361" s="420"/>
      <c r="L361" s="420"/>
      <c r="M361" s="420"/>
    </row>
    <row r="362" spans="9:13">
      <c r="I362" s="420"/>
      <c r="J362" s="420"/>
      <c r="K362" s="420"/>
      <c r="L362" s="420"/>
      <c r="M362" s="420"/>
    </row>
    <row r="363" spans="9:13">
      <c r="I363" s="420"/>
      <c r="J363" s="420"/>
      <c r="K363" s="420"/>
      <c r="L363" s="420"/>
      <c r="M363" s="420"/>
    </row>
    <row r="364" spans="9:13">
      <c r="I364" s="420"/>
      <c r="J364" s="420"/>
      <c r="K364" s="420"/>
      <c r="L364" s="420"/>
      <c r="M364" s="420"/>
    </row>
    <row r="365" spans="9:13">
      <c r="I365" s="420"/>
      <c r="J365" s="420"/>
      <c r="K365" s="420"/>
      <c r="L365" s="420"/>
      <c r="M365" s="420"/>
    </row>
    <row r="366" spans="9:13">
      <c r="I366" s="420"/>
      <c r="J366" s="420"/>
      <c r="K366" s="420"/>
      <c r="L366" s="420"/>
      <c r="M366" s="420"/>
    </row>
    <row r="367" spans="9:13">
      <c r="I367" s="420"/>
      <c r="J367" s="420"/>
      <c r="K367" s="420"/>
      <c r="L367" s="420"/>
      <c r="M367" s="420"/>
    </row>
    <row r="368" spans="9:13">
      <c r="I368" s="420"/>
      <c r="J368" s="420"/>
      <c r="K368" s="420"/>
      <c r="L368" s="420"/>
      <c r="M368" s="420"/>
    </row>
    <row r="369" spans="9:13">
      <c r="I369" s="420"/>
      <c r="J369" s="420"/>
      <c r="K369" s="420"/>
      <c r="L369" s="420"/>
      <c r="M369" s="420"/>
    </row>
    <row r="370" spans="9:13">
      <c r="I370" s="420"/>
      <c r="J370" s="420"/>
      <c r="K370" s="420"/>
      <c r="L370" s="420"/>
      <c r="M370" s="420"/>
    </row>
    <row r="371" spans="9:13">
      <c r="I371" s="420"/>
      <c r="J371" s="420"/>
      <c r="K371" s="420"/>
      <c r="L371" s="420"/>
      <c r="M371" s="420"/>
    </row>
    <row r="372" spans="9:13">
      <c r="I372" s="420"/>
      <c r="J372" s="420"/>
      <c r="K372" s="420"/>
      <c r="L372" s="420"/>
      <c r="M372" s="420"/>
    </row>
    <row r="373" spans="9:13">
      <c r="I373" s="420"/>
      <c r="J373" s="420"/>
      <c r="K373" s="420"/>
      <c r="L373" s="420"/>
      <c r="M373" s="420"/>
    </row>
    <row r="374" spans="9:13">
      <c r="I374" s="420"/>
      <c r="J374" s="420"/>
      <c r="K374" s="420"/>
      <c r="L374" s="420"/>
      <c r="M374" s="420"/>
    </row>
    <row r="375" spans="9:13">
      <c r="I375" s="420"/>
      <c r="J375" s="420"/>
      <c r="K375" s="420"/>
      <c r="L375" s="420"/>
      <c r="M375" s="420"/>
    </row>
    <row r="376" spans="9:13">
      <c r="I376" s="420"/>
      <c r="J376" s="420"/>
      <c r="K376" s="420"/>
      <c r="L376" s="420"/>
      <c r="M376" s="420"/>
    </row>
    <row r="377" spans="9:13">
      <c r="I377" s="420"/>
      <c r="J377" s="420"/>
      <c r="K377" s="420"/>
      <c r="L377" s="420"/>
      <c r="M377" s="420"/>
    </row>
    <row r="378" spans="9:13">
      <c r="I378" s="420"/>
      <c r="J378" s="420"/>
      <c r="K378" s="420"/>
      <c r="L378" s="420"/>
      <c r="M378" s="420"/>
    </row>
    <row r="379" spans="9:13">
      <c r="I379" s="420"/>
      <c r="J379" s="420"/>
      <c r="K379" s="420"/>
      <c r="L379" s="420"/>
      <c r="M379" s="420"/>
    </row>
    <row r="380" spans="9:13">
      <c r="I380" s="420"/>
      <c r="J380" s="420"/>
      <c r="K380" s="420"/>
      <c r="L380" s="420"/>
      <c r="M380" s="420"/>
    </row>
    <row r="381" spans="9:13">
      <c r="I381" s="420"/>
      <c r="J381" s="420"/>
      <c r="K381" s="420"/>
      <c r="L381" s="420"/>
      <c r="M381" s="420"/>
    </row>
    <row r="382" spans="9:13">
      <c r="I382" s="420"/>
      <c r="J382" s="420"/>
      <c r="K382" s="420"/>
      <c r="L382" s="420"/>
      <c r="M382" s="420"/>
    </row>
    <row r="383" spans="9:13">
      <c r="I383" s="420"/>
      <c r="J383" s="420"/>
      <c r="K383" s="420"/>
      <c r="L383" s="420"/>
      <c r="M383" s="420"/>
    </row>
    <row r="384" spans="9:13">
      <c r="I384" s="420"/>
      <c r="J384" s="420"/>
      <c r="K384" s="420"/>
      <c r="L384" s="420"/>
      <c r="M384" s="420"/>
    </row>
    <row r="385" spans="9:13">
      <c r="I385" s="420"/>
      <c r="J385" s="420"/>
      <c r="K385" s="420"/>
      <c r="L385" s="420"/>
      <c r="M385" s="420"/>
    </row>
    <row r="386" spans="9:13">
      <c r="I386" s="420"/>
      <c r="J386" s="420"/>
      <c r="K386" s="420"/>
      <c r="L386" s="420"/>
      <c r="M386" s="420"/>
    </row>
    <row r="387" spans="9:13">
      <c r="I387" s="420"/>
      <c r="J387" s="420"/>
      <c r="K387" s="420"/>
      <c r="L387" s="420"/>
      <c r="M387" s="420"/>
    </row>
    <row r="388" spans="9:13">
      <c r="I388" s="420"/>
      <c r="J388" s="420"/>
      <c r="K388" s="420"/>
      <c r="L388" s="420"/>
      <c r="M388" s="420"/>
    </row>
    <row r="389" spans="9:13">
      <c r="I389" s="420"/>
      <c r="J389" s="420"/>
      <c r="K389" s="420"/>
      <c r="L389" s="420"/>
      <c r="M389" s="420"/>
    </row>
    <row r="390" spans="9:13">
      <c r="I390" s="420"/>
      <c r="J390" s="420"/>
      <c r="K390" s="420"/>
      <c r="L390" s="420"/>
      <c r="M390" s="420"/>
    </row>
    <row r="391" spans="9:13">
      <c r="I391" s="420"/>
      <c r="J391" s="420"/>
      <c r="K391" s="420"/>
      <c r="L391" s="420"/>
      <c r="M391" s="420"/>
    </row>
    <row r="392" spans="9:13">
      <c r="I392" s="420"/>
      <c r="J392" s="420"/>
      <c r="K392" s="420"/>
      <c r="L392" s="420"/>
      <c r="M392" s="420"/>
    </row>
    <row r="393" spans="9:13">
      <c r="I393" s="420"/>
      <c r="J393" s="420"/>
      <c r="K393" s="420"/>
      <c r="L393" s="420"/>
      <c r="M393" s="420"/>
    </row>
    <row r="394" spans="9:13">
      <c r="I394" s="420"/>
      <c r="J394" s="420"/>
      <c r="K394" s="420"/>
      <c r="L394" s="420"/>
      <c r="M394" s="420"/>
    </row>
    <row r="395" spans="9:13">
      <c r="I395" s="420"/>
      <c r="J395" s="420"/>
      <c r="K395" s="420"/>
      <c r="L395" s="420"/>
      <c r="M395" s="420"/>
    </row>
    <row r="396" spans="9:13">
      <c r="I396" s="420"/>
      <c r="J396" s="420"/>
      <c r="K396" s="420"/>
      <c r="L396" s="420"/>
      <c r="M396" s="420"/>
    </row>
    <row r="397" spans="9:13">
      <c r="I397" s="420"/>
      <c r="J397" s="420"/>
      <c r="K397" s="420"/>
      <c r="L397" s="420"/>
      <c r="M397" s="420"/>
    </row>
    <row r="398" spans="9:13">
      <c r="I398" s="420"/>
      <c r="J398" s="420"/>
      <c r="K398" s="420"/>
      <c r="L398" s="420"/>
      <c r="M398" s="420"/>
    </row>
    <row r="399" spans="9:13">
      <c r="I399" s="420"/>
      <c r="J399" s="420"/>
      <c r="K399" s="420"/>
      <c r="L399" s="420"/>
      <c r="M399" s="420"/>
    </row>
    <row r="400" spans="9:13">
      <c r="I400" s="420"/>
      <c r="J400" s="420"/>
      <c r="K400" s="420"/>
      <c r="L400" s="420"/>
      <c r="M400" s="420"/>
    </row>
    <row r="401" spans="8:13">
      <c r="I401" s="420"/>
      <c r="J401" s="420"/>
      <c r="K401" s="420"/>
      <c r="L401" s="420"/>
      <c r="M401" s="420"/>
    </row>
    <row r="402" spans="8:13">
      <c r="I402" s="420"/>
      <c r="J402" s="420"/>
      <c r="K402" s="420"/>
      <c r="L402" s="420"/>
      <c r="M402" s="420"/>
    </row>
    <row r="403" spans="8:13">
      <c r="I403" s="420"/>
      <c r="J403" s="420"/>
      <c r="K403" s="420"/>
      <c r="L403" s="420"/>
      <c r="M403" s="420"/>
    </row>
    <row r="404" spans="8:13">
      <c r="I404" s="420"/>
      <c r="J404" s="420"/>
      <c r="K404" s="420"/>
      <c r="L404" s="420"/>
      <c r="M404" s="420"/>
    </row>
    <row r="405" spans="8:13">
      <c r="I405" s="420"/>
      <c r="J405" s="420"/>
      <c r="K405" s="420"/>
      <c r="L405" s="420"/>
      <c r="M405" s="420"/>
    </row>
    <row r="406" spans="8:13">
      <c r="H406" s="423"/>
      <c r="I406" s="429"/>
      <c r="J406" s="429"/>
      <c r="K406" s="429"/>
      <c r="L406" s="429"/>
      <c r="M406" s="429"/>
    </row>
    <row r="407" spans="8:13">
      <c r="I407" s="420"/>
      <c r="J407" s="420"/>
      <c r="K407" s="420"/>
      <c r="L407" s="420"/>
      <c r="M407" s="420"/>
    </row>
    <row r="408" spans="8:13">
      <c r="I408" s="420"/>
      <c r="J408" s="420"/>
      <c r="K408" s="420"/>
      <c r="L408" s="420"/>
      <c r="M408" s="420"/>
    </row>
    <row r="409" spans="8:13">
      <c r="I409" s="420"/>
      <c r="J409" s="420"/>
      <c r="K409" s="420"/>
      <c r="L409" s="420"/>
      <c r="M409" s="420"/>
    </row>
    <row r="410" spans="8:13">
      <c r="I410" s="420"/>
      <c r="J410" s="420"/>
      <c r="K410" s="420"/>
      <c r="L410" s="420"/>
      <c r="M410" s="420"/>
    </row>
    <row r="411" spans="8:13">
      <c r="I411" s="420"/>
      <c r="J411" s="420"/>
      <c r="K411" s="420"/>
      <c r="L411" s="420"/>
      <c r="M411" s="420"/>
    </row>
    <row r="412" spans="8:13">
      <c r="I412" s="420"/>
      <c r="J412" s="420"/>
      <c r="K412" s="420"/>
      <c r="L412" s="420"/>
      <c r="M412" s="420"/>
    </row>
    <row r="413" spans="8:13">
      <c r="I413" s="420"/>
      <c r="J413" s="420"/>
      <c r="K413" s="420"/>
      <c r="L413" s="420"/>
      <c r="M413" s="420"/>
    </row>
    <row r="414" spans="8:13">
      <c r="I414" s="420"/>
      <c r="J414" s="420"/>
      <c r="K414" s="420"/>
      <c r="L414" s="420"/>
      <c r="M414" s="420"/>
    </row>
    <row r="415" spans="8:13">
      <c r="I415" s="420"/>
      <c r="J415" s="420"/>
      <c r="K415" s="420"/>
      <c r="L415" s="420"/>
      <c r="M415" s="420"/>
    </row>
    <row r="416" spans="8:13">
      <c r="I416" s="420"/>
      <c r="J416" s="420"/>
      <c r="K416" s="420"/>
      <c r="L416" s="420"/>
      <c r="M416" s="420"/>
    </row>
    <row r="417" spans="9:13">
      <c r="I417" s="420"/>
      <c r="J417" s="420"/>
      <c r="K417" s="420"/>
      <c r="L417" s="420"/>
      <c r="M417" s="420"/>
    </row>
    <row r="418" spans="9:13">
      <c r="I418" s="420"/>
      <c r="J418" s="420"/>
      <c r="K418" s="420"/>
      <c r="L418" s="420"/>
      <c r="M418" s="420"/>
    </row>
    <row r="419" spans="9:13">
      <c r="I419" s="420"/>
      <c r="J419" s="420"/>
      <c r="K419" s="420"/>
      <c r="L419" s="420"/>
      <c r="M419" s="420"/>
    </row>
    <row r="420" spans="9:13">
      <c r="I420" s="420"/>
      <c r="J420" s="420"/>
      <c r="K420" s="420"/>
      <c r="L420" s="420"/>
      <c r="M420" s="420"/>
    </row>
  </sheetData>
  <mergeCells count="4">
    <mergeCell ref="A1:Q1"/>
    <mergeCell ref="A2:Q2"/>
    <mergeCell ref="A5:Q5"/>
    <mergeCell ref="A6:Q6"/>
  </mergeCells>
  <printOptions horizontalCentered="1"/>
  <pageMargins left="0.2" right="0.2" top="0.5" bottom="0.75" header="0.3" footer="0.3"/>
  <pageSetup scale="49" orientation="landscape" r:id="rId1"/>
  <headerFooter>
    <oddFooter>&amp;L&amp;Z&amp;F&amp;F&amp;A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F47"/>
  <sheetViews>
    <sheetView zoomScale="85" zoomScaleNormal="85" workbookViewId="0">
      <selection activeCell="A8" sqref="A8"/>
    </sheetView>
  </sheetViews>
  <sheetFormatPr defaultColWidth="9" defaultRowHeight="12.75"/>
  <cols>
    <col min="1" max="1" width="6" style="33" customWidth="1"/>
    <col min="2" max="2" width="38.33203125" style="33" customWidth="1"/>
    <col min="3" max="3" width="15.88671875" style="33" customWidth="1"/>
    <col min="4" max="4" width="13.6640625" style="33" customWidth="1"/>
    <col min="5" max="5" width="3.77734375" style="33" customWidth="1"/>
    <col min="6" max="6" width="13.6640625" style="33" customWidth="1"/>
    <col min="7" max="7" width="1.6640625" style="33" customWidth="1"/>
    <col min="8" max="16384" width="9" style="33"/>
  </cols>
  <sheetData>
    <row r="1" spans="1:6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</row>
    <row r="2" spans="1:6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</row>
    <row r="3" spans="1:6" s="32" customFormat="1" ht="20.100000000000001" customHeight="1">
      <c r="A3" s="494" t="s">
        <v>129</v>
      </c>
      <c r="B3" s="494"/>
      <c r="C3" s="494"/>
      <c r="D3" s="494"/>
      <c r="E3" s="494"/>
      <c r="F3" s="494"/>
    </row>
    <row r="4" spans="1:6" s="32" customFormat="1" ht="20.100000000000001" customHeight="1">
      <c r="A4" s="494" t="str">
        <f>'Rate Case Constants'!C12</f>
        <v>AS OF FEBRUARY 28, 2017</v>
      </c>
      <c r="B4" s="494"/>
      <c r="C4" s="494"/>
      <c r="D4" s="494"/>
      <c r="E4" s="494"/>
      <c r="F4" s="494"/>
    </row>
    <row r="5" spans="1:6" s="32" customFormat="1" ht="20.100000000000001" customHeight="1">
      <c r="A5" s="493" t="str">
        <f>'Rate Case Constants'!C18</f>
        <v>AS OF JUNE 30, 2018</v>
      </c>
      <c r="B5" s="494"/>
      <c r="C5" s="494"/>
      <c r="D5" s="494"/>
      <c r="E5" s="494"/>
      <c r="F5" s="494"/>
    </row>
    <row r="6" spans="1:6" s="32" customFormat="1" ht="20.100000000000001" customHeight="1">
      <c r="A6" s="48"/>
      <c r="B6" s="48"/>
      <c r="C6" s="48"/>
      <c r="D6" s="48"/>
      <c r="E6" s="48"/>
      <c r="F6" s="48"/>
    </row>
    <row r="7" spans="1:6" s="32" customFormat="1" ht="20.100000000000001" customHeight="1">
      <c r="A7" s="31" t="s">
        <v>61</v>
      </c>
      <c r="E7" s="38"/>
      <c r="F7" s="38" t="s">
        <v>128</v>
      </c>
    </row>
    <row r="8" spans="1:6" s="32" customFormat="1" ht="20.100000000000001" customHeight="1">
      <c r="A8" s="376" t="s">
        <v>54</v>
      </c>
      <c r="E8" s="38"/>
      <c r="F8" s="38" t="s">
        <v>63</v>
      </c>
    </row>
    <row r="9" spans="1:6" s="32" customFormat="1" ht="20.100000000000001" customHeight="1">
      <c r="A9" s="31" t="s">
        <v>150</v>
      </c>
      <c r="E9" s="39"/>
      <c r="F9" s="39" t="str">
        <f>'Rate Case Constants'!C36</f>
        <v>WITNESS:   C. M. GARRETT</v>
      </c>
    </row>
    <row r="10" spans="1:6" s="32" customFormat="1" ht="20.100000000000001" customHeight="1"/>
    <row r="11" spans="1:6" ht="58.5" customHeight="1">
      <c r="A11" s="40" t="s">
        <v>29</v>
      </c>
      <c r="B11" s="43" t="s">
        <v>130</v>
      </c>
      <c r="C11" s="40" t="s">
        <v>131</v>
      </c>
      <c r="D11" s="40" t="s">
        <v>132</v>
      </c>
      <c r="E11" s="40"/>
      <c r="F11" s="40" t="s">
        <v>133</v>
      </c>
    </row>
    <row r="12" spans="1:6" ht="23.1" customHeight="1">
      <c r="A12" s="44"/>
      <c r="B12" s="45"/>
      <c r="C12" s="45"/>
      <c r="D12" s="46" t="s">
        <v>40</v>
      </c>
      <c r="E12" s="46"/>
      <c r="F12" s="46" t="s">
        <v>40</v>
      </c>
    </row>
    <row r="13" spans="1:6" ht="23.1" customHeight="1">
      <c r="A13" s="37"/>
      <c r="B13" s="42" t="s">
        <v>626</v>
      </c>
      <c r="C13" s="35"/>
      <c r="D13" s="58"/>
      <c r="E13" s="58"/>
      <c r="F13" s="58"/>
    </row>
    <row r="14" spans="1:6" ht="18.95" customHeight="1">
      <c r="A14" s="34">
        <v>1</v>
      </c>
      <c r="B14" s="42" t="s">
        <v>16</v>
      </c>
      <c r="C14" s="35" t="s">
        <v>138</v>
      </c>
      <c r="D14" s="50">
        <f>'SCH B-2'!G27</f>
        <v>972396710.28999996</v>
      </c>
      <c r="E14" s="50"/>
      <c r="F14" s="52">
        <f>'SCH B-2'!G55</f>
        <v>1244613620.6835377</v>
      </c>
    </row>
    <row r="15" spans="1:6" ht="18.95" customHeight="1">
      <c r="A15" s="34">
        <v>2</v>
      </c>
      <c r="B15" s="42" t="s">
        <v>137</v>
      </c>
      <c r="C15" s="35" t="s">
        <v>139</v>
      </c>
      <c r="D15" s="50">
        <f>'SCH B-2.6'!D19</f>
        <v>0</v>
      </c>
      <c r="E15" s="50"/>
      <c r="F15" s="52">
        <f>'SCH B-2.6'!D33</f>
        <v>0</v>
      </c>
    </row>
    <row r="16" spans="1:6" ht="18.95" customHeight="1">
      <c r="A16" s="34">
        <v>3</v>
      </c>
      <c r="B16" s="42" t="s">
        <v>134</v>
      </c>
      <c r="C16" s="35" t="s">
        <v>140</v>
      </c>
      <c r="D16" s="63">
        <f>'SCH B-3 B'!I109</f>
        <v>-341634828.74138117</v>
      </c>
      <c r="E16" s="50"/>
      <c r="F16" s="53">
        <f>'SCH B-3 F'!I109</f>
        <v>-373470159.87169391</v>
      </c>
    </row>
    <row r="17" spans="1:6" ht="18.95" customHeight="1">
      <c r="A17" s="34">
        <v>4</v>
      </c>
      <c r="B17" s="42" t="s">
        <v>162</v>
      </c>
      <c r="C17" s="35"/>
      <c r="D17" s="50">
        <f>SUM(D14:D16)</f>
        <v>630761881.54861879</v>
      </c>
      <c r="E17" s="50"/>
      <c r="F17" s="50">
        <f>SUM(F14:F16)</f>
        <v>871143460.81184387</v>
      </c>
    </row>
    <row r="18" spans="1:6" ht="18.95" customHeight="1">
      <c r="A18" s="34">
        <v>5</v>
      </c>
      <c r="B18" s="42" t="s">
        <v>135</v>
      </c>
      <c r="C18" s="35" t="s">
        <v>142</v>
      </c>
      <c r="D18" s="63">
        <f>'SCH B-4'!J26</f>
        <v>6873393.7740000002</v>
      </c>
      <c r="E18" s="50"/>
      <c r="F18" s="53">
        <f>'SCH B-4'!J54</f>
        <v>24905873.017692305</v>
      </c>
    </row>
    <row r="19" spans="1:6" ht="18.95" customHeight="1">
      <c r="A19" s="34">
        <v>6</v>
      </c>
      <c r="B19" s="42" t="s">
        <v>163</v>
      </c>
      <c r="C19" s="35"/>
      <c r="D19" s="50">
        <f>SUM(D17:D18)</f>
        <v>637635275.32261884</v>
      </c>
      <c r="E19" s="50"/>
      <c r="F19" s="50">
        <f>SUM(F17:F18)</f>
        <v>896049333.8295362</v>
      </c>
    </row>
    <row r="20" spans="1:6" ht="8.25" customHeight="1">
      <c r="A20" s="34"/>
      <c r="B20" s="42"/>
      <c r="C20" s="35"/>
      <c r="D20" s="50"/>
      <c r="E20" s="50"/>
      <c r="F20" s="52"/>
    </row>
    <row r="21" spans="1:6" ht="18.95" customHeight="1">
      <c r="A21" s="34">
        <v>7</v>
      </c>
      <c r="B21" s="42" t="s">
        <v>136</v>
      </c>
      <c r="C21" s="35" t="s">
        <v>141</v>
      </c>
      <c r="D21" s="50">
        <f>'SCH B-5'!G21</f>
        <v>9147384.1849676184</v>
      </c>
      <c r="E21" s="50"/>
      <c r="F21" s="52">
        <f>'SCH B-5'!G47</f>
        <v>9932408.8288240321</v>
      </c>
    </row>
    <row r="22" spans="1:6" ht="18.95" customHeight="1">
      <c r="A22" s="34">
        <v>8</v>
      </c>
      <c r="B22" s="42" t="s">
        <v>143</v>
      </c>
      <c r="C22" s="35" t="s">
        <v>141</v>
      </c>
      <c r="D22" s="50">
        <f>'SCH B-5'!G13+'SCH B-5'!G15+'SCH B-5'!G17+'SCH B-5'!G19</f>
        <v>29355027.956129562</v>
      </c>
      <c r="E22" s="50"/>
      <c r="F22" s="52">
        <f>SUM('SCH B-5'!G39:G45)</f>
        <v>27741112.995517291</v>
      </c>
    </row>
    <row r="23" spans="1:6" ht="18.95" customHeight="1">
      <c r="A23" s="34">
        <v>9</v>
      </c>
      <c r="B23" s="42" t="s">
        <v>144</v>
      </c>
      <c r="C23" s="35" t="s">
        <v>145</v>
      </c>
      <c r="D23" s="50">
        <f>-'SCH B-6'!H12</f>
        <v>-5333825.2990410374</v>
      </c>
      <c r="E23" s="50"/>
      <c r="F23" s="52">
        <f>-'SCH B-6'!H31</f>
        <v>-5333825.2990410374</v>
      </c>
    </row>
    <row r="24" spans="1:6" ht="18.95" customHeight="1">
      <c r="A24" s="34">
        <v>10</v>
      </c>
      <c r="B24" s="42" t="s">
        <v>146</v>
      </c>
      <c r="C24" s="35" t="s">
        <v>145</v>
      </c>
      <c r="D24" s="50">
        <f>-'SCH B-6'!H16</f>
        <v>-176848893.06026256</v>
      </c>
      <c r="E24" s="50"/>
      <c r="F24" s="52">
        <f>-'SCH B-6'!H35</f>
        <v>-222351273.15090165</v>
      </c>
    </row>
    <row r="25" spans="1:6" ht="18.95" customHeight="1">
      <c r="A25" s="34">
        <v>11</v>
      </c>
      <c r="B25" s="42" t="s">
        <v>147</v>
      </c>
      <c r="C25" s="35" t="s">
        <v>145</v>
      </c>
      <c r="D25" s="50">
        <f>-'SCH B-6'!H14</f>
        <v>0</v>
      </c>
      <c r="E25" s="50"/>
      <c r="F25" s="52">
        <v>0</v>
      </c>
    </row>
    <row r="26" spans="1:6" ht="18.95" customHeight="1">
      <c r="A26" s="34">
        <v>12</v>
      </c>
      <c r="B26" s="42" t="s">
        <v>148</v>
      </c>
      <c r="C26" s="35" t="s">
        <v>145</v>
      </c>
      <c r="D26" s="63">
        <v>0</v>
      </c>
      <c r="E26" s="50"/>
      <c r="F26" s="53">
        <v>0</v>
      </c>
    </row>
    <row r="27" spans="1:6" ht="18.95" customHeight="1">
      <c r="A27" s="34"/>
      <c r="B27" s="42"/>
      <c r="C27" s="35"/>
      <c r="D27" s="50"/>
      <c r="E27" s="50"/>
      <c r="F27" s="52"/>
    </row>
    <row r="28" spans="1:6" ht="18.95" customHeight="1" thickBot="1">
      <c r="A28" s="34">
        <v>13</v>
      </c>
      <c r="B28" s="42" t="s">
        <v>149</v>
      </c>
      <c r="C28" s="35"/>
      <c r="D28" s="57">
        <f>SUM(D19:D26)</f>
        <v>493954969.10441244</v>
      </c>
      <c r="E28" s="50"/>
      <c r="F28" s="57">
        <f>SUM(F19:F26)</f>
        <v>706037757.20393479</v>
      </c>
    </row>
    <row r="29" spans="1:6" ht="18.95" customHeight="1" thickTop="1">
      <c r="A29" s="34"/>
      <c r="B29" s="42"/>
      <c r="C29" s="35"/>
      <c r="D29" s="50"/>
      <c r="E29" s="50"/>
      <c r="F29" s="52"/>
    </row>
    <row r="30" spans="1:6" ht="18.95" customHeight="1">
      <c r="A30" s="34"/>
      <c r="B30" s="42"/>
      <c r="C30" s="35"/>
      <c r="D30" s="50"/>
      <c r="E30" s="50"/>
      <c r="F30" s="52"/>
    </row>
    <row r="31" spans="1:6" ht="18.95" customHeight="1">
      <c r="A31" s="34"/>
      <c r="B31" s="42"/>
      <c r="C31" s="35"/>
      <c r="D31" s="50"/>
      <c r="E31" s="50"/>
      <c r="F31" s="50"/>
    </row>
    <row r="32" spans="1:6" ht="18.95" customHeight="1">
      <c r="A32" s="34"/>
      <c r="B32" s="42"/>
      <c r="C32" s="35"/>
      <c r="D32" s="50"/>
      <c r="E32" s="50"/>
      <c r="F32" s="52"/>
    </row>
    <row r="33" spans="1:6" ht="18.95" customHeight="1">
      <c r="A33" s="34"/>
      <c r="B33" s="42"/>
      <c r="C33" s="35"/>
      <c r="D33" s="50"/>
      <c r="E33" s="50"/>
      <c r="F33" s="52"/>
    </row>
    <row r="34" spans="1:6" ht="18.95" customHeight="1">
      <c r="A34" s="34"/>
      <c r="B34" s="42"/>
      <c r="C34" s="35"/>
      <c r="D34" s="50"/>
      <c r="E34" s="50"/>
      <c r="F34" s="52"/>
    </row>
    <row r="35" spans="1:6" ht="18.95" customHeight="1">
      <c r="A35" s="34"/>
      <c r="B35" s="42"/>
      <c r="C35" s="35"/>
      <c r="D35" s="50"/>
      <c r="E35" s="50"/>
      <c r="F35" s="52"/>
    </row>
    <row r="36" spans="1:6" ht="18.95" customHeight="1">
      <c r="A36" s="34"/>
      <c r="B36" s="42"/>
      <c r="C36" s="35"/>
      <c r="D36" s="50"/>
      <c r="E36" s="50"/>
      <c r="F36" s="52"/>
    </row>
    <row r="37" spans="1:6" ht="18.95" customHeight="1">
      <c r="A37" s="34"/>
      <c r="B37" s="42"/>
      <c r="C37" s="35"/>
      <c r="D37" s="50"/>
      <c r="E37" s="50"/>
      <c r="F37" s="52"/>
    </row>
    <row r="38" spans="1:6" ht="18.95" customHeight="1">
      <c r="A38" s="34"/>
      <c r="B38" s="42"/>
      <c r="C38" s="35"/>
      <c r="D38" s="50"/>
      <c r="E38" s="50"/>
      <c r="F38" s="52"/>
    </row>
    <row r="39" spans="1:6" ht="18.95" customHeight="1">
      <c r="A39" s="34"/>
      <c r="B39" s="42"/>
      <c r="C39" s="35"/>
      <c r="D39" s="50"/>
      <c r="E39" s="50"/>
      <c r="F39" s="52"/>
    </row>
    <row r="40" spans="1:6" ht="18.95" customHeight="1">
      <c r="A40" s="34"/>
      <c r="B40" s="42"/>
      <c r="C40" s="35"/>
      <c r="D40" s="50"/>
      <c r="E40" s="50"/>
      <c r="F40" s="52"/>
    </row>
    <row r="41" spans="1:6" ht="18.95" customHeight="1">
      <c r="A41" s="34"/>
      <c r="B41" s="42"/>
      <c r="C41" s="35"/>
      <c r="D41" s="50"/>
      <c r="E41" s="50"/>
      <c r="F41" s="52"/>
    </row>
    <row r="42" spans="1:6" ht="18.95" customHeight="1">
      <c r="A42" s="34"/>
      <c r="B42" s="42"/>
      <c r="C42" s="35"/>
      <c r="D42" s="50"/>
      <c r="E42" s="50"/>
      <c r="F42" s="52"/>
    </row>
    <row r="43" spans="1:6" ht="18.95" customHeight="1">
      <c r="A43" s="34"/>
      <c r="B43" s="42"/>
      <c r="C43" s="35"/>
      <c r="D43" s="50"/>
      <c r="E43" s="50"/>
      <c r="F43" s="52"/>
    </row>
    <row r="44" spans="1:6" ht="18.95" customHeight="1">
      <c r="A44" s="34"/>
      <c r="B44" s="42"/>
      <c r="C44" s="35"/>
      <c r="D44" s="50"/>
      <c r="E44" s="50"/>
      <c r="F44" s="52"/>
    </row>
    <row r="45" spans="1:6" ht="18.95" customHeight="1">
      <c r="A45" s="34"/>
      <c r="B45" s="42"/>
      <c r="C45" s="35"/>
      <c r="D45" s="50"/>
      <c r="E45" s="50"/>
      <c r="F45" s="52"/>
    </row>
    <row r="46" spans="1:6" ht="18.95" customHeight="1">
      <c r="A46" s="34"/>
      <c r="B46" s="42"/>
      <c r="C46" s="35"/>
      <c r="D46" s="50"/>
      <c r="E46" s="50"/>
      <c r="F46" s="52"/>
    </row>
    <row r="47" spans="1:6" ht="18.95" customHeight="1">
      <c r="A47" s="34"/>
      <c r="B47" s="42"/>
      <c r="C47" s="35"/>
      <c r="D47" s="50"/>
      <c r="E47" s="50"/>
      <c r="F47" s="52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9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57"/>
  <sheetViews>
    <sheetView topLeftCell="A22" zoomScaleNormal="100" workbookViewId="0">
      <selection activeCell="C47" sqref="C47"/>
    </sheetView>
  </sheetViews>
  <sheetFormatPr defaultColWidth="9" defaultRowHeight="12.75"/>
  <cols>
    <col min="1" max="1" width="6" style="33" customWidth="1"/>
    <col min="2" max="2" width="38.33203125" style="33" customWidth="1"/>
    <col min="3" max="4" width="13.6640625" style="33" customWidth="1"/>
    <col min="5" max="5" width="16.109375" style="33" customWidth="1"/>
    <col min="6" max="6" width="15.109375" style="33" customWidth="1"/>
    <col min="7" max="7" width="13.6640625" style="33" customWidth="1"/>
    <col min="8" max="8" width="1.6640625" style="33" customWidth="1"/>
    <col min="9" max="16384" width="9" style="33"/>
  </cols>
  <sheetData>
    <row r="1" spans="1:7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  <c r="G1" s="494"/>
    </row>
    <row r="2" spans="1:7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  <c r="G2" s="494"/>
    </row>
    <row r="3" spans="1:7" s="32" customFormat="1" ht="20.100000000000001" customHeight="1">
      <c r="A3" s="494" t="s">
        <v>122</v>
      </c>
      <c r="B3" s="494"/>
      <c r="C3" s="494"/>
      <c r="D3" s="494"/>
      <c r="E3" s="494"/>
      <c r="F3" s="494"/>
      <c r="G3" s="494"/>
    </row>
    <row r="4" spans="1:7" s="32" customFormat="1" ht="20.100000000000001" customHeight="1">
      <c r="A4" s="494" t="str">
        <f>'Rate Case Constants'!C12</f>
        <v>AS OF FEBRUARY 28, 2017</v>
      </c>
      <c r="B4" s="494"/>
      <c r="C4" s="494"/>
      <c r="D4" s="494"/>
      <c r="E4" s="494"/>
      <c r="F4" s="494"/>
      <c r="G4" s="494"/>
    </row>
    <row r="5" spans="1:7" s="32" customFormat="1" ht="20.100000000000001" customHeight="1">
      <c r="A5" s="48"/>
      <c r="B5" s="48"/>
      <c r="C5" s="48"/>
      <c r="D5" s="48"/>
      <c r="E5" s="48"/>
      <c r="F5" s="48"/>
      <c r="G5" s="48"/>
    </row>
    <row r="6" spans="1:7" s="32" customFormat="1" ht="20.100000000000001" customHeight="1">
      <c r="A6" s="31" t="s">
        <v>31</v>
      </c>
      <c r="F6" s="38"/>
      <c r="G6" s="38" t="s">
        <v>121</v>
      </c>
    </row>
    <row r="7" spans="1:7" s="32" customFormat="1" ht="20.100000000000001" customHeight="1">
      <c r="A7" s="32" t="str">
        <f>'Rate Case Constants'!C29</f>
        <v>TYPE OF FILING: __X__ ORIGINAL  _____ UPDATED  _____ REVISED</v>
      </c>
      <c r="F7" s="38"/>
      <c r="G7" s="38" t="s">
        <v>64</v>
      </c>
    </row>
    <row r="8" spans="1:7" s="32" customFormat="1" ht="20.100000000000001" customHeight="1">
      <c r="A8" s="31" t="s">
        <v>151</v>
      </c>
      <c r="E8" s="31"/>
      <c r="F8" s="39"/>
      <c r="G8" s="39" t="str">
        <f>'Rate Case Constants'!C36</f>
        <v>WITNESS:   C. M. GARRETT</v>
      </c>
    </row>
    <row r="9" spans="1:7" s="32" customFormat="1" ht="20.100000000000001" customHeight="1"/>
    <row r="10" spans="1:7" ht="58.5" customHeight="1">
      <c r="A10" s="40" t="s">
        <v>29</v>
      </c>
      <c r="B10" s="43" t="s">
        <v>123</v>
      </c>
      <c r="C10" s="40" t="s">
        <v>110</v>
      </c>
      <c r="D10" s="40" t="s">
        <v>111</v>
      </c>
      <c r="E10" s="40" t="s">
        <v>112</v>
      </c>
      <c r="F10" s="40" t="s">
        <v>113</v>
      </c>
      <c r="G10" s="40" t="s">
        <v>114</v>
      </c>
    </row>
    <row r="11" spans="1:7" ht="23.1" customHeight="1">
      <c r="A11" s="44"/>
      <c r="B11" s="45"/>
      <c r="C11" s="46" t="s">
        <v>40</v>
      </c>
      <c r="D11" s="46"/>
      <c r="E11" s="46" t="s">
        <v>40</v>
      </c>
      <c r="F11" s="46" t="s">
        <v>40</v>
      </c>
      <c r="G11" s="46" t="s">
        <v>40</v>
      </c>
    </row>
    <row r="12" spans="1:7" ht="23.1" customHeight="1">
      <c r="A12" s="37"/>
      <c r="B12" s="64" t="s">
        <v>626</v>
      </c>
      <c r="C12" s="58"/>
      <c r="D12" s="58"/>
      <c r="E12" s="58"/>
      <c r="F12" s="58"/>
      <c r="G12" s="58"/>
    </row>
    <row r="13" spans="1:7" ht="18.95" customHeight="1">
      <c r="A13" s="34">
        <v>1</v>
      </c>
      <c r="B13" s="42" t="s">
        <v>118</v>
      </c>
      <c r="C13" s="50">
        <f>'SCH B-2.1 B'!D16</f>
        <v>387.49</v>
      </c>
      <c r="D13" s="62">
        <f>E13/C13</f>
        <v>1</v>
      </c>
      <c r="E13" s="50">
        <f>'SCH B-2.1 B'!F16</f>
        <v>387.49</v>
      </c>
      <c r="F13" s="50">
        <f>'SCH B-2.1 B'!G16</f>
        <v>0</v>
      </c>
      <c r="G13" s="52">
        <f t="shared" ref="G13" si="0">SUM(E13:F13)</f>
        <v>387.49</v>
      </c>
    </row>
    <row r="14" spans="1:7" ht="18.95" customHeight="1">
      <c r="A14" s="34"/>
      <c r="B14" s="42"/>
      <c r="C14" s="50"/>
      <c r="D14" s="62"/>
      <c r="E14" s="50"/>
      <c r="F14" s="50"/>
      <c r="G14" s="50"/>
    </row>
    <row r="15" spans="1:7" ht="18.95" customHeight="1">
      <c r="A15" s="34">
        <v>2</v>
      </c>
      <c r="B15" s="42" t="s">
        <v>623</v>
      </c>
      <c r="C15" s="50">
        <v>0</v>
      </c>
      <c r="D15" s="62">
        <v>1</v>
      </c>
      <c r="E15" s="50">
        <v>0</v>
      </c>
      <c r="F15" s="50">
        <v>0</v>
      </c>
      <c r="G15" s="52">
        <f t="shared" ref="G15" si="1">SUM(E15:F15)</f>
        <v>0</v>
      </c>
    </row>
    <row r="16" spans="1:7" ht="18.95" customHeight="1">
      <c r="A16" s="34"/>
      <c r="B16" s="42"/>
      <c r="C16" s="50"/>
      <c r="D16" s="50"/>
      <c r="E16" s="50"/>
      <c r="F16" s="50"/>
      <c r="G16" s="50"/>
    </row>
    <row r="17" spans="1:7" ht="18.95" customHeight="1">
      <c r="A17" s="34">
        <v>3</v>
      </c>
      <c r="B17" s="42" t="s">
        <v>624</v>
      </c>
      <c r="C17" s="50">
        <f>'SCH B-2.1 B'!D31</f>
        <v>162668519.32999989</v>
      </c>
      <c r="D17" s="62">
        <f>E17/C17</f>
        <v>1</v>
      </c>
      <c r="E17" s="50">
        <f>'SCH B-2.1 B'!F31</f>
        <v>162668519.32999989</v>
      </c>
      <c r="F17" s="50">
        <f>'SCH B-2.1 B'!G31</f>
        <v>-4432697.84</v>
      </c>
      <c r="G17" s="52">
        <f t="shared" ref="G17" si="2">SUM(E17:F17)</f>
        <v>158235821.48999989</v>
      </c>
    </row>
    <row r="18" spans="1:7" ht="18.95" customHeight="1">
      <c r="A18" s="34"/>
      <c r="B18" s="42"/>
      <c r="C18" s="50"/>
      <c r="D18" s="50"/>
      <c r="E18" s="50"/>
      <c r="F18" s="50"/>
      <c r="G18" s="50"/>
    </row>
    <row r="19" spans="1:7" ht="18.95" customHeight="1">
      <c r="A19" s="34">
        <v>4</v>
      </c>
      <c r="B19" s="42" t="s">
        <v>116</v>
      </c>
      <c r="C19" s="50">
        <f>'SCH B-2.1 B'!D37</f>
        <v>55450621.980000004</v>
      </c>
      <c r="D19" s="62">
        <f>E19/C19</f>
        <v>1</v>
      </c>
      <c r="E19" s="50">
        <f>'SCH B-2.1 B'!F37</f>
        <v>55450621.980000004</v>
      </c>
      <c r="F19" s="50">
        <f>'SCH B-2.1 B'!G37</f>
        <v>-2332004.91</v>
      </c>
      <c r="G19" s="52">
        <f t="shared" ref="G19" si="3">SUM(E19:F19)</f>
        <v>53118617.070000008</v>
      </c>
    </row>
    <row r="20" spans="1:7" ht="18.95" customHeight="1">
      <c r="A20" s="34"/>
      <c r="B20" s="42"/>
      <c r="C20" s="50"/>
      <c r="D20" s="50"/>
      <c r="E20" s="50"/>
      <c r="F20" s="50"/>
      <c r="G20" s="50"/>
    </row>
    <row r="21" spans="1:7" ht="18.95" customHeight="1">
      <c r="A21" s="34">
        <v>5</v>
      </c>
      <c r="B21" s="42" t="s">
        <v>125</v>
      </c>
      <c r="C21" s="50">
        <f>'SCH B-2.1 B'!D63</f>
        <v>904329327.91999996</v>
      </c>
      <c r="D21" s="62">
        <f>E21/C21</f>
        <v>1</v>
      </c>
      <c r="E21" s="50">
        <f>'SCH B-2.1 B'!F63</f>
        <v>904329327.91999996</v>
      </c>
      <c r="F21" s="50">
        <f>'SCH B-2.1 B'!G63</f>
        <v>-238040146.66999987</v>
      </c>
      <c r="G21" s="52">
        <f t="shared" ref="G21" si="4">SUM(E21:F21)</f>
        <v>666289181.25000012</v>
      </c>
    </row>
    <row r="22" spans="1:7" ht="18.95" customHeight="1">
      <c r="A22" s="34"/>
      <c r="B22" s="42"/>
      <c r="C22" s="50"/>
      <c r="D22" s="50"/>
      <c r="E22" s="50"/>
      <c r="F22" s="50"/>
      <c r="G22" s="50"/>
    </row>
    <row r="23" spans="1:7" ht="18.95" customHeight="1">
      <c r="A23" s="34">
        <v>6</v>
      </c>
      <c r="B23" s="42" t="s">
        <v>126</v>
      </c>
      <c r="C23" s="50">
        <f>'SCH B-2.1 B'!D76</f>
        <v>12592695.15</v>
      </c>
      <c r="D23" s="62">
        <f>E23/C23</f>
        <v>1</v>
      </c>
      <c r="E23" s="50">
        <f>'SCH B-2.1 B'!F76</f>
        <v>12592695.15</v>
      </c>
      <c r="F23" s="50">
        <f>'SCH B-2.1 B'!G76</f>
        <v>0</v>
      </c>
      <c r="G23" s="52">
        <f t="shared" ref="G23" si="5">SUM(E23:F23)</f>
        <v>12592695.15</v>
      </c>
    </row>
    <row r="24" spans="1:7" ht="18.95" customHeight="1">
      <c r="A24" s="34"/>
      <c r="B24" s="42"/>
      <c r="C24" s="50"/>
      <c r="D24" s="50"/>
      <c r="E24" s="50"/>
      <c r="F24" s="50"/>
      <c r="G24" s="50"/>
    </row>
    <row r="25" spans="1:7" ht="18.95" customHeight="1">
      <c r="A25" s="34">
        <v>7</v>
      </c>
      <c r="B25" s="42" t="s">
        <v>503</v>
      </c>
      <c r="C25" s="63">
        <f>'SCH B-2.1 B'!D104</f>
        <v>82160007.839999974</v>
      </c>
      <c r="D25" s="62">
        <f>E25/C25</f>
        <v>1</v>
      </c>
      <c r="E25" s="63">
        <f>'SCH B-2.1 B'!F104</f>
        <v>82160007.839999974</v>
      </c>
      <c r="F25" s="63">
        <f>'SCH B-2.1 B'!G104</f>
        <v>0</v>
      </c>
      <c r="G25" s="53">
        <f t="shared" ref="G25" si="6">SUM(E25:F25)</f>
        <v>82160007.839999974</v>
      </c>
    </row>
    <row r="26" spans="1:7" ht="18.95" customHeight="1">
      <c r="A26" s="34"/>
      <c r="B26" s="42"/>
      <c r="C26" s="50"/>
      <c r="D26" s="50"/>
      <c r="E26" s="50"/>
      <c r="F26" s="50"/>
      <c r="G26" s="50"/>
    </row>
    <row r="27" spans="1:7" ht="18.95" customHeight="1" thickBot="1">
      <c r="A27" s="34">
        <v>8</v>
      </c>
      <c r="B27" s="42" t="s">
        <v>625</v>
      </c>
      <c r="C27" s="57">
        <f>SUM(C13:C25)</f>
        <v>1217201559.7099998</v>
      </c>
      <c r="D27" s="50"/>
      <c r="E27" s="57">
        <f>SUM(E13:E25)</f>
        <v>1217201559.7099998</v>
      </c>
      <c r="F27" s="57">
        <f>SUM(F13:F25)</f>
        <v>-244804849.41999987</v>
      </c>
      <c r="G27" s="57">
        <f>SUM(G13:G25)</f>
        <v>972396710.28999996</v>
      </c>
    </row>
    <row r="28" spans="1:7" ht="18.95" customHeight="1" thickTop="1">
      <c r="A28" s="34"/>
      <c r="B28" s="42"/>
      <c r="C28" s="50"/>
      <c r="D28" s="50"/>
      <c r="E28" s="50"/>
      <c r="F28" s="50"/>
      <c r="G28" s="50"/>
    </row>
    <row r="29" spans="1:7" s="32" customFormat="1" ht="20.100000000000001" customHeight="1">
      <c r="A29" s="494" t="str">
        <f>$A$1</f>
        <v>LOUISVILLE GAS AND ELECTRIC COMPANY</v>
      </c>
      <c r="B29" s="494"/>
      <c r="C29" s="494"/>
      <c r="D29" s="494"/>
      <c r="E29" s="494"/>
      <c r="F29" s="494"/>
      <c r="G29" s="494"/>
    </row>
    <row r="30" spans="1:7" s="32" customFormat="1" ht="20.100000000000001" customHeight="1">
      <c r="A30" s="494" t="str">
        <f>$A$2</f>
        <v>CASE NO. 2016-00371 - GAS OPERATIONS</v>
      </c>
      <c r="B30" s="494"/>
      <c r="C30" s="494"/>
      <c r="D30" s="494"/>
      <c r="E30" s="494"/>
      <c r="F30" s="494"/>
      <c r="G30" s="494"/>
    </row>
    <row r="31" spans="1:7" s="32" customFormat="1" ht="20.100000000000001" customHeight="1">
      <c r="A31" s="494" t="str">
        <f>$A$3</f>
        <v>PLANT IN SERVICE BY MAJOR PROPERTY GROUPING</v>
      </c>
      <c r="B31" s="494"/>
      <c r="C31" s="494"/>
      <c r="D31" s="494"/>
      <c r="E31" s="494"/>
      <c r="F31" s="494"/>
      <c r="G31" s="494"/>
    </row>
    <row r="32" spans="1:7" s="32" customFormat="1" ht="20.100000000000001" customHeight="1">
      <c r="A32" s="493" t="str">
        <f>'Rate Case Constants'!C18</f>
        <v>AS OF JUNE 30, 2018</v>
      </c>
      <c r="B32" s="494"/>
      <c r="C32" s="494"/>
      <c r="D32" s="494"/>
      <c r="E32" s="494"/>
      <c r="F32" s="494"/>
      <c r="G32" s="494"/>
    </row>
    <row r="33" spans="1:7" s="32" customFormat="1" ht="20.100000000000001" customHeight="1">
      <c r="A33" s="48"/>
      <c r="B33" s="48"/>
      <c r="C33" s="48"/>
      <c r="D33" s="48"/>
      <c r="E33" s="48"/>
      <c r="F33" s="48"/>
      <c r="G33" s="48"/>
    </row>
    <row r="34" spans="1:7" s="32" customFormat="1" ht="20.100000000000001" customHeight="1">
      <c r="A34" s="31" t="s">
        <v>48</v>
      </c>
      <c r="F34" s="38"/>
      <c r="G34" s="38" t="s">
        <v>121</v>
      </c>
    </row>
    <row r="35" spans="1:7" s="32" customFormat="1" ht="20.100000000000001" customHeight="1">
      <c r="A35" s="31" t="str">
        <f>$A$7</f>
        <v>TYPE OF FILING: __X__ ORIGINAL  _____ UPDATED  _____ REVISED</v>
      </c>
      <c r="F35" s="38"/>
      <c r="G35" s="38" t="s">
        <v>72</v>
      </c>
    </row>
    <row r="36" spans="1:7" s="32" customFormat="1" ht="20.100000000000001" customHeight="1">
      <c r="A36" s="31" t="str">
        <f>$A$8</f>
        <v>WORKPAPER REFERENCE NO(S).:</v>
      </c>
      <c r="E36" s="31"/>
      <c r="F36" s="39"/>
      <c r="G36" s="39" t="str">
        <f>$G$8</f>
        <v>WITNESS:   C. M. GARRETT</v>
      </c>
    </row>
    <row r="37" spans="1:7" s="32" customFormat="1" ht="20.100000000000001" customHeight="1"/>
    <row r="38" spans="1:7" ht="84.95" customHeight="1">
      <c r="A38" s="40" t="s">
        <v>29</v>
      </c>
      <c r="B38" s="43" t="s">
        <v>109</v>
      </c>
      <c r="C38" s="40" t="s">
        <v>124</v>
      </c>
      <c r="D38" s="40" t="s">
        <v>111</v>
      </c>
      <c r="E38" s="40" t="s">
        <v>112</v>
      </c>
      <c r="F38" s="40" t="s">
        <v>113</v>
      </c>
      <c r="G38" s="40" t="s">
        <v>127</v>
      </c>
    </row>
    <row r="39" spans="1:7" ht="23.1" customHeight="1">
      <c r="A39" s="44"/>
      <c r="B39" s="45"/>
      <c r="C39" s="46" t="s">
        <v>40</v>
      </c>
      <c r="D39" s="46"/>
      <c r="E39" s="46" t="s">
        <v>40</v>
      </c>
      <c r="F39" s="46" t="s">
        <v>40</v>
      </c>
      <c r="G39" s="46" t="s">
        <v>40</v>
      </c>
    </row>
    <row r="40" spans="1:7" ht="23.1" customHeight="1">
      <c r="A40" s="37"/>
      <c r="B40" s="64" t="s">
        <v>626</v>
      </c>
      <c r="C40" s="58"/>
      <c r="D40" s="58"/>
      <c r="E40" s="58"/>
      <c r="F40" s="58"/>
      <c r="G40" s="58"/>
    </row>
    <row r="41" spans="1:7" ht="18.95" customHeight="1">
      <c r="A41" s="34">
        <v>1</v>
      </c>
      <c r="B41" s="42" t="s">
        <v>118</v>
      </c>
      <c r="C41" s="50">
        <f>'SCH B-2.1 F'!D16</f>
        <v>387.49</v>
      </c>
      <c r="D41" s="62">
        <f>E41/C41</f>
        <v>1</v>
      </c>
      <c r="E41" s="50">
        <f>'SCH B-2.1 F'!F16</f>
        <v>387.49</v>
      </c>
      <c r="F41" s="50">
        <f>'SCH B-2.1 F'!G16</f>
        <v>0</v>
      </c>
      <c r="G41" s="52">
        <f t="shared" ref="G41" si="7">SUM(E41:F41)</f>
        <v>387.49</v>
      </c>
    </row>
    <row r="42" spans="1:7" ht="18.95" customHeight="1">
      <c r="A42" s="34"/>
      <c r="B42" s="42"/>
      <c r="C42" s="50"/>
      <c r="D42" s="62"/>
      <c r="E42" s="50"/>
      <c r="F42" s="50"/>
      <c r="G42" s="50"/>
    </row>
    <row r="43" spans="1:7" ht="18.95" customHeight="1">
      <c r="A43" s="34">
        <v>2</v>
      </c>
      <c r="B43" s="42" t="s">
        <v>623</v>
      </c>
      <c r="C43" s="50">
        <v>0</v>
      </c>
      <c r="D43" s="62">
        <v>1</v>
      </c>
      <c r="E43" s="50">
        <v>0</v>
      </c>
      <c r="F43" s="50">
        <v>0</v>
      </c>
      <c r="G43" s="52">
        <f t="shared" ref="G43:G45" si="8">SUM(E43:F43)</f>
        <v>0</v>
      </c>
    </row>
    <row r="44" spans="1:7" ht="18.95" customHeight="1">
      <c r="A44" s="34"/>
      <c r="B44" s="42"/>
      <c r="C44" s="50"/>
      <c r="D44" s="50"/>
      <c r="E44" s="50"/>
      <c r="F44" s="50"/>
      <c r="G44" s="50"/>
    </row>
    <row r="45" spans="1:7" ht="18.95" customHeight="1">
      <c r="A45" s="34">
        <v>3</v>
      </c>
      <c r="B45" s="42" t="s">
        <v>624</v>
      </c>
      <c r="C45" s="50">
        <f>'SCH B-2.1 F'!D31</f>
        <v>169640895.09692311</v>
      </c>
      <c r="D45" s="62">
        <f>E45/C45</f>
        <v>1</v>
      </c>
      <c r="E45" s="50">
        <f>'SCH B-2.1 F'!F31</f>
        <v>169640895.09692311</v>
      </c>
      <c r="F45" s="50">
        <f>'SCH B-2.1 F'!G31</f>
        <v>-4432697.84</v>
      </c>
      <c r="G45" s="52">
        <f t="shared" si="8"/>
        <v>165208197.25692311</v>
      </c>
    </row>
    <row r="46" spans="1:7" ht="18.95" customHeight="1">
      <c r="A46" s="34"/>
      <c r="B46" s="42"/>
      <c r="C46" s="50"/>
      <c r="D46" s="50"/>
      <c r="E46" s="50"/>
      <c r="F46" s="50"/>
      <c r="G46" s="50"/>
    </row>
    <row r="47" spans="1:7" ht="18.95" customHeight="1">
      <c r="A47" s="34">
        <v>4</v>
      </c>
      <c r="B47" s="42" t="s">
        <v>116</v>
      </c>
      <c r="C47" s="50">
        <f>'SCH B-2.1 F'!D37</f>
        <v>55482760.83461538</v>
      </c>
      <c r="D47" s="62">
        <f>E47/C47</f>
        <v>1</v>
      </c>
      <c r="E47" s="50">
        <f>'SCH B-2.1 F'!F37</f>
        <v>55482760.83461538</v>
      </c>
      <c r="F47" s="50">
        <f>'SCH B-2.1 F'!G37</f>
        <v>-2332004.91</v>
      </c>
      <c r="G47" s="52">
        <f t="shared" ref="G47" si="9">SUM(E47:F47)</f>
        <v>53150755.924615383</v>
      </c>
    </row>
    <row r="48" spans="1:7" ht="18.95" customHeight="1">
      <c r="A48" s="34"/>
      <c r="B48" s="42"/>
      <c r="C48" s="50"/>
      <c r="D48" s="50"/>
      <c r="E48" s="50"/>
      <c r="F48" s="50"/>
      <c r="G48" s="50"/>
    </row>
    <row r="49" spans="1:7" ht="18.95" customHeight="1">
      <c r="A49" s="34">
        <v>5</v>
      </c>
      <c r="B49" s="42" t="s">
        <v>125</v>
      </c>
      <c r="C49" s="50">
        <f>'SCH B-2.1 F'!D63</f>
        <v>957808768.23538375</v>
      </c>
      <c r="D49" s="62">
        <f>E49/C49</f>
        <v>1</v>
      </c>
      <c r="E49" s="50">
        <f>'SCH B-2.1 F'!F63</f>
        <v>957808768.23538375</v>
      </c>
      <c r="F49" s="50">
        <f>'SCH B-2.1 F'!G63</f>
        <v>-31396253.593846112</v>
      </c>
      <c r="G49" s="52">
        <f t="shared" ref="G49" si="10">SUM(E49:F49)</f>
        <v>926412514.64153767</v>
      </c>
    </row>
    <row r="50" spans="1:7" ht="18.95" customHeight="1">
      <c r="A50" s="34"/>
      <c r="B50" s="42"/>
      <c r="C50" s="50"/>
      <c r="D50" s="50"/>
      <c r="E50" s="50"/>
      <c r="F50" s="50"/>
      <c r="G50" s="50"/>
    </row>
    <row r="51" spans="1:7" ht="18.95" customHeight="1">
      <c r="A51" s="34">
        <v>6</v>
      </c>
      <c r="B51" s="42" t="s">
        <v>126</v>
      </c>
      <c r="C51" s="50">
        <f>'SCH B-2.1 F'!D76</f>
        <v>13168757.011538452</v>
      </c>
      <c r="D51" s="62">
        <f>E51/C51</f>
        <v>1</v>
      </c>
      <c r="E51" s="50">
        <f>'SCH B-2.1 F'!F76</f>
        <v>13168757.011538452</v>
      </c>
      <c r="F51" s="50">
        <f>'SCH B-2.1 F'!G76</f>
        <v>0</v>
      </c>
      <c r="G51" s="52">
        <f t="shared" ref="G51" si="11">SUM(E51:F51)</f>
        <v>13168757.011538452</v>
      </c>
    </row>
    <row r="52" spans="1:7" ht="18.95" customHeight="1">
      <c r="A52" s="34"/>
      <c r="B52" s="42"/>
      <c r="C52" s="50"/>
      <c r="D52" s="50"/>
      <c r="E52" s="50"/>
      <c r="F52" s="50"/>
      <c r="G52" s="50"/>
    </row>
    <row r="53" spans="1:7" ht="18.95" customHeight="1">
      <c r="A53" s="34">
        <v>7</v>
      </c>
      <c r="B53" s="42" t="s">
        <v>503</v>
      </c>
      <c r="C53" s="63">
        <f>'SCH B-2.1 F'!D104</f>
        <v>86673008.358923018</v>
      </c>
      <c r="D53" s="62">
        <f>E53/C53</f>
        <v>1</v>
      </c>
      <c r="E53" s="63">
        <f>'SCH B-2.1 F'!F104</f>
        <v>86673008.358923018</v>
      </c>
      <c r="F53" s="63">
        <f>'SCH B-2.1 F'!G104</f>
        <v>0</v>
      </c>
      <c r="G53" s="53">
        <f t="shared" ref="G53" si="12">SUM(E53:F53)</f>
        <v>86673008.358923018</v>
      </c>
    </row>
    <row r="54" spans="1:7" ht="18.95" customHeight="1">
      <c r="A54" s="34"/>
      <c r="B54" s="42"/>
      <c r="C54" s="50"/>
      <c r="D54" s="50"/>
      <c r="E54" s="50"/>
      <c r="F54" s="50"/>
      <c r="G54" s="50"/>
    </row>
    <row r="55" spans="1:7" ht="18.95" customHeight="1" thickBot="1">
      <c r="A55" s="34">
        <v>8</v>
      </c>
      <c r="B55" s="42" t="s">
        <v>625</v>
      </c>
      <c r="C55" s="57">
        <f>SUM(C41:C53)</f>
        <v>1282774577.0273838</v>
      </c>
      <c r="D55" s="50"/>
      <c r="E55" s="57">
        <f t="shared" ref="E55:G55" si="13">SUM(E41:E53)</f>
        <v>1282774577.0273838</v>
      </c>
      <c r="F55" s="57">
        <f t="shared" si="13"/>
        <v>-38160956.343846112</v>
      </c>
      <c r="G55" s="57">
        <f t="shared" si="13"/>
        <v>1244613620.6835377</v>
      </c>
    </row>
    <row r="56" spans="1:7" ht="18.95" customHeight="1" thickTop="1"/>
    <row r="57" spans="1:7" ht="18.95" customHeight="1"/>
  </sheetData>
  <mergeCells count="8">
    <mergeCell ref="A29:G29"/>
    <mergeCell ref="A30:G30"/>
    <mergeCell ref="A31:G31"/>
    <mergeCell ref="A32:G32"/>
    <mergeCell ref="A1:G1"/>
    <mergeCell ref="A2:G2"/>
    <mergeCell ref="A3:G3"/>
    <mergeCell ref="A4:G4"/>
  </mergeCells>
  <pageMargins left="0.95" right="0.5" top="0.75" bottom="0.75" header="0.3" footer="0.3"/>
  <pageSetup scale="71" fitToHeight="0" orientation="portrait" r:id="rId1"/>
  <rowBreaks count="1" manualBreakCount="1">
    <brk id="2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1:H124"/>
  <sheetViews>
    <sheetView topLeftCell="A88" zoomScaleNormal="100" workbookViewId="0">
      <selection activeCell="B107" sqref="B107"/>
    </sheetView>
  </sheetViews>
  <sheetFormatPr defaultColWidth="9" defaultRowHeight="12.75"/>
  <cols>
    <col min="1" max="1" width="6" style="33" customWidth="1"/>
    <col min="2" max="2" width="11.109375" style="33" customWidth="1"/>
    <col min="3" max="3" width="38.33203125" style="33" customWidth="1"/>
    <col min="4" max="5" width="13.6640625" style="33" customWidth="1"/>
    <col min="6" max="6" width="16.109375" style="33" customWidth="1"/>
    <col min="7" max="7" width="15.109375" style="33" customWidth="1"/>
    <col min="8" max="8" width="13.6640625" style="33" customWidth="1"/>
    <col min="9" max="9" width="1.6640625" style="33" customWidth="1"/>
    <col min="10" max="16384" width="9" style="33"/>
  </cols>
  <sheetData>
    <row r="1" spans="1:8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  <c r="G1" s="494"/>
      <c r="H1" s="494"/>
    </row>
    <row r="2" spans="1:8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  <c r="G2" s="494"/>
      <c r="H2" s="494"/>
    </row>
    <row r="3" spans="1:8" s="32" customFormat="1" ht="20.100000000000001" customHeight="1">
      <c r="A3" s="494" t="s">
        <v>108</v>
      </c>
      <c r="B3" s="494"/>
      <c r="C3" s="494"/>
      <c r="D3" s="494"/>
      <c r="E3" s="494"/>
      <c r="F3" s="494"/>
      <c r="G3" s="494"/>
      <c r="H3" s="494"/>
    </row>
    <row r="4" spans="1:8" s="32" customFormat="1" ht="20.100000000000001" customHeight="1">
      <c r="A4" s="494" t="str">
        <f>'Rate Case Constants'!C12</f>
        <v>AS OF FEBRUARY 28, 2017</v>
      </c>
      <c r="B4" s="494"/>
      <c r="C4" s="494"/>
      <c r="D4" s="494"/>
      <c r="E4" s="494"/>
      <c r="F4" s="494"/>
      <c r="G4" s="494"/>
      <c r="H4" s="494"/>
    </row>
    <row r="5" spans="1:8" s="32" customFormat="1" ht="20.100000000000001" customHeight="1">
      <c r="A5" s="48"/>
      <c r="B5" s="48"/>
      <c r="C5" s="48"/>
      <c r="D5" s="48"/>
      <c r="E5" s="48"/>
      <c r="F5" s="48"/>
      <c r="G5" s="48"/>
      <c r="H5" s="48"/>
    </row>
    <row r="6" spans="1:8" s="32" customFormat="1" ht="20.100000000000001" customHeight="1">
      <c r="A6" s="31" t="s">
        <v>31</v>
      </c>
      <c r="B6" s="31"/>
      <c r="G6" s="38"/>
      <c r="H6" s="38" t="s">
        <v>115</v>
      </c>
    </row>
    <row r="7" spans="1:8" s="32" customFormat="1" ht="20.100000000000001" customHeight="1">
      <c r="A7" s="32" t="str">
        <f>'Rate Case Constants'!C29</f>
        <v>TYPE OF FILING: __X__ ORIGINAL  _____ UPDATED  _____ REVISED</v>
      </c>
      <c r="G7" s="38"/>
      <c r="H7" s="38" t="s">
        <v>60</v>
      </c>
    </row>
    <row r="8" spans="1:8" s="32" customFormat="1" ht="20.100000000000001" customHeight="1">
      <c r="A8" s="31" t="s">
        <v>259</v>
      </c>
      <c r="B8" s="31"/>
      <c r="F8" s="31"/>
      <c r="G8" s="39"/>
      <c r="H8" s="39" t="str">
        <f>'Rate Case Constants'!C36</f>
        <v>WITNESS:   C. M. GARRETT</v>
      </c>
    </row>
    <row r="9" spans="1:8" s="32" customFormat="1" ht="20.100000000000001" customHeight="1"/>
    <row r="10" spans="1:8" ht="58.5" customHeight="1">
      <c r="A10" s="40" t="s">
        <v>29</v>
      </c>
      <c r="B10" s="40" t="s">
        <v>32</v>
      </c>
      <c r="C10" s="43" t="s">
        <v>109</v>
      </c>
      <c r="D10" s="40" t="s">
        <v>110</v>
      </c>
      <c r="E10" s="40" t="s">
        <v>111</v>
      </c>
      <c r="F10" s="40" t="s">
        <v>112</v>
      </c>
      <c r="G10" s="40" t="s">
        <v>113</v>
      </c>
      <c r="H10" s="40" t="s">
        <v>114</v>
      </c>
    </row>
    <row r="11" spans="1:8" ht="23.1" customHeight="1">
      <c r="A11" s="44"/>
      <c r="B11" s="44"/>
      <c r="C11" s="45"/>
      <c r="D11" s="46" t="s">
        <v>40</v>
      </c>
      <c r="E11" s="131">
        <v>1</v>
      </c>
      <c r="F11" s="46" t="s">
        <v>40</v>
      </c>
      <c r="G11" s="46" t="s">
        <v>40</v>
      </c>
      <c r="H11" s="46" t="s">
        <v>40</v>
      </c>
    </row>
    <row r="12" spans="1:8" ht="23.1" customHeight="1">
      <c r="A12" s="37">
        <v>1</v>
      </c>
      <c r="B12" s="37"/>
      <c r="C12" s="49" t="s">
        <v>571</v>
      </c>
      <c r="D12" s="41"/>
      <c r="E12" s="41"/>
      <c r="F12" s="41"/>
      <c r="G12" s="41"/>
      <c r="H12" s="41"/>
    </row>
    <row r="13" spans="1:8" ht="18.95" customHeight="1">
      <c r="A13" s="34">
        <f>A12+1</f>
        <v>2</v>
      </c>
      <c r="B13" s="35" t="s">
        <v>411</v>
      </c>
      <c r="C13" s="42" t="s">
        <v>412</v>
      </c>
      <c r="D13" s="50">
        <f>'SCH B-2.3 B'!H13</f>
        <v>0</v>
      </c>
      <c r="E13" s="62"/>
      <c r="F13" s="50">
        <f>D13</f>
        <v>0</v>
      </c>
      <c r="G13" s="50">
        <v>0</v>
      </c>
      <c r="H13" s="50">
        <f>SUM(F13:G13)</f>
        <v>0</v>
      </c>
    </row>
    <row r="14" spans="1:8" ht="18.95" customHeight="1">
      <c r="A14" s="34">
        <f t="shared" ref="A14:A16" si="0">A13+1</f>
        <v>3</v>
      </c>
      <c r="B14" s="35" t="s">
        <v>413</v>
      </c>
      <c r="C14" s="42" t="s">
        <v>414</v>
      </c>
      <c r="D14" s="50">
        <f>'SCH B-2.3 B'!H14</f>
        <v>387.49</v>
      </c>
      <c r="E14" s="62"/>
      <c r="F14" s="52">
        <f t="shared" ref="F14:F15" si="1">D14</f>
        <v>387.49</v>
      </c>
      <c r="G14" s="51">
        <v>0</v>
      </c>
      <c r="H14" s="52">
        <f t="shared" ref="H14:H15" si="2">SUM(F14:G14)</f>
        <v>387.49</v>
      </c>
    </row>
    <row r="15" spans="1:8" ht="18.95" customHeight="1">
      <c r="A15" s="34">
        <f t="shared" si="0"/>
        <v>4</v>
      </c>
      <c r="B15" s="35" t="s">
        <v>415</v>
      </c>
      <c r="C15" s="42" t="s">
        <v>416</v>
      </c>
      <c r="D15" s="53">
        <f>'SCH B-2.3 B'!H15</f>
        <v>0</v>
      </c>
      <c r="E15" s="62"/>
      <c r="F15" s="53">
        <f t="shared" si="1"/>
        <v>0</v>
      </c>
      <c r="G15" s="53">
        <v>0</v>
      </c>
      <c r="H15" s="53">
        <f t="shared" si="2"/>
        <v>0</v>
      </c>
    </row>
    <row r="16" spans="1:8" ht="18.95" customHeight="1">
      <c r="A16" s="34">
        <f t="shared" si="0"/>
        <v>5</v>
      </c>
      <c r="B16" s="34"/>
      <c r="C16" s="42" t="s">
        <v>41</v>
      </c>
      <c r="D16" s="50">
        <f>SUM(D13:D15)</f>
        <v>387.49</v>
      </c>
      <c r="E16" s="50"/>
      <c r="F16" s="50">
        <f>SUM(F13:F15)</f>
        <v>387.49</v>
      </c>
      <c r="G16" s="50">
        <f>SUM(G13:G15)</f>
        <v>0</v>
      </c>
      <c r="H16" s="50">
        <f>SUM(H13:H15)</f>
        <v>387.49</v>
      </c>
    </row>
    <row r="17" spans="1:8" ht="18.95" customHeight="1">
      <c r="A17" s="34"/>
      <c r="B17" s="34"/>
      <c r="D17" s="36"/>
      <c r="E17" s="36"/>
      <c r="F17" s="36"/>
      <c r="G17" s="36"/>
      <c r="H17" s="36"/>
    </row>
    <row r="18" spans="1:8" ht="18.95" customHeight="1">
      <c r="A18" s="34">
        <f>A16+1</f>
        <v>6</v>
      </c>
      <c r="B18" s="34"/>
      <c r="C18" s="54" t="s">
        <v>572</v>
      </c>
      <c r="D18" s="36"/>
      <c r="E18" s="36"/>
      <c r="F18" s="36"/>
      <c r="G18" s="36"/>
      <c r="H18" s="36"/>
    </row>
    <row r="19" spans="1:8" ht="18.95" customHeight="1">
      <c r="A19" s="34">
        <f t="shared" ref="A19:A44" si="3">A18+1</f>
        <v>7</v>
      </c>
      <c r="B19" s="35">
        <v>350</v>
      </c>
      <c r="C19" s="42" t="s">
        <v>43</v>
      </c>
      <c r="D19" s="52">
        <f>'SCH B-2.3 B'!H19</f>
        <v>134076.56</v>
      </c>
      <c r="E19" s="62"/>
      <c r="F19" s="52">
        <f t="shared" ref="F19" si="4">D19</f>
        <v>134076.56</v>
      </c>
      <c r="G19" s="52">
        <v>0</v>
      </c>
      <c r="H19" s="52">
        <f t="shared" ref="H19" si="5">SUM(F19:G19)</f>
        <v>134076.56</v>
      </c>
    </row>
    <row r="20" spans="1:8" ht="18" customHeight="1">
      <c r="A20" s="34">
        <f t="shared" si="3"/>
        <v>8</v>
      </c>
      <c r="B20" s="35">
        <v>351</v>
      </c>
      <c r="C20" s="42" t="s">
        <v>42</v>
      </c>
      <c r="D20" s="52">
        <f>'SCH B-2.3 B'!H20</f>
        <v>15767126.41</v>
      </c>
      <c r="E20" s="62"/>
      <c r="F20" s="52">
        <f t="shared" ref="F20:F30" si="6">D20</f>
        <v>15767126.41</v>
      </c>
      <c r="G20" s="52">
        <v>0</v>
      </c>
      <c r="H20" s="52">
        <f t="shared" ref="H20:H30" si="7">SUM(F20:G20)</f>
        <v>15767126.41</v>
      </c>
    </row>
    <row r="21" spans="1:8" ht="18.95" customHeight="1">
      <c r="A21" s="34">
        <f t="shared" si="3"/>
        <v>9</v>
      </c>
      <c r="B21" s="35">
        <v>352</v>
      </c>
      <c r="C21" s="42" t="s">
        <v>597</v>
      </c>
      <c r="D21" s="52">
        <f>'SCH B-2.3 B'!H21</f>
        <v>20145663.3699999</v>
      </c>
      <c r="E21" s="62"/>
      <c r="F21" s="52">
        <f t="shared" si="6"/>
        <v>20145663.3699999</v>
      </c>
      <c r="G21" s="52">
        <v>0</v>
      </c>
      <c r="H21" s="52">
        <f t="shared" si="7"/>
        <v>20145663.3699999</v>
      </c>
    </row>
    <row r="22" spans="1:8" ht="18.95" customHeight="1">
      <c r="A22" s="34">
        <f t="shared" si="3"/>
        <v>10</v>
      </c>
      <c r="B22" s="35">
        <v>352.1</v>
      </c>
      <c r="C22" s="42" t="s">
        <v>598</v>
      </c>
      <c r="D22" s="52">
        <f>'SCH B-2.3 B'!H22</f>
        <v>548241.14</v>
      </c>
      <c r="E22" s="62"/>
      <c r="F22" s="52">
        <f t="shared" si="6"/>
        <v>548241.14</v>
      </c>
      <c r="G22" s="52">
        <v>0</v>
      </c>
      <c r="H22" s="52">
        <f t="shared" si="7"/>
        <v>548241.14</v>
      </c>
    </row>
    <row r="23" spans="1:8" ht="18.95" customHeight="1">
      <c r="A23" s="34">
        <f t="shared" si="3"/>
        <v>11</v>
      </c>
      <c r="B23" s="35">
        <v>352.2</v>
      </c>
      <c r="C23" s="42" t="s">
        <v>599</v>
      </c>
      <c r="D23" s="52">
        <f>'SCH B-2.3 B'!H23</f>
        <v>400511.39999999997</v>
      </c>
      <c r="E23" s="62"/>
      <c r="F23" s="52">
        <f t="shared" si="6"/>
        <v>400511.39999999997</v>
      </c>
      <c r="G23" s="52">
        <v>0</v>
      </c>
      <c r="H23" s="52">
        <f t="shared" si="7"/>
        <v>400511.39999999997</v>
      </c>
    </row>
    <row r="24" spans="1:8" ht="18.95" customHeight="1">
      <c r="A24" s="34">
        <f t="shared" si="3"/>
        <v>12</v>
      </c>
      <c r="B24" s="35" t="s">
        <v>1104</v>
      </c>
      <c r="C24" s="42" t="s">
        <v>600</v>
      </c>
      <c r="D24" s="52">
        <f>'SCH B-2.3 B'!H24</f>
        <v>11788845</v>
      </c>
      <c r="E24" s="62"/>
      <c r="F24" s="52">
        <f t="shared" si="6"/>
        <v>11788845</v>
      </c>
      <c r="G24" s="52">
        <v>0</v>
      </c>
      <c r="H24" s="52">
        <f t="shared" si="7"/>
        <v>11788845</v>
      </c>
    </row>
    <row r="25" spans="1:8" ht="18.95" customHeight="1">
      <c r="A25" s="34">
        <f t="shared" si="3"/>
        <v>13</v>
      </c>
      <c r="B25" s="35">
        <v>353</v>
      </c>
      <c r="C25" s="42" t="s">
        <v>601</v>
      </c>
      <c r="D25" s="52">
        <f>'SCH B-2.3 B'!H25</f>
        <v>23080886.600000001</v>
      </c>
      <c r="E25" s="62"/>
      <c r="F25" s="52">
        <f t="shared" si="6"/>
        <v>23080886.600000001</v>
      </c>
      <c r="G25" s="52">
        <v>0</v>
      </c>
      <c r="H25" s="52">
        <f t="shared" si="7"/>
        <v>23080886.600000001</v>
      </c>
    </row>
    <row r="26" spans="1:8" ht="18.95" customHeight="1">
      <c r="A26" s="34">
        <f t="shared" si="3"/>
        <v>14</v>
      </c>
      <c r="B26" s="35">
        <v>354</v>
      </c>
      <c r="C26" s="42" t="s">
        <v>602</v>
      </c>
      <c r="D26" s="52">
        <f>'SCH B-2.3 B'!H26</f>
        <v>56444455.789999999</v>
      </c>
      <c r="E26" s="62"/>
      <c r="F26" s="52">
        <f t="shared" si="6"/>
        <v>56444455.789999999</v>
      </c>
      <c r="G26" s="52">
        <v>0</v>
      </c>
      <c r="H26" s="52">
        <f t="shared" si="7"/>
        <v>56444455.789999999</v>
      </c>
    </row>
    <row r="27" spans="1:8" ht="18.95" customHeight="1">
      <c r="A27" s="34">
        <f t="shared" si="3"/>
        <v>15</v>
      </c>
      <c r="B27" s="35">
        <v>355</v>
      </c>
      <c r="C27" s="42" t="s">
        <v>603</v>
      </c>
      <c r="D27" s="52">
        <f>'SCH B-2.3 B'!H27</f>
        <v>2274976.42</v>
      </c>
      <c r="E27" s="62"/>
      <c r="F27" s="52">
        <f t="shared" si="6"/>
        <v>2274976.42</v>
      </c>
      <c r="G27" s="52">
        <v>0</v>
      </c>
      <c r="H27" s="52">
        <f t="shared" si="7"/>
        <v>2274976.42</v>
      </c>
    </row>
    <row r="28" spans="1:8" ht="18.95" customHeight="1">
      <c r="A28" s="34">
        <f t="shared" si="3"/>
        <v>16</v>
      </c>
      <c r="B28" s="35">
        <v>356</v>
      </c>
      <c r="C28" s="42" t="s">
        <v>604</v>
      </c>
      <c r="D28" s="52">
        <f>'SCH B-2.3 B'!H28</f>
        <v>23009251.41</v>
      </c>
      <c r="F28" s="52">
        <f t="shared" si="6"/>
        <v>23009251.41</v>
      </c>
      <c r="G28" s="52">
        <v>0</v>
      </c>
      <c r="H28" s="52">
        <f t="shared" si="7"/>
        <v>23009251.41</v>
      </c>
    </row>
    <row r="29" spans="1:8" ht="18.95" customHeight="1">
      <c r="A29" s="34">
        <f t="shared" si="3"/>
        <v>17</v>
      </c>
      <c r="B29" s="35">
        <v>357</v>
      </c>
      <c r="C29" s="42" t="s">
        <v>605</v>
      </c>
      <c r="D29" s="52">
        <f>'SCH B-2.3 B'!H29</f>
        <v>4641787.3899999997</v>
      </c>
      <c r="F29" s="52">
        <f t="shared" si="6"/>
        <v>4641787.3899999997</v>
      </c>
      <c r="G29" s="52">
        <v>0</v>
      </c>
      <c r="H29" s="52">
        <f t="shared" si="7"/>
        <v>4641787.3899999997</v>
      </c>
    </row>
    <row r="30" spans="1:8" ht="18.95" customHeight="1">
      <c r="A30" s="34">
        <f t="shared" si="3"/>
        <v>18</v>
      </c>
      <c r="B30" s="35">
        <v>358</v>
      </c>
      <c r="C30" s="42" t="s">
        <v>606</v>
      </c>
      <c r="D30" s="53">
        <f>'SCH B-2.3 B'!H30</f>
        <v>4432697.84</v>
      </c>
      <c r="E30" s="62"/>
      <c r="F30" s="53">
        <f t="shared" si="6"/>
        <v>4432697.84</v>
      </c>
      <c r="G30" s="53">
        <f>'SCH B-2.2'!F12</f>
        <v>-4432697.84</v>
      </c>
      <c r="H30" s="53">
        <f t="shared" si="7"/>
        <v>0</v>
      </c>
    </row>
    <row r="31" spans="1:8" ht="18.95" customHeight="1">
      <c r="A31" s="34">
        <f t="shared" si="3"/>
        <v>19</v>
      </c>
      <c r="C31" s="42" t="s">
        <v>608</v>
      </c>
      <c r="D31" s="52">
        <f>SUM(D19:D30)</f>
        <v>162668519.32999989</v>
      </c>
      <c r="E31" s="62"/>
      <c r="F31" s="52">
        <f t="shared" ref="F31:H31" si="8">SUM(F19:F30)</f>
        <v>162668519.32999989</v>
      </c>
      <c r="G31" s="52">
        <f t="shared" si="8"/>
        <v>-4432697.84</v>
      </c>
      <c r="H31" s="52">
        <f t="shared" si="8"/>
        <v>158235821.48999989</v>
      </c>
    </row>
    <row r="32" spans="1:8" ht="18.95" customHeight="1">
      <c r="A32" s="34"/>
      <c r="C32" s="42"/>
      <c r="D32" s="52"/>
      <c r="E32" s="62"/>
      <c r="F32" s="52"/>
      <c r="G32" s="52"/>
      <c r="H32" s="52"/>
    </row>
    <row r="33" spans="1:8" ht="18.95" customHeight="1">
      <c r="A33" s="34">
        <f>A31+1</f>
        <v>20</v>
      </c>
      <c r="C33" s="54" t="s">
        <v>591</v>
      </c>
      <c r="D33" s="52"/>
      <c r="E33" s="62"/>
      <c r="F33" s="52"/>
      <c r="G33" s="52"/>
      <c r="H33" s="52"/>
    </row>
    <row r="34" spans="1:8" ht="18.95" customHeight="1">
      <c r="A34" s="34">
        <f t="shared" si="3"/>
        <v>21</v>
      </c>
      <c r="B34" s="35">
        <v>365</v>
      </c>
      <c r="C34" s="42" t="s">
        <v>610</v>
      </c>
      <c r="D34" s="52">
        <f>'SCH B-2.3 B'!H34</f>
        <v>220659.049999999</v>
      </c>
      <c r="E34" s="62"/>
      <c r="F34" s="52">
        <f t="shared" ref="F34:F36" si="9">D34</f>
        <v>220659.049999999</v>
      </c>
      <c r="G34" s="52">
        <v>0</v>
      </c>
      <c r="H34" s="52">
        <f t="shared" ref="H34:H36" si="10">SUM(F34:G34)</f>
        <v>220659.049999999</v>
      </c>
    </row>
    <row r="35" spans="1:8" ht="18.95" customHeight="1">
      <c r="A35" s="34">
        <f t="shared" si="3"/>
        <v>22</v>
      </c>
      <c r="B35" s="35">
        <v>367</v>
      </c>
      <c r="C35" s="42" t="s">
        <v>609</v>
      </c>
      <c r="D35" s="52">
        <f>'SCH B-2.3 B'!H35</f>
        <v>52897958.020000003</v>
      </c>
      <c r="E35" s="62"/>
      <c r="F35" s="52">
        <f t="shared" si="9"/>
        <v>52897958.020000003</v>
      </c>
      <c r="G35" s="52">
        <v>0</v>
      </c>
      <c r="H35" s="52">
        <f t="shared" si="10"/>
        <v>52897958.020000003</v>
      </c>
    </row>
    <row r="36" spans="1:8" ht="18.95" customHeight="1">
      <c r="A36" s="34">
        <f t="shared" si="3"/>
        <v>23</v>
      </c>
      <c r="B36" s="35">
        <v>372</v>
      </c>
      <c r="C36" s="42" t="s">
        <v>611</v>
      </c>
      <c r="D36" s="53">
        <f>'SCH B-2.3 B'!H36</f>
        <v>2332004.91</v>
      </c>
      <c r="E36" s="62"/>
      <c r="F36" s="53">
        <f t="shared" si="9"/>
        <v>2332004.91</v>
      </c>
      <c r="G36" s="53">
        <f>'SCH B-2.2'!F13</f>
        <v>-2332004.91</v>
      </c>
      <c r="H36" s="53">
        <f t="shared" si="10"/>
        <v>0</v>
      </c>
    </row>
    <row r="37" spans="1:8" ht="18.95" customHeight="1">
      <c r="A37" s="34">
        <f>A36+1</f>
        <v>24</v>
      </c>
      <c r="B37" s="35" t="s">
        <v>117</v>
      </c>
      <c r="C37" s="42" t="s">
        <v>612</v>
      </c>
      <c r="D37" s="52">
        <f>SUM(D34:D36)</f>
        <v>55450621.980000004</v>
      </c>
      <c r="E37" s="62"/>
      <c r="F37" s="52">
        <f t="shared" ref="F37:H37" si="11">SUM(F34:F36)</f>
        <v>55450621.980000004</v>
      </c>
      <c r="G37" s="52">
        <f t="shared" si="11"/>
        <v>-2332004.91</v>
      </c>
      <c r="H37" s="52">
        <f t="shared" si="11"/>
        <v>53118617.07</v>
      </c>
    </row>
    <row r="38" spans="1:8" ht="18.95" customHeight="1">
      <c r="A38" s="34"/>
      <c r="B38" s="35"/>
      <c r="C38" s="42"/>
      <c r="D38" s="50"/>
      <c r="E38" s="50"/>
      <c r="F38" s="50"/>
      <c r="G38" s="50"/>
      <c r="H38" s="50"/>
    </row>
    <row r="39" spans="1:8" ht="18.95" customHeight="1">
      <c r="A39" s="34">
        <f>A37+1</f>
        <v>25</v>
      </c>
      <c r="C39" s="54" t="s">
        <v>546</v>
      </c>
      <c r="D39" s="50"/>
      <c r="E39" s="50"/>
      <c r="F39" s="50"/>
      <c r="G39" s="50"/>
      <c r="H39" s="50"/>
    </row>
    <row r="40" spans="1:8" ht="18.95" customHeight="1">
      <c r="A40" s="34">
        <f t="shared" si="3"/>
        <v>26</v>
      </c>
      <c r="B40" s="35">
        <v>374</v>
      </c>
      <c r="C40" s="42" t="s">
        <v>43</v>
      </c>
      <c r="D40" s="52">
        <f>'SCH B-2.3 B'!H40</f>
        <v>134496.91</v>
      </c>
      <c r="E40" s="62"/>
      <c r="F40" s="52">
        <f t="shared" ref="F40:F44" si="12">D40</f>
        <v>134496.91</v>
      </c>
      <c r="G40" s="52">
        <v>0</v>
      </c>
      <c r="H40" s="52">
        <f t="shared" ref="H40:H44" si="13">SUM(F40:G40)</f>
        <v>134496.91</v>
      </c>
    </row>
    <row r="41" spans="1:8" ht="18.95" customHeight="1">
      <c r="A41" s="34">
        <f t="shared" si="3"/>
        <v>27</v>
      </c>
      <c r="B41" s="35">
        <v>375</v>
      </c>
      <c r="C41" s="42" t="s">
        <v>42</v>
      </c>
      <c r="D41" s="52">
        <f>'SCH B-2.3 B'!H41</f>
        <v>1155812.4299999899</v>
      </c>
      <c r="E41" s="62"/>
      <c r="F41" s="52">
        <f t="shared" si="12"/>
        <v>1155812.4299999899</v>
      </c>
      <c r="G41" s="52">
        <v>0</v>
      </c>
      <c r="H41" s="52">
        <f t="shared" si="13"/>
        <v>1155812.4299999899</v>
      </c>
    </row>
    <row r="42" spans="1:8" ht="18.95" customHeight="1">
      <c r="A42" s="34">
        <f t="shared" si="3"/>
        <v>28</v>
      </c>
      <c r="B42" s="35">
        <v>376</v>
      </c>
      <c r="C42" s="42" t="s">
        <v>609</v>
      </c>
      <c r="D42" s="52">
        <f>'SCH B-2.3 B'!H42</f>
        <v>417259204.11000001</v>
      </c>
      <c r="E42" s="62"/>
      <c r="F42" s="52">
        <f t="shared" si="12"/>
        <v>417259204.11000001</v>
      </c>
      <c r="G42" s="52">
        <f>'SCH B-2.2'!F14</f>
        <v>-70172442.2299999</v>
      </c>
      <c r="H42" s="52">
        <f t="shared" si="13"/>
        <v>347086761.88000011</v>
      </c>
    </row>
    <row r="43" spans="1:8" ht="18.95" customHeight="1">
      <c r="A43" s="34">
        <f t="shared" si="3"/>
        <v>29</v>
      </c>
      <c r="B43" s="35">
        <v>377</v>
      </c>
      <c r="C43" s="42" t="s">
        <v>602</v>
      </c>
      <c r="D43" s="52">
        <f>'SCH B-2.3 B'!H43</f>
        <v>0</v>
      </c>
      <c r="E43" s="62"/>
      <c r="F43" s="52">
        <f t="shared" si="12"/>
        <v>0</v>
      </c>
      <c r="G43" s="52">
        <v>0</v>
      </c>
      <c r="H43" s="52">
        <f t="shared" si="13"/>
        <v>0</v>
      </c>
    </row>
    <row r="44" spans="1:8" ht="18.95" customHeight="1">
      <c r="A44" s="34">
        <f t="shared" si="3"/>
        <v>30</v>
      </c>
      <c r="B44" s="35">
        <v>378</v>
      </c>
      <c r="C44" s="42" t="s">
        <v>613</v>
      </c>
      <c r="D44" s="52">
        <f>'SCH B-2.3 B'!H44</f>
        <v>22779896.84999999</v>
      </c>
      <c r="E44" s="62"/>
      <c r="F44" s="52">
        <f t="shared" si="12"/>
        <v>22779896.84999999</v>
      </c>
      <c r="G44" s="52">
        <v>0</v>
      </c>
      <c r="H44" s="52">
        <f t="shared" si="13"/>
        <v>22779896.84999999</v>
      </c>
    </row>
    <row r="45" spans="1:8" s="32" customFormat="1" ht="20.100000000000001" customHeight="1">
      <c r="A45" s="494" t="str">
        <f>$A$1</f>
        <v>LOUISVILLE GAS AND ELECTRIC COMPANY</v>
      </c>
      <c r="B45" s="494"/>
      <c r="C45" s="494"/>
      <c r="D45" s="494"/>
      <c r="E45" s="494"/>
      <c r="F45" s="494"/>
      <c r="G45" s="494"/>
      <c r="H45" s="494"/>
    </row>
    <row r="46" spans="1:8" s="32" customFormat="1" ht="20.100000000000001" customHeight="1">
      <c r="A46" s="494" t="str">
        <f>$A$2</f>
        <v>CASE NO. 2016-00371 - GAS OPERATIONS</v>
      </c>
      <c r="B46" s="494"/>
      <c r="C46" s="494"/>
      <c r="D46" s="494"/>
      <c r="E46" s="494"/>
      <c r="F46" s="494"/>
      <c r="G46" s="494"/>
      <c r="H46" s="494"/>
    </row>
    <row r="47" spans="1:8" s="32" customFormat="1" ht="20.100000000000001" customHeight="1">
      <c r="A47" s="494" t="str">
        <f>$A$3</f>
        <v>PLANT IN SERVICE BY ACCOUNTS AND SUBACCOUNTS</v>
      </c>
      <c r="B47" s="494"/>
      <c r="C47" s="494"/>
      <c r="D47" s="494"/>
      <c r="E47" s="494"/>
      <c r="F47" s="494"/>
      <c r="G47" s="494"/>
      <c r="H47" s="494"/>
    </row>
    <row r="48" spans="1:8" s="32" customFormat="1" ht="20.100000000000001" customHeight="1">
      <c r="A48" s="493" t="str">
        <f>$A$4</f>
        <v>AS OF FEBRUARY 28, 2017</v>
      </c>
      <c r="B48" s="494"/>
      <c r="C48" s="494"/>
      <c r="D48" s="494"/>
      <c r="E48" s="494"/>
      <c r="F48" s="494"/>
      <c r="G48" s="494"/>
      <c r="H48" s="494"/>
    </row>
    <row r="49" spans="1:8" s="32" customFormat="1" ht="20.100000000000001" customHeight="1">
      <c r="A49" s="48"/>
      <c r="B49" s="48"/>
      <c r="C49" s="48"/>
      <c r="D49" s="48"/>
      <c r="E49" s="48"/>
      <c r="F49" s="48"/>
      <c r="G49" s="48"/>
      <c r="H49" s="48"/>
    </row>
    <row r="50" spans="1:8" s="32" customFormat="1" ht="20.100000000000001" customHeight="1">
      <c r="A50" s="31" t="str">
        <f>$A$6</f>
        <v>DATA:__X__BASE  PERIOD____FORECASTED  PERIOD</v>
      </c>
      <c r="B50" s="31"/>
      <c r="G50" s="38"/>
      <c r="H50" s="38" t="s">
        <v>115</v>
      </c>
    </row>
    <row r="51" spans="1:8" s="32" customFormat="1" ht="20.100000000000001" customHeight="1">
      <c r="A51" s="31" t="str">
        <f>$A$7</f>
        <v>TYPE OF FILING: __X__ ORIGINAL  _____ UPDATED  _____ REVISED</v>
      </c>
      <c r="G51" s="38"/>
      <c r="H51" s="38" t="s">
        <v>59</v>
      </c>
    </row>
    <row r="52" spans="1:8" s="32" customFormat="1" ht="20.100000000000001" customHeight="1">
      <c r="A52" s="31" t="str">
        <f>$A$8</f>
        <v xml:space="preserve">WORKPAPER REFERENCE NO(S).: </v>
      </c>
      <c r="B52" s="31"/>
      <c r="F52" s="31"/>
      <c r="G52" s="39"/>
      <c r="H52" s="39" t="str">
        <f>$H$8</f>
        <v>WITNESS:   C. M. GARRETT</v>
      </c>
    </row>
    <row r="53" spans="1:8" s="32" customFormat="1" ht="20.100000000000001" customHeight="1"/>
    <row r="54" spans="1:8" ht="58.5" customHeight="1">
      <c r="A54" s="40" t="s">
        <v>29</v>
      </c>
      <c r="B54" s="40" t="s">
        <v>32</v>
      </c>
      <c r="C54" s="43" t="s">
        <v>109</v>
      </c>
      <c r="D54" s="40" t="s">
        <v>110</v>
      </c>
      <c r="E54" s="40" t="s">
        <v>111</v>
      </c>
      <c r="F54" s="40" t="s">
        <v>112</v>
      </c>
      <c r="G54" s="40" t="s">
        <v>113</v>
      </c>
      <c r="H54" s="40" t="s">
        <v>114</v>
      </c>
    </row>
    <row r="55" spans="1:8" ht="23.1" customHeight="1">
      <c r="A55" s="44"/>
      <c r="B55" s="44"/>
      <c r="C55" s="45"/>
      <c r="D55" s="46" t="s">
        <v>40</v>
      </c>
      <c r="E55" s="131">
        <f>$E$11</f>
        <v>1</v>
      </c>
      <c r="F55" s="46" t="s">
        <v>40</v>
      </c>
      <c r="G55" s="46" t="s">
        <v>40</v>
      </c>
      <c r="H55" s="46" t="s">
        <v>40</v>
      </c>
    </row>
    <row r="56" spans="1:8" ht="18.95" customHeight="1">
      <c r="A56" s="34">
        <f>A44+1</f>
        <v>31</v>
      </c>
      <c r="B56" s="35">
        <v>379</v>
      </c>
      <c r="C56" s="42" t="s">
        <v>614</v>
      </c>
      <c r="D56" s="52">
        <f>'SCH B-2.3 B'!H56</f>
        <v>11878755.74</v>
      </c>
      <c r="E56" s="62"/>
      <c r="F56" s="52">
        <f t="shared" ref="F56:F62" si="14">D56</f>
        <v>11878755.74</v>
      </c>
      <c r="G56" s="52">
        <v>0</v>
      </c>
      <c r="H56" s="52">
        <f t="shared" ref="H56:H62" si="15">SUM(F56:G56)</f>
        <v>11878755.74</v>
      </c>
    </row>
    <row r="57" spans="1:8" ht="18.95" customHeight="1">
      <c r="A57" s="34">
        <f>A56+1</f>
        <v>32</v>
      </c>
      <c r="B57" s="35">
        <v>380</v>
      </c>
      <c r="C57" s="42" t="s">
        <v>417</v>
      </c>
      <c r="D57" s="52">
        <f>'SCH B-2.3 B'!H57</f>
        <v>361958280.86000001</v>
      </c>
      <c r="E57" s="62"/>
      <c r="F57" s="52">
        <f t="shared" si="14"/>
        <v>361958280.86000001</v>
      </c>
      <c r="G57" s="52">
        <f>'SCH B-2.2'!F15</f>
        <v>-157392551.77999997</v>
      </c>
      <c r="H57" s="52">
        <f t="shared" si="15"/>
        <v>204565729.08000004</v>
      </c>
    </row>
    <row r="58" spans="1:8" ht="18.95" customHeight="1">
      <c r="A58" s="34">
        <f t="shared" ref="A58:A63" si="16">A57+1</f>
        <v>33</v>
      </c>
      <c r="B58" s="35">
        <v>381</v>
      </c>
      <c r="C58" s="42" t="s">
        <v>418</v>
      </c>
      <c r="D58" s="52">
        <f>'SCH B-2.3 B'!H58</f>
        <v>51252660.240000002</v>
      </c>
      <c r="E58" s="62"/>
      <c r="F58" s="52">
        <f t="shared" si="14"/>
        <v>51252660.240000002</v>
      </c>
      <c r="G58" s="52">
        <v>0</v>
      </c>
      <c r="H58" s="52">
        <f t="shared" si="15"/>
        <v>51252660.240000002</v>
      </c>
    </row>
    <row r="59" spans="1:8" ht="18.95" customHeight="1">
      <c r="A59" s="34">
        <f t="shared" si="16"/>
        <v>34</v>
      </c>
      <c r="B59" s="35">
        <v>383</v>
      </c>
      <c r="C59" s="42" t="s">
        <v>615</v>
      </c>
      <c r="D59" s="52">
        <f>'SCH B-2.3 B'!H59</f>
        <v>25550379.959999997</v>
      </c>
      <c r="E59" s="62"/>
      <c r="F59" s="52">
        <f t="shared" si="14"/>
        <v>25550379.959999997</v>
      </c>
      <c r="G59" s="52">
        <v>0</v>
      </c>
      <c r="H59" s="52">
        <f t="shared" si="15"/>
        <v>25550379.959999997</v>
      </c>
    </row>
    <row r="60" spans="1:8" ht="18.95" customHeight="1">
      <c r="A60" s="34">
        <f t="shared" si="16"/>
        <v>35</v>
      </c>
      <c r="B60" s="35">
        <v>385</v>
      </c>
      <c r="C60" s="42" t="s">
        <v>616</v>
      </c>
      <c r="D60" s="52">
        <f>'SCH B-2.3 B'!H60</f>
        <v>1540255.4900000002</v>
      </c>
      <c r="E60" s="62"/>
      <c r="F60" s="52">
        <f t="shared" si="14"/>
        <v>1540255.4900000002</v>
      </c>
      <c r="G60" s="52">
        <v>0</v>
      </c>
      <c r="H60" s="52">
        <f t="shared" si="15"/>
        <v>1540255.4900000002</v>
      </c>
    </row>
    <row r="61" spans="1:8" ht="18.95" customHeight="1">
      <c r="A61" s="34">
        <f t="shared" si="16"/>
        <v>36</v>
      </c>
      <c r="B61" s="35">
        <v>387</v>
      </c>
      <c r="C61" s="42" t="s">
        <v>605</v>
      </c>
      <c r="D61" s="52">
        <f>'SCH B-2.3 B'!H61</f>
        <v>344432.66999999969</v>
      </c>
      <c r="E61" s="62"/>
      <c r="F61" s="52">
        <f t="shared" si="14"/>
        <v>344432.66999999969</v>
      </c>
      <c r="G61" s="52">
        <v>0</v>
      </c>
      <c r="H61" s="52">
        <f t="shared" si="15"/>
        <v>344432.66999999969</v>
      </c>
    </row>
    <row r="62" spans="1:8" ht="18.95" customHeight="1">
      <c r="A62" s="34">
        <f t="shared" si="16"/>
        <v>37</v>
      </c>
      <c r="B62" s="35">
        <v>388</v>
      </c>
      <c r="C62" s="42" t="s">
        <v>617</v>
      </c>
      <c r="D62" s="53">
        <f>'SCH B-2.3 B'!H62</f>
        <v>10475152.659999998</v>
      </c>
      <c r="E62" s="62"/>
      <c r="F62" s="53">
        <f t="shared" si="14"/>
        <v>10475152.659999998</v>
      </c>
      <c r="G62" s="53">
        <f>'SCH B-2.2'!F16</f>
        <v>-10475152.66</v>
      </c>
      <c r="H62" s="53">
        <f t="shared" si="15"/>
        <v>0</v>
      </c>
    </row>
    <row r="63" spans="1:8" ht="18.95" customHeight="1">
      <c r="A63" s="34">
        <f t="shared" si="16"/>
        <v>38</v>
      </c>
      <c r="C63" s="42" t="s">
        <v>618</v>
      </c>
      <c r="D63" s="52">
        <f>SUM(D40:D44,D56:D62)</f>
        <v>904329327.91999996</v>
      </c>
      <c r="E63" s="62"/>
      <c r="F63" s="52">
        <f t="shared" ref="F63:H63" si="17">SUM(F40:F44,F56:F62)</f>
        <v>904329327.91999996</v>
      </c>
      <c r="G63" s="52">
        <f t="shared" si="17"/>
        <v>-238040146.66999987</v>
      </c>
      <c r="H63" s="52">
        <f t="shared" si="17"/>
        <v>666289181.25000012</v>
      </c>
    </row>
    <row r="64" spans="1:8" ht="18.95" customHeight="1">
      <c r="A64" s="34"/>
      <c r="D64" s="52"/>
      <c r="E64" s="62"/>
      <c r="F64" s="52"/>
      <c r="G64" s="52"/>
      <c r="H64" s="52"/>
    </row>
    <row r="65" spans="1:8" ht="18.95" customHeight="1">
      <c r="A65" s="34">
        <f>A63+1</f>
        <v>39</v>
      </c>
      <c r="B65" s="129" t="s">
        <v>545</v>
      </c>
      <c r="C65" s="54" t="s">
        <v>563</v>
      </c>
      <c r="D65" s="52"/>
      <c r="E65" s="62"/>
      <c r="F65" s="52"/>
      <c r="G65" s="52"/>
      <c r="H65" s="52"/>
    </row>
    <row r="66" spans="1:8" ht="18.95" customHeight="1">
      <c r="A66" s="34">
        <f t="shared" ref="A66:A76" si="18">A65+1</f>
        <v>40</v>
      </c>
      <c r="B66" s="35" t="s">
        <v>419</v>
      </c>
      <c r="C66" s="42" t="s">
        <v>43</v>
      </c>
      <c r="D66" s="52">
        <f>'SCH B-2.3 B'!H66</f>
        <v>0</v>
      </c>
      <c r="E66" s="62"/>
      <c r="F66" s="52">
        <f t="shared" ref="F66:F75" si="19">D66</f>
        <v>0</v>
      </c>
      <c r="G66" s="52">
        <v>0</v>
      </c>
      <c r="H66" s="52">
        <f t="shared" ref="H66:H75" si="20">SUM(F66:G66)</f>
        <v>0</v>
      </c>
    </row>
    <row r="67" spans="1:8" ht="18.95" customHeight="1">
      <c r="A67" s="34">
        <f t="shared" si="18"/>
        <v>41</v>
      </c>
      <c r="B67" s="35" t="s">
        <v>420</v>
      </c>
      <c r="C67" s="42" t="s">
        <v>42</v>
      </c>
      <c r="D67" s="52">
        <f>'SCH B-2.3 B'!H67</f>
        <v>0</v>
      </c>
      <c r="E67" s="62"/>
      <c r="F67" s="52">
        <f t="shared" si="19"/>
        <v>0</v>
      </c>
      <c r="G67" s="52">
        <v>0</v>
      </c>
      <c r="H67" s="52">
        <f t="shared" si="20"/>
        <v>0</v>
      </c>
    </row>
    <row r="68" spans="1:8" ht="18.95" customHeight="1">
      <c r="A68" s="34">
        <f t="shared" si="18"/>
        <v>42</v>
      </c>
      <c r="B68" s="35" t="s">
        <v>421</v>
      </c>
      <c r="C68" s="42" t="s">
        <v>45</v>
      </c>
      <c r="D68" s="52">
        <f>'SCH B-2.3 B'!H68</f>
        <v>0</v>
      </c>
      <c r="E68" s="62"/>
      <c r="F68" s="52">
        <f t="shared" si="19"/>
        <v>0</v>
      </c>
      <c r="G68" s="52">
        <v>0</v>
      </c>
      <c r="H68" s="52">
        <f t="shared" si="20"/>
        <v>0</v>
      </c>
    </row>
    <row r="69" spans="1:8" ht="18.95" customHeight="1">
      <c r="A69" s="34">
        <f t="shared" si="18"/>
        <v>43</v>
      </c>
      <c r="B69" s="35" t="s">
        <v>422</v>
      </c>
      <c r="C69" s="42" t="s">
        <v>44</v>
      </c>
      <c r="D69" s="52">
        <f>'SCH B-2.3 B'!H69</f>
        <v>1916379.34</v>
      </c>
      <c r="E69" s="62"/>
      <c r="F69" s="52">
        <f t="shared" si="19"/>
        <v>1916379.34</v>
      </c>
      <c r="G69" s="52">
        <v>0</v>
      </c>
      <c r="H69" s="52">
        <f t="shared" si="20"/>
        <v>1916379.34</v>
      </c>
    </row>
    <row r="70" spans="1:8" ht="18.95" customHeight="1">
      <c r="A70" s="34">
        <f t="shared" si="18"/>
        <v>44</v>
      </c>
      <c r="B70" s="35" t="s">
        <v>423</v>
      </c>
      <c r="C70" s="42" t="s">
        <v>424</v>
      </c>
      <c r="D70" s="52">
        <f>'SCH B-2.3 B'!H70</f>
        <v>0</v>
      </c>
      <c r="E70" s="62"/>
      <c r="F70" s="52">
        <f t="shared" si="19"/>
        <v>0</v>
      </c>
      <c r="G70" s="52">
        <v>0</v>
      </c>
      <c r="H70" s="52">
        <f t="shared" si="20"/>
        <v>0</v>
      </c>
    </row>
    <row r="71" spans="1:8" ht="18.95" customHeight="1">
      <c r="A71" s="34">
        <f t="shared" si="18"/>
        <v>45</v>
      </c>
      <c r="B71" s="35" t="s">
        <v>425</v>
      </c>
      <c r="C71" s="42" t="s">
        <v>426</v>
      </c>
      <c r="D71" s="52">
        <f>'SCH B-2.3 B'!H71</f>
        <v>6905086.3900000006</v>
      </c>
      <c r="E71" s="62"/>
      <c r="F71" s="52">
        <f t="shared" si="19"/>
        <v>6905086.3900000006</v>
      </c>
      <c r="G71" s="52">
        <v>0</v>
      </c>
      <c r="H71" s="52">
        <f t="shared" si="20"/>
        <v>6905086.3900000006</v>
      </c>
    </row>
    <row r="72" spans="1:8" ht="18.95" customHeight="1">
      <c r="A72" s="34">
        <f t="shared" si="18"/>
        <v>46</v>
      </c>
      <c r="B72" s="35" t="s">
        <v>427</v>
      </c>
      <c r="C72" s="42" t="s">
        <v>428</v>
      </c>
      <c r="D72" s="52">
        <f>'SCH B-2.3 B'!H72</f>
        <v>0</v>
      </c>
      <c r="E72" s="62"/>
      <c r="F72" s="52">
        <f t="shared" si="19"/>
        <v>0</v>
      </c>
      <c r="G72" s="52">
        <v>0</v>
      </c>
      <c r="H72" s="52">
        <f t="shared" si="20"/>
        <v>0</v>
      </c>
    </row>
    <row r="73" spans="1:8" ht="18.95" customHeight="1">
      <c r="A73" s="34">
        <f t="shared" si="18"/>
        <v>47</v>
      </c>
      <c r="B73" s="35" t="s">
        <v>429</v>
      </c>
      <c r="C73" s="42" t="s">
        <v>430</v>
      </c>
      <c r="D73" s="52">
        <f>'SCH B-2.3 B'!H73</f>
        <v>3771229.42</v>
      </c>
      <c r="E73" s="62"/>
      <c r="F73" s="52">
        <f t="shared" si="19"/>
        <v>3771229.42</v>
      </c>
      <c r="G73" s="52">
        <v>0</v>
      </c>
      <c r="H73" s="52">
        <f t="shared" si="20"/>
        <v>3771229.42</v>
      </c>
    </row>
    <row r="74" spans="1:8" ht="18.95" customHeight="1">
      <c r="A74" s="34">
        <f t="shared" si="18"/>
        <v>48</v>
      </c>
      <c r="B74" s="35" t="s">
        <v>431</v>
      </c>
      <c r="C74" s="42" t="s">
        <v>46</v>
      </c>
      <c r="D74" s="52">
        <f>'SCH B-2.3 B'!H74</f>
        <v>0</v>
      </c>
      <c r="E74" s="62"/>
      <c r="F74" s="52">
        <f t="shared" si="19"/>
        <v>0</v>
      </c>
      <c r="G74" s="52">
        <v>0</v>
      </c>
      <c r="H74" s="52">
        <f t="shared" si="20"/>
        <v>0</v>
      </c>
    </row>
    <row r="75" spans="1:8" ht="18.95" customHeight="1">
      <c r="A75" s="34">
        <f t="shared" si="18"/>
        <v>49</v>
      </c>
      <c r="B75" s="35" t="s">
        <v>432</v>
      </c>
      <c r="C75" s="42" t="s">
        <v>433</v>
      </c>
      <c r="D75" s="53">
        <f>'SCH B-2.3 B'!H75</f>
        <v>0</v>
      </c>
      <c r="E75" s="62"/>
      <c r="F75" s="53">
        <f t="shared" si="19"/>
        <v>0</v>
      </c>
      <c r="G75" s="53">
        <v>0</v>
      </c>
      <c r="H75" s="53">
        <f t="shared" si="20"/>
        <v>0</v>
      </c>
    </row>
    <row r="76" spans="1:8" ht="18.95" customHeight="1">
      <c r="A76" s="34">
        <f t="shared" si="18"/>
        <v>50</v>
      </c>
      <c r="B76" s="35"/>
      <c r="C76" s="42" t="s">
        <v>619</v>
      </c>
      <c r="D76" s="52">
        <f>SUM(D66:D75)</f>
        <v>12592695.15</v>
      </c>
      <c r="E76" s="62"/>
      <c r="F76" s="52">
        <f>SUM(F66:F75)</f>
        <v>12592695.15</v>
      </c>
      <c r="G76" s="52">
        <f>SUM(G66:G75)</f>
        <v>0</v>
      </c>
      <c r="H76" s="52">
        <f>SUM(H66:H75)</f>
        <v>12592695.15</v>
      </c>
    </row>
    <row r="77" spans="1:8" ht="18.95" customHeight="1">
      <c r="A77" s="34"/>
      <c r="B77" s="35"/>
      <c r="D77" s="52"/>
      <c r="E77" s="62"/>
      <c r="F77" s="52"/>
      <c r="G77" s="52"/>
      <c r="H77" s="52"/>
    </row>
    <row r="78" spans="1:8" ht="18.95" customHeight="1">
      <c r="A78" s="34">
        <f>A76+1</f>
        <v>51</v>
      </c>
      <c r="B78" s="129" t="s">
        <v>452</v>
      </c>
      <c r="C78" s="54" t="s">
        <v>502</v>
      </c>
      <c r="D78" s="52"/>
      <c r="E78" s="62"/>
      <c r="F78" s="52"/>
      <c r="G78" s="52"/>
      <c r="H78" s="52"/>
    </row>
    <row r="79" spans="1:8" ht="18.95" customHeight="1">
      <c r="A79" s="34">
        <f>A78+1</f>
        <v>52</v>
      </c>
      <c r="B79" s="35" t="s">
        <v>411</v>
      </c>
      <c r="C79" s="42" t="s">
        <v>412</v>
      </c>
      <c r="D79" s="52">
        <f>'SCH B-2.3 B'!H79</f>
        <v>25134.686999999973</v>
      </c>
      <c r="E79" s="62"/>
      <c r="F79" s="52">
        <f t="shared" ref="F79:F88" si="21">D79</f>
        <v>25134.686999999973</v>
      </c>
      <c r="G79" s="52">
        <v>0</v>
      </c>
      <c r="H79" s="52">
        <f t="shared" ref="H79:H88" si="22">SUM(F79:G79)</f>
        <v>25134.686999999973</v>
      </c>
    </row>
    <row r="80" spans="1:8" ht="18.95" customHeight="1">
      <c r="A80" s="34">
        <f t="shared" ref="A80:A81" si="23">A79+1</f>
        <v>53</v>
      </c>
      <c r="B80" s="35" t="s">
        <v>413</v>
      </c>
      <c r="C80" s="42" t="s">
        <v>414</v>
      </c>
      <c r="D80" s="52">
        <f>'SCH B-2.3 B'!H80</f>
        <v>0</v>
      </c>
      <c r="E80" s="62"/>
      <c r="F80" s="52">
        <f t="shared" si="21"/>
        <v>0</v>
      </c>
      <c r="G80" s="52">
        <v>0</v>
      </c>
      <c r="H80" s="52">
        <f t="shared" si="22"/>
        <v>0</v>
      </c>
    </row>
    <row r="81" spans="1:8" ht="18.95" customHeight="1">
      <c r="A81" s="34">
        <f t="shared" si="23"/>
        <v>54</v>
      </c>
      <c r="B81" s="35" t="s">
        <v>415</v>
      </c>
      <c r="C81" s="42" t="s">
        <v>416</v>
      </c>
      <c r="D81" s="52">
        <f>'SCH B-2.3 B'!H81</f>
        <v>30567512.666999996</v>
      </c>
      <c r="E81" s="62"/>
      <c r="F81" s="52">
        <f t="shared" si="21"/>
        <v>30567512.666999996</v>
      </c>
      <c r="G81" s="52">
        <v>0</v>
      </c>
      <c r="H81" s="52">
        <f t="shared" si="22"/>
        <v>30567512.666999996</v>
      </c>
    </row>
    <row r="82" spans="1:8" ht="18.95" customHeight="1">
      <c r="A82" s="34">
        <f>A81+1</f>
        <v>55</v>
      </c>
      <c r="B82" s="35" t="s">
        <v>419</v>
      </c>
      <c r="C82" s="42" t="s">
        <v>43</v>
      </c>
      <c r="D82" s="52">
        <f>'SCH B-2.3 B'!H82</f>
        <v>529946.79299999995</v>
      </c>
      <c r="E82" s="62"/>
      <c r="F82" s="52">
        <f t="shared" si="21"/>
        <v>529946.79299999995</v>
      </c>
      <c r="G82" s="52">
        <v>0</v>
      </c>
      <c r="H82" s="52">
        <f t="shared" si="22"/>
        <v>529946.79299999995</v>
      </c>
    </row>
    <row r="83" spans="1:8" ht="18.95" customHeight="1">
      <c r="A83" s="34">
        <f t="shared" ref="A83:A88" si="24">A82+1</f>
        <v>56</v>
      </c>
      <c r="B83" s="35" t="s">
        <v>420</v>
      </c>
      <c r="C83" s="42" t="s">
        <v>42</v>
      </c>
      <c r="D83" s="52">
        <f>'SCH B-2.3 B'!H83</f>
        <v>24057509.621999972</v>
      </c>
      <c r="E83" s="62"/>
      <c r="F83" s="52">
        <f t="shared" si="21"/>
        <v>24057509.621999972</v>
      </c>
      <c r="G83" s="52">
        <v>0</v>
      </c>
      <c r="H83" s="52">
        <f t="shared" si="22"/>
        <v>24057509.621999972</v>
      </c>
    </row>
    <row r="84" spans="1:8" ht="18.95" customHeight="1">
      <c r="A84" s="34">
        <f t="shared" si="24"/>
        <v>57</v>
      </c>
      <c r="B84" s="35" t="s">
        <v>421</v>
      </c>
      <c r="C84" s="42" t="s">
        <v>45</v>
      </c>
      <c r="D84" s="52">
        <f>'SCH B-2.3 B'!H84</f>
        <v>12800052.009</v>
      </c>
      <c r="E84" s="62"/>
      <c r="F84" s="52">
        <f t="shared" si="21"/>
        <v>12800052.009</v>
      </c>
      <c r="G84" s="52">
        <v>0</v>
      </c>
      <c r="H84" s="52">
        <f t="shared" si="22"/>
        <v>12800052.009</v>
      </c>
    </row>
    <row r="85" spans="1:8" ht="18.95" customHeight="1">
      <c r="A85" s="34">
        <f t="shared" si="24"/>
        <v>58</v>
      </c>
      <c r="B85" s="35" t="s">
        <v>422</v>
      </c>
      <c r="C85" s="42" t="s">
        <v>44</v>
      </c>
      <c r="D85" s="52">
        <f>'SCH B-2.3 B'!H85</f>
        <v>82252.911000000007</v>
      </c>
      <c r="E85" s="62"/>
      <c r="F85" s="52">
        <f t="shared" si="21"/>
        <v>82252.911000000007</v>
      </c>
      <c r="G85" s="52">
        <v>0</v>
      </c>
      <c r="H85" s="52">
        <f t="shared" si="22"/>
        <v>82252.911000000007</v>
      </c>
    </row>
    <row r="86" spans="1:8" ht="18.95" customHeight="1">
      <c r="A86" s="34">
        <f t="shared" si="24"/>
        <v>59</v>
      </c>
      <c r="B86" s="35" t="s">
        <v>423</v>
      </c>
      <c r="C86" s="42" t="s">
        <v>424</v>
      </c>
      <c r="D86" s="52">
        <f>'SCH B-2.3 B'!H86</f>
        <v>441322.50599999999</v>
      </c>
      <c r="E86" s="62"/>
      <c r="F86" s="52">
        <f t="shared" si="21"/>
        <v>441322.50599999999</v>
      </c>
      <c r="G86" s="52">
        <v>0</v>
      </c>
      <c r="H86" s="52">
        <f t="shared" si="22"/>
        <v>441322.50599999999</v>
      </c>
    </row>
    <row r="87" spans="1:8" ht="18.95" customHeight="1">
      <c r="A87" s="34">
        <f t="shared" si="24"/>
        <v>60</v>
      </c>
      <c r="B87" s="35" t="s">
        <v>425</v>
      </c>
      <c r="C87" s="42" t="s">
        <v>426</v>
      </c>
      <c r="D87" s="52">
        <f>'SCH B-2.3 B'!H87</f>
        <v>1209629.574</v>
      </c>
      <c r="E87" s="62"/>
      <c r="F87" s="52">
        <f t="shared" si="21"/>
        <v>1209629.574</v>
      </c>
      <c r="G87" s="52">
        <v>0</v>
      </c>
      <c r="H87" s="52">
        <f t="shared" si="22"/>
        <v>1209629.574</v>
      </c>
    </row>
    <row r="88" spans="1:8" ht="18.95" customHeight="1">
      <c r="A88" s="34">
        <f t="shared" si="24"/>
        <v>61</v>
      </c>
      <c r="B88" s="35" t="s">
        <v>427</v>
      </c>
      <c r="C88" s="42" t="s">
        <v>428</v>
      </c>
      <c r="D88" s="52">
        <f>'SCH B-2.3 B'!H88</f>
        <v>0</v>
      </c>
      <c r="E88" s="62"/>
      <c r="F88" s="52">
        <f t="shared" si="21"/>
        <v>0</v>
      </c>
      <c r="G88" s="52">
        <v>0</v>
      </c>
      <c r="H88" s="52">
        <f t="shared" si="22"/>
        <v>0</v>
      </c>
    </row>
    <row r="89" spans="1:8" s="32" customFormat="1" ht="20.100000000000001" customHeight="1">
      <c r="A89" s="494" t="str">
        <f>$A$1</f>
        <v>LOUISVILLE GAS AND ELECTRIC COMPANY</v>
      </c>
      <c r="B89" s="494"/>
      <c r="C89" s="494"/>
      <c r="D89" s="494"/>
      <c r="E89" s="494"/>
      <c r="F89" s="494"/>
      <c r="G89" s="494"/>
      <c r="H89" s="494"/>
    </row>
    <row r="90" spans="1:8" s="32" customFormat="1" ht="20.100000000000001" customHeight="1">
      <c r="A90" s="494" t="str">
        <f>$A$2</f>
        <v>CASE NO. 2016-00371 - GAS OPERATIONS</v>
      </c>
      <c r="B90" s="494"/>
      <c r="C90" s="494"/>
      <c r="D90" s="494"/>
      <c r="E90" s="494"/>
      <c r="F90" s="494"/>
      <c r="G90" s="494"/>
      <c r="H90" s="494"/>
    </row>
    <row r="91" spans="1:8" s="32" customFormat="1" ht="20.100000000000001" customHeight="1">
      <c r="A91" s="494" t="str">
        <f>$A$3</f>
        <v>PLANT IN SERVICE BY ACCOUNTS AND SUBACCOUNTS</v>
      </c>
      <c r="B91" s="494"/>
      <c r="C91" s="494"/>
      <c r="D91" s="494"/>
      <c r="E91" s="494"/>
      <c r="F91" s="494"/>
      <c r="G91" s="494"/>
      <c r="H91" s="494"/>
    </row>
    <row r="92" spans="1:8" s="32" customFormat="1" ht="20.100000000000001" customHeight="1">
      <c r="A92" s="493" t="str">
        <f>$A$4</f>
        <v>AS OF FEBRUARY 28, 2017</v>
      </c>
      <c r="B92" s="494"/>
      <c r="C92" s="494"/>
      <c r="D92" s="494"/>
      <c r="E92" s="494"/>
      <c r="F92" s="494"/>
      <c r="G92" s="494"/>
      <c r="H92" s="494"/>
    </row>
    <row r="93" spans="1:8" s="32" customFormat="1" ht="20.100000000000001" customHeight="1">
      <c r="A93" s="48"/>
      <c r="B93" s="48"/>
      <c r="C93" s="48"/>
      <c r="D93" s="48"/>
      <c r="E93" s="48"/>
      <c r="F93" s="48"/>
      <c r="G93" s="48"/>
      <c r="H93" s="48"/>
    </row>
    <row r="94" spans="1:8" s="32" customFormat="1" ht="20.100000000000001" customHeight="1">
      <c r="A94" s="31" t="str">
        <f>$A$6</f>
        <v>DATA:__X__BASE  PERIOD____FORECASTED  PERIOD</v>
      </c>
      <c r="B94" s="31"/>
      <c r="G94" s="38"/>
      <c r="H94" s="38" t="s">
        <v>115</v>
      </c>
    </row>
    <row r="95" spans="1:8" s="32" customFormat="1" ht="20.100000000000001" customHeight="1">
      <c r="A95" s="31" t="str">
        <f>$A$7</f>
        <v>TYPE OF FILING: __X__ ORIGINAL  _____ UPDATED  _____ REVISED</v>
      </c>
      <c r="G95" s="38"/>
      <c r="H95" s="38" t="s">
        <v>58</v>
      </c>
    </row>
    <row r="96" spans="1:8" s="32" customFormat="1" ht="20.100000000000001" customHeight="1">
      <c r="A96" s="31" t="str">
        <f>$A$8</f>
        <v xml:space="preserve">WORKPAPER REFERENCE NO(S).: </v>
      </c>
      <c r="B96" s="31"/>
      <c r="F96" s="31"/>
      <c r="G96" s="39"/>
      <c r="H96" s="39" t="str">
        <f>$H$8</f>
        <v>WITNESS:   C. M. GARRETT</v>
      </c>
    </row>
    <row r="97" spans="1:8" s="32" customFormat="1" ht="20.100000000000001" customHeight="1"/>
    <row r="98" spans="1:8" ht="58.5" customHeight="1">
      <c r="A98" s="40" t="s">
        <v>29</v>
      </c>
      <c r="B98" s="40" t="s">
        <v>32</v>
      </c>
      <c r="C98" s="43" t="s">
        <v>109</v>
      </c>
      <c r="D98" s="40" t="s">
        <v>110</v>
      </c>
      <c r="E98" s="40" t="s">
        <v>111</v>
      </c>
      <c r="F98" s="40" t="s">
        <v>112</v>
      </c>
      <c r="G98" s="40" t="s">
        <v>113</v>
      </c>
      <c r="H98" s="40" t="s">
        <v>114</v>
      </c>
    </row>
    <row r="99" spans="1:8" ht="23.1" customHeight="1">
      <c r="A99" s="44"/>
      <c r="B99" s="44"/>
      <c r="C99" s="45"/>
      <c r="D99" s="46" t="s">
        <v>40</v>
      </c>
      <c r="E99" s="131">
        <f>$E$11</f>
        <v>1</v>
      </c>
      <c r="F99" s="46" t="s">
        <v>40</v>
      </c>
      <c r="G99" s="46" t="s">
        <v>40</v>
      </c>
      <c r="H99" s="46" t="s">
        <v>40</v>
      </c>
    </row>
    <row r="100" spans="1:8" ht="18.95" customHeight="1">
      <c r="A100" s="34">
        <f>A88+1</f>
        <v>62</v>
      </c>
      <c r="B100" s="35" t="s">
        <v>429</v>
      </c>
      <c r="C100" s="42" t="s">
        <v>430</v>
      </c>
      <c r="D100" s="52">
        <f>'SCH B-2.3 B'!H100</f>
        <v>102775.863</v>
      </c>
      <c r="E100" s="62"/>
      <c r="F100" s="52">
        <f t="shared" ref="F100:F103" si="25">D100</f>
        <v>102775.863</v>
      </c>
      <c r="G100" s="52">
        <v>0</v>
      </c>
      <c r="H100" s="52">
        <f t="shared" ref="H100:H103" si="26">SUM(F100:G100)</f>
        <v>102775.863</v>
      </c>
    </row>
    <row r="101" spans="1:8" ht="18.95" customHeight="1">
      <c r="A101" s="34">
        <f t="shared" ref="A101:A104" si="27">A100+1</f>
        <v>63</v>
      </c>
      <c r="B101" s="35" t="s">
        <v>431</v>
      </c>
      <c r="C101" s="42" t="s">
        <v>46</v>
      </c>
      <c r="D101" s="52">
        <f>'SCH B-2.3 B'!H101</f>
        <v>12343871.207999999</v>
      </c>
      <c r="E101" s="62"/>
      <c r="F101" s="52">
        <f t="shared" si="25"/>
        <v>12343871.207999999</v>
      </c>
      <c r="G101" s="52">
        <v>0</v>
      </c>
      <c r="H101" s="52">
        <f t="shared" si="26"/>
        <v>12343871.207999999</v>
      </c>
    </row>
    <row r="102" spans="1:8" ht="18.95" customHeight="1">
      <c r="A102" s="34">
        <f t="shared" si="27"/>
        <v>64</v>
      </c>
      <c r="B102" s="35" t="s">
        <v>432</v>
      </c>
      <c r="C102" s="42" t="s">
        <v>433</v>
      </c>
      <c r="D102" s="52">
        <f>'SCH B-2.3 B'!H102</f>
        <v>0</v>
      </c>
      <c r="E102" s="62"/>
      <c r="F102" s="52">
        <f t="shared" si="25"/>
        <v>0</v>
      </c>
      <c r="G102" s="52">
        <v>0</v>
      </c>
      <c r="H102" s="52">
        <f t="shared" si="26"/>
        <v>0</v>
      </c>
    </row>
    <row r="103" spans="1:8" ht="18.95" customHeight="1">
      <c r="A103" s="34">
        <f t="shared" si="27"/>
        <v>65</v>
      </c>
      <c r="B103" s="35">
        <v>399</v>
      </c>
      <c r="C103" s="42" t="s">
        <v>490</v>
      </c>
      <c r="D103" s="53">
        <f>'SCH B-2.3 B'!H103</f>
        <v>0</v>
      </c>
      <c r="E103" s="62"/>
      <c r="F103" s="53">
        <f t="shared" si="25"/>
        <v>0</v>
      </c>
      <c r="G103" s="53">
        <v>0</v>
      </c>
      <c r="H103" s="53">
        <f t="shared" si="26"/>
        <v>0</v>
      </c>
    </row>
    <row r="104" spans="1:8" ht="18.95" customHeight="1">
      <c r="A104" s="34">
        <f t="shared" si="27"/>
        <v>66</v>
      </c>
      <c r="B104" s="35"/>
      <c r="C104" s="42" t="s">
        <v>622</v>
      </c>
      <c r="D104" s="50">
        <f>SUM(D79:D88,D100:D103)</f>
        <v>82160007.839999974</v>
      </c>
      <c r="E104" s="50"/>
      <c r="F104" s="50">
        <f t="shared" ref="F104:H104" si="28">SUM(F79:F88,F100:F103)</f>
        <v>82160007.839999974</v>
      </c>
      <c r="G104" s="50">
        <f t="shared" si="28"/>
        <v>0</v>
      </c>
      <c r="H104" s="50">
        <f t="shared" si="28"/>
        <v>82160007.839999974</v>
      </c>
    </row>
    <row r="105" spans="1:8" ht="18.95" customHeight="1">
      <c r="A105" s="34"/>
      <c r="B105" s="35"/>
    </row>
    <row r="106" spans="1:8" ht="18.95" customHeight="1" thickBot="1">
      <c r="A106" s="34">
        <f>A104+1</f>
        <v>67</v>
      </c>
      <c r="B106" s="35"/>
      <c r="C106" s="32" t="s">
        <v>621</v>
      </c>
      <c r="D106" s="57">
        <f>SUM(D16,D31,D37,D63,D76,D104)</f>
        <v>1217201559.7099998</v>
      </c>
      <c r="E106" s="50"/>
      <c r="F106" s="57">
        <f>SUM(F16,F31,F37,F63,F76,F104)</f>
        <v>1217201559.7099998</v>
      </c>
      <c r="G106" s="57">
        <f>SUM(G16,G31,G37,G63,G76,G104)</f>
        <v>-244804849.41999987</v>
      </c>
      <c r="H106" s="57">
        <f>SUM(H16,H31,H37,H63,H76,H104)</f>
        <v>972396710.28999996</v>
      </c>
    </row>
    <row r="107" spans="1:8" ht="18.95" customHeight="1" thickTop="1">
      <c r="B107" s="35"/>
    </row>
    <row r="108" spans="1:8" ht="18.95" customHeight="1">
      <c r="B108" s="35"/>
      <c r="C108" s="130" t="s">
        <v>620</v>
      </c>
      <c r="D108" s="50"/>
    </row>
    <row r="109" spans="1:8" ht="18.95" customHeight="1">
      <c r="B109" s="35"/>
      <c r="C109" s="42"/>
    </row>
    <row r="110" spans="1:8" ht="18.95" customHeight="1">
      <c r="B110" s="35"/>
    </row>
    <row r="111" spans="1:8" ht="18.95" customHeight="1">
      <c r="B111" s="35"/>
    </row>
    <row r="112" spans="1:8" ht="18.95" customHeight="1">
      <c r="D112" s="33" t="s">
        <v>47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5" fitToHeight="0" orientation="portrait" r:id="rId1"/>
  <rowBreaks count="2" manualBreakCount="2">
    <brk id="44" max="16383" man="1"/>
    <brk id="88" max="8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pageSetUpPr fitToPage="1"/>
  </sheetPr>
  <dimension ref="A1:H124"/>
  <sheetViews>
    <sheetView zoomScaleNormal="100" workbookViewId="0">
      <selection sqref="A1:H1"/>
    </sheetView>
  </sheetViews>
  <sheetFormatPr defaultColWidth="9" defaultRowHeight="12.75"/>
  <cols>
    <col min="1" max="1" width="6" style="33" customWidth="1"/>
    <col min="2" max="2" width="9.6640625" style="33" customWidth="1"/>
    <col min="3" max="3" width="38.33203125" style="33" customWidth="1"/>
    <col min="4" max="5" width="13.6640625" style="33" customWidth="1"/>
    <col min="6" max="6" width="16.109375" style="33" customWidth="1"/>
    <col min="7" max="7" width="15.109375" style="33" customWidth="1"/>
    <col min="8" max="8" width="13.6640625" style="33" customWidth="1"/>
    <col min="9" max="9" width="1.6640625" style="33" customWidth="1"/>
    <col min="10" max="16384" width="9" style="33"/>
  </cols>
  <sheetData>
    <row r="1" spans="1:8" s="32" customFormat="1" ht="20.100000000000001" customHeight="1">
      <c r="A1" s="494" t="str">
        <f>'Rate Case Constants'!C9</f>
        <v>LOUISVILLE GAS AND ELECTRIC COMPANY</v>
      </c>
      <c r="B1" s="494"/>
      <c r="C1" s="494"/>
      <c r="D1" s="494"/>
      <c r="E1" s="494"/>
      <c r="F1" s="494"/>
      <c r="G1" s="494"/>
      <c r="H1" s="494"/>
    </row>
    <row r="2" spans="1:8" s="32" customFormat="1" ht="20.100000000000001" customHeight="1">
      <c r="A2" s="494" t="str">
        <f>'Rate Case Constants'!C10</f>
        <v>CASE NO. 2016-00371 - GAS OPERATIONS</v>
      </c>
      <c r="B2" s="494"/>
      <c r="C2" s="494"/>
      <c r="D2" s="494"/>
      <c r="E2" s="494"/>
      <c r="F2" s="494"/>
      <c r="G2" s="494"/>
      <c r="H2" s="494"/>
    </row>
    <row r="3" spans="1:8" s="32" customFormat="1" ht="20.100000000000001" customHeight="1">
      <c r="A3" s="494" t="s">
        <v>108</v>
      </c>
      <c r="B3" s="494"/>
      <c r="C3" s="494"/>
      <c r="D3" s="494"/>
      <c r="E3" s="494"/>
      <c r="F3" s="494"/>
      <c r="G3" s="494"/>
      <c r="H3" s="494"/>
    </row>
    <row r="4" spans="1:8" s="32" customFormat="1" ht="20.100000000000001" customHeight="1">
      <c r="A4" s="493" t="str">
        <f>'Rate Case Constants'!C18</f>
        <v>AS OF JUNE 30, 2018</v>
      </c>
      <c r="B4" s="494"/>
      <c r="C4" s="494"/>
      <c r="D4" s="494"/>
      <c r="E4" s="494"/>
      <c r="F4" s="494"/>
      <c r="G4" s="494"/>
      <c r="H4" s="494"/>
    </row>
    <row r="5" spans="1:8" s="32" customFormat="1" ht="20.100000000000001" customHeight="1">
      <c r="A5" s="128"/>
      <c r="B5" s="128"/>
      <c r="C5" s="128"/>
      <c r="D5" s="128"/>
      <c r="E5" s="128"/>
      <c r="F5" s="128"/>
      <c r="G5" s="128"/>
      <c r="H5" s="128"/>
    </row>
    <row r="6" spans="1:8" s="32" customFormat="1" ht="20.100000000000001" customHeight="1">
      <c r="A6" s="31" t="s">
        <v>48</v>
      </c>
      <c r="B6" s="31"/>
      <c r="G6" s="38"/>
      <c r="H6" s="38" t="s">
        <v>115</v>
      </c>
    </row>
    <row r="7" spans="1:8" s="32" customFormat="1" ht="20.100000000000001" customHeight="1">
      <c r="A7" s="32" t="str">
        <f>'Rate Case Constants'!C29</f>
        <v>TYPE OF FILING: __X__ ORIGINAL  _____ UPDATED  _____ REVISED</v>
      </c>
      <c r="G7" s="38"/>
      <c r="H7" s="38" t="s">
        <v>55</v>
      </c>
    </row>
    <row r="8" spans="1:8" s="32" customFormat="1" ht="20.100000000000001" customHeight="1">
      <c r="A8" s="31" t="s">
        <v>151</v>
      </c>
      <c r="B8" s="31"/>
      <c r="F8" s="31"/>
      <c r="G8" s="39"/>
      <c r="H8" s="39" t="str">
        <f>'Rate Case Constants'!C36</f>
        <v>WITNESS:   C. M. GARRETT</v>
      </c>
    </row>
    <row r="9" spans="1:8" s="32" customFormat="1" ht="20.100000000000001" customHeight="1"/>
    <row r="10" spans="1:8" ht="84.95" customHeight="1">
      <c r="A10" s="40" t="s">
        <v>29</v>
      </c>
      <c r="B10" s="40" t="s">
        <v>32</v>
      </c>
      <c r="C10" s="43" t="s">
        <v>109</v>
      </c>
      <c r="D10" s="40" t="s">
        <v>120</v>
      </c>
      <c r="E10" s="40" t="s">
        <v>111</v>
      </c>
      <c r="F10" s="40" t="s">
        <v>112</v>
      </c>
      <c r="G10" s="40" t="s">
        <v>113</v>
      </c>
      <c r="H10" s="40" t="s">
        <v>114</v>
      </c>
    </row>
    <row r="11" spans="1:8" ht="23.1" customHeight="1">
      <c r="A11" s="44"/>
      <c r="B11" s="44"/>
      <c r="C11" s="45"/>
      <c r="D11" s="46" t="s">
        <v>40</v>
      </c>
      <c r="E11" s="131">
        <v>1</v>
      </c>
      <c r="F11" s="46" t="s">
        <v>40</v>
      </c>
      <c r="G11" s="46" t="s">
        <v>40</v>
      </c>
      <c r="H11" s="46" t="s">
        <v>40</v>
      </c>
    </row>
    <row r="12" spans="1:8" ht="23.1" customHeight="1">
      <c r="A12" s="37">
        <v>1</v>
      </c>
      <c r="B12" s="37"/>
      <c r="C12" s="49" t="s">
        <v>571</v>
      </c>
      <c r="D12" s="41"/>
      <c r="E12" s="41"/>
      <c r="F12" s="41"/>
      <c r="G12" s="41"/>
      <c r="H12" s="41"/>
    </row>
    <row r="13" spans="1:8" ht="18.95" customHeight="1">
      <c r="A13" s="34">
        <f>A12+1</f>
        <v>2</v>
      </c>
      <c r="B13" s="35" t="s">
        <v>411</v>
      </c>
      <c r="C13" s="42" t="s">
        <v>412</v>
      </c>
      <c r="D13" s="50">
        <f>'SCH B-2.3 F'!I13</f>
        <v>0</v>
      </c>
      <c r="E13" s="62"/>
      <c r="F13" s="50">
        <f>D13</f>
        <v>0</v>
      </c>
      <c r="G13" s="50">
        <v>0</v>
      </c>
      <c r="H13" s="50">
        <f>SUM(F13:G13)</f>
        <v>0</v>
      </c>
    </row>
    <row r="14" spans="1:8" ht="18.95" customHeight="1">
      <c r="A14" s="34">
        <f t="shared" ref="A14:A16" si="0">A13+1</f>
        <v>3</v>
      </c>
      <c r="B14" s="35" t="s">
        <v>413</v>
      </c>
      <c r="C14" s="42" t="s">
        <v>414</v>
      </c>
      <c r="D14" s="50">
        <f>'SCH B-2.3 F'!I14</f>
        <v>387.49</v>
      </c>
      <c r="E14" s="62"/>
      <c r="F14" s="52">
        <f t="shared" ref="F14:F15" si="1">D14</f>
        <v>387.49</v>
      </c>
      <c r="G14" s="51">
        <v>0</v>
      </c>
      <c r="H14" s="52">
        <f t="shared" ref="H14:H15" si="2">SUM(F14:G14)</f>
        <v>387.49</v>
      </c>
    </row>
    <row r="15" spans="1:8" ht="18.95" customHeight="1">
      <c r="A15" s="34">
        <f t="shared" si="0"/>
        <v>4</v>
      </c>
      <c r="B15" s="35" t="s">
        <v>415</v>
      </c>
      <c r="C15" s="42" t="s">
        <v>416</v>
      </c>
      <c r="D15" s="53">
        <f>'SCH B-2.3 F'!I15</f>
        <v>0</v>
      </c>
      <c r="E15" s="62"/>
      <c r="F15" s="53">
        <f t="shared" si="1"/>
        <v>0</v>
      </c>
      <c r="G15" s="53">
        <v>0</v>
      </c>
      <c r="H15" s="53">
        <f t="shared" si="2"/>
        <v>0</v>
      </c>
    </row>
    <row r="16" spans="1:8" ht="18.95" customHeight="1">
      <c r="A16" s="34">
        <f t="shared" si="0"/>
        <v>5</v>
      </c>
      <c r="B16" s="34"/>
      <c r="C16" s="42" t="s">
        <v>41</v>
      </c>
      <c r="D16" s="50">
        <f>SUM(D13:D15)</f>
        <v>387.49</v>
      </c>
      <c r="E16" s="50"/>
      <c r="F16" s="50">
        <f>SUM(F13:F15)</f>
        <v>387.49</v>
      </c>
      <c r="G16" s="50">
        <f>SUM(G13:G15)</f>
        <v>0</v>
      </c>
      <c r="H16" s="50">
        <f>SUM(H13:H15)</f>
        <v>387.49</v>
      </c>
    </row>
    <row r="17" spans="1:8" ht="18.95" customHeight="1">
      <c r="A17" s="34"/>
      <c r="B17" s="34"/>
      <c r="D17" s="36"/>
      <c r="E17" s="36"/>
      <c r="F17" s="36"/>
      <c r="G17" s="36"/>
      <c r="H17" s="36"/>
    </row>
    <row r="18" spans="1:8" ht="18.95" customHeight="1">
      <c r="A18" s="34">
        <f>A16+1</f>
        <v>6</v>
      </c>
      <c r="B18" s="34"/>
      <c r="C18" s="54" t="s">
        <v>572</v>
      </c>
      <c r="D18" s="36"/>
      <c r="E18" s="36"/>
      <c r="F18" s="36"/>
      <c r="G18" s="36"/>
      <c r="H18" s="36"/>
    </row>
    <row r="19" spans="1:8" ht="18.95" customHeight="1">
      <c r="A19" s="34">
        <f t="shared" ref="A19:A44" si="3">A18+1</f>
        <v>7</v>
      </c>
      <c r="B19" s="35">
        <v>350</v>
      </c>
      <c r="C19" s="42" t="s">
        <v>43</v>
      </c>
      <c r="D19" s="52">
        <f>'SCH B-2.3 F'!I19</f>
        <v>134076.55999999997</v>
      </c>
      <c r="E19" s="62"/>
      <c r="F19" s="52">
        <f t="shared" ref="F19:F30" si="4">D19</f>
        <v>134076.55999999997</v>
      </c>
      <c r="G19" s="52">
        <v>0</v>
      </c>
      <c r="H19" s="52">
        <f t="shared" ref="H19:H30" si="5">SUM(F19:G19)</f>
        <v>134076.55999999997</v>
      </c>
    </row>
    <row r="20" spans="1:8" ht="18" customHeight="1">
      <c r="A20" s="34">
        <f t="shared" si="3"/>
        <v>8</v>
      </c>
      <c r="B20" s="35">
        <v>351</v>
      </c>
      <c r="C20" s="42" t="s">
        <v>42</v>
      </c>
      <c r="D20" s="52">
        <f>'SCH B-2.3 F'!I20</f>
        <v>15781511.025384616</v>
      </c>
      <c r="E20" s="62"/>
      <c r="F20" s="52">
        <f t="shared" si="4"/>
        <v>15781511.025384616</v>
      </c>
      <c r="G20" s="52">
        <v>0</v>
      </c>
      <c r="H20" s="52">
        <f t="shared" si="5"/>
        <v>15781511.025384616</v>
      </c>
    </row>
    <row r="21" spans="1:8" ht="18.95" customHeight="1">
      <c r="A21" s="34">
        <f t="shared" si="3"/>
        <v>9</v>
      </c>
      <c r="B21" s="35">
        <v>352</v>
      </c>
      <c r="C21" s="42" t="s">
        <v>597</v>
      </c>
      <c r="D21" s="52">
        <f>'SCH B-2.3 F'!I21</f>
        <v>21807057.703076929</v>
      </c>
      <c r="E21" s="62"/>
      <c r="F21" s="52">
        <f t="shared" si="4"/>
        <v>21807057.703076929</v>
      </c>
      <c r="G21" s="52">
        <v>0</v>
      </c>
      <c r="H21" s="52">
        <f t="shared" si="5"/>
        <v>21807057.703076929</v>
      </c>
    </row>
    <row r="22" spans="1:8" ht="18.95" customHeight="1">
      <c r="A22" s="34">
        <f t="shared" si="3"/>
        <v>10</v>
      </c>
      <c r="B22" s="35">
        <v>352.1</v>
      </c>
      <c r="C22" s="42" t="s">
        <v>598</v>
      </c>
      <c r="D22" s="52">
        <f>'SCH B-2.3 F'!I22</f>
        <v>548241.14</v>
      </c>
      <c r="E22" s="62"/>
      <c r="F22" s="52">
        <f t="shared" si="4"/>
        <v>548241.14</v>
      </c>
      <c r="G22" s="52">
        <v>0</v>
      </c>
      <c r="H22" s="52">
        <f t="shared" si="5"/>
        <v>548241.14</v>
      </c>
    </row>
    <row r="23" spans="1:8" ht="18.95" customHeight="1">
      <c r="A23" s="34">
        <f t="shared" si="3"/>
        <v>11</v>
      </c>
      <c r="B23" s="35">
        <v>352.2</v>
      </c>
      <c r="C23" s="42" t="s">
        <v>599</v>
      </c>
      <c r="D23" s="52">
        <f>'SCH B-2.3 F'!I23</f>
        <v>400511.39999999997</v>
      </c>
      <c r="E23" s="62"/>
      <c r="F23" s="52">
        <f t="shared" si="4"/>
        <v>400511.39999999997</v>
      </c>
      <c r="G23" s="52">
        <v>0</v>
      </c>
      <c r="H23" s="52">
        <f t="shared" si="5"/>
        <v>400511.39999999997</v>
      </c>
    </row>
    <row r="24" spans="1:8" ht="18.95" customHeight="1">
      <c r="A24" s="34">
        <f t="shared" si="3"/>
        <v>12</v>
      </c>
      <c r="B24" s="35" t="s">
        <v>1104</v>
      </c>
      <c r="C24" s="42" t="s">
        <v>600</v>
      </c>
      <c r="D24" s="52">
        <f>'SCH B-2.3 F'!I24</f>
        <v>11788844.999999998</v>
      </c>
      <c r="E24" s="62"/>
      <c r="F24" s="52">
        <f t="shared" si="4"/>
        <v>11788844.999999998</v>
      </c>
      <c r="G24" s="52">
        <v>0</v>
      </c>
      <c r="H24" s="52">
        <f t="shared" si="5"/>
        <v>11788844.999999998</v>
      </c>
    </row>
    <row r="25" spans="1:8" ht="18.95" customHeight="1">
      <c r="A25" s="34">
        <f t="shared" si="3"/>
        <v>13</v>
      </c>
      <c r="B25" s="35">
        <v>353</v>
      </c>
      <c r="C25" s="42" t="s">
        <v>601</v>
      </c>
      <c r="D25" s="52">
        <f>'SCH B-2.3 F'!I25</f>
        <v>23080886.59999999</v>
      </c>
      <c r="E25" s="62"/>
      <c r="F25" s="52">
        <f t="shared" si="4"/>
        <v>23080886.59999999</v>
      </c>
      <c r="G25" s="52">
        <v>0</v>
      </c>
      <c r="H25" s="52">
        <f t="shared" si="5"/>
        <v>23080886.59999999</v>
      </c>
    </row>
    <row r="26" spans="1:8" ht="18.95" customHeight="1">
      <c r="A26" s="34">
        <f t="shared" si="3"/>
        <v>14</v>
      </c>
      <c r="B26" s="35">
        <v>354</v>
      </c>
      <c r="C26" s="42" t="s">
        <v>602</v>
      </c>
      <c r="D26" s="52">
        <f>'SCH B-2.3 F'!I26</f>
        <v>58234397.566923089</v>
      </c>
      <c r="E26" s="62"/>
      <c r="F26" s="52">
        <f t="shared" si="4"/>
        <v>58234397.566923089</v>
      </c>
      <c r="G26" s="52">
        <v>0</v>
      </c>
      <c r="H26" s="52">
        <f t="shared" si="5"/>
        <v>58234397.566923089</v>
      </c>
    </row>
    <row r="27" spans="1:8" ht="18.95" customHeight="1">
      <c r="A27" s="34">
        <f t="shared" si="3"/>
        <v>15</v>
      </c>
      <c r="B27" s="35">
        <v>355</v>
      </c>
      <c r="C27" s="42" t="s">
        <v>603</v>
      </c>
      <c r="D27" s="52">
        <f>'SCH B-2.3 F'!I27</f>
        <v>2274976.4199999995</v>
      </c>
      <c r="E27" s="62"/>
      <c r="F27" s="52">
        <f t="shared" si="4"/>
        <v>2274976.4199999995</v>
      </c>
      <c r="G27" s="52">
        <v>0</v>
      </c>
      <c r="H27" s="52">
        <f t="shared" si="5"/>
        <v>2274976.4199999995</v>
      </c>
    </row>
    <row r="28" spans="1:8" ht="18.95" customHeight="1">
      <c r="A28" s="34">
        <f t="shared" si="3"/>
        <v>16</v>
      </c>
      <c r="B28" s="35">
        <v>356</v>
      </c>
      <c r="C28" s="42" t="s">
        <v>604</v>
      </c>
      <c r="D28" s="52">
        <f>'SCH B-2.3 F'!I28</f>
        <v>23951812.295384623</v>
      </c>
      <c r="F28" s="52">
        <f t="shared" si="4"/>
        <v>23951812.295384623</v>
      </c>
      <c r="G28" s="52">
        <v>0</v>
      </c>
      <c r="H28" s="52">
        <f t="shared" si="5"/>
        <v>23951812.295384623</v>
      </c>
    </row>
    <row r="29" spans="1:8" ht="18.95" customHeight="1">
      <c r="A29" s="34">
        <f t="shared" si="3"/>
        <v>17</v>
      </c>
      <c r="B29" s="35">
        <v>357</v>
      </c>
      <c r="C29" s="42" t="s">
        <v>605</v>
      </c>
      <c r="D29" s="52">
        <f>'SCH B-2.3 F'!I29</f>
        <v>7205881.5461538425</v>
      </c>
      <c r="F29" s="52">
        <f t="shared" si="4"/>
        <v>7205881.5461538425</v>
      </c>
      <c r="G29" s="52">
        <v>0</v>
      </c>
      <c r="H29" s="52">
        <f t="shared" si="5"/>
        <v>7205881.5461538425</v>
      </c>
    </row>
    <row r="30" spans="1:8" ht="18.95" customHeight="1">
      <c r="A30" s="34">
        <f t="shared" si="3"/>
        <v>18</v>
      </c>
      <c r="B30" s="35">
        <v>358</v>
      </c>
      <c r="C30" s="42" t="s">
        <v>606</v>
      </c>
      <c r="D30" s="53">
        <f>'SCH B-2.3 F'!I30</f>
        <v>4432697.84</v>
      </c>
      <c r="E30" s="62"/>
      <c r="F30" s="53">
        <f t="shared" si="4"/>
        <v>4432697.84</v>
      </c>
      <c r="G30" s="53">
        <f>'SCH B-2.2'!F31</f>
        <v>-4432697.84</v>
      </c>
      <c r="H30" s="53">
        <f t="shared" si="5"/>
        <v>0</v>
      </c>
    </row>
    <row r="31" spans="1:8" ht="18.95" customHeight="1">
      <c r="A31" s="34">
        <f t="shared" si="3"/>
        <v>19</v>
      </c>
      <c r="C31" s="42" t="s">
        <v>608</v>
      </c>
      <c r="D31" s="52">
        <f>SUM(D19:D30)</f>
        <v>169640895.09692311</v>
      </c>
      <c r="E31" s="62"/>
      <c r="F31" s="52">
        <f t="shared" ref="F31:H31" si="6">SUM(F19:F30)</f>
        <v>169640895.09692311</v>
      </c>
      <c r="G31" s="52">
        <f t="shared" si="6"/>
        <v>-4432697.84</v>
      </c>
      <c r="H31" s="52">
        <f t="shared" si="6"/>
        <v>165208197.25692311</v>
      </c>
    </row>
    <row r="32" spans="1:8" ht="18.95" customHeight="1">
      <c r="A32" s="34"/>
      <c r="C32" s="42"/>
      <c r="D32" s="52"/>
      <c r="E32" s="62"/>
      <c r="F32" s="52"/>
      <c r="G32" s="52"/>
      <c r="H32" s="52"/>
    </row>
    <row r="33" spans="1:8" ht="18.95" customHeight="1">
      <c r="A33" s="34">
        <f>A31+1</f>
        <v>20</v>
      </c>
      <c r="C33" s="54" t="s">
        <v>591</v>
      </c>
      <c r="D33" s="52"/>
      <c r="E33" s="62"/>
      <c r="F33" s="52"/>
      <c r="G33" s="52"/>
      <c r="H33" s="52"/>
    </row>
    <row r="34" spans="1:8" ht="18.95" customHeight="1">
      <c r="A34" s="34">
        <f t="shared" si="3"/>
        <v>21</v>
      </c>
      <c r="B34" s="35">
        <v>365</v>
      </c>
      <c r="C34" s="42" t="s">
        <v>610</v>
      </c>
      <c r="D34" s="52">
        <f>'SCH B-2.3 F'!I34</f>
        <v>220659.049999999</v>
      </c>
      <c r="E34" s="62"/>
      <c r="F34" s="52">
        <f t="shared" ref="F34:F36" si="7">D34</f>
        <v>220659.049999999</v>
      </c>
      <c r="G34" s="52">
        <v>0</v>
      </c>
      <c r="H34" s="52">
        <f t="shared" ref="H34:H36" si="8">SUM(F34:G34)</f>
        <v>220659.049999999</v>
      </c>
    </row>
    <row r="35" spans="1:8" ht="18.95" customHeight="1">
      <c r="A35" s="34">
        <f t="shared" si="3"/>
        <v>22</v>
      </c>
      <c r="B35" s="35">
        <v>367</v>
      </c>
      <c r="C35" s="42" t="s">
        <v>609</v>
      </c>
      <c r="D35" s="52">
        <f>'SCH B-2.3 F'!I35</f>
        <v>52930096.874615379</v>
      </c>
      <c r="E35" s="62"/>
      <c r="F35" s="52">
        <f t="shared" si="7"/>
        <v>52930096.874615379</v>
      </c>
      <c r="G35" s="52">
        <v>0</v>
      </c>
      <c r="H35" s="52">
        <f t="shared" si="8"/>
        <v>52930096.874615379</v>
      </c>
    </row>
    <row r="36" spans="1:8" ht="18.95" customHeight="1">
      <c r="A36" s="34">
        <f t="shared" si="3"/>
        <v>23</v>
      </c>
      <c r="B36" s="35">
        <v>372</v>
      </c>
      <c r="C36" s="42" t="s">
        <v>611</v>
      </c>
      <c r="D36" s="53">
        <f>'SCH B-2.3 F'!I36</f>
        <v>2332004.91</v>
      </c>
      <c r="E36" s="62"/>
      <c r="F36" s="53">
        <f t="shared" si="7"/>
        <v>2332004.91</v>
      </c>
      <c r="G36" s="53">
        <f>'SCH B-2.2'!F32</f>
        <v>-2332004.91</v>
      </c>
      <c r="H36" s="53">
        <f t="shared" si="8"/>
        <v>0</v>
      </c>
    </row>
    <row r="37" spans="1:8" ht="18.95" customHeight="1">
      <c r="A37" s="34">
        <f>A36+1</f>
        <v>24</v>
      </c>
      <c r="B37" s="35" t="s">
        <v>117</v>
      </c>
      <c r="C37" s="42" t="s">
        <v>612</v>
      </c>
      <c r="D37" s="52">
        <f>SUM(D34:D36)</f>
        <v>55482760.83461538</v>
      </c>
      <c r="E37" s="62"/>
      <c r="F37" s="52">
        <f t="shared" ref="F37:H37" si="9">SUM(F34:F36)</f>
        <v>55482760.83461538</v>
      </c>
      <c r="G37" s="52">
        <f t="shared" si="9"/>
        <v>-2332004.91</v>
      </c>
      <c r="H37" s="52">
        <f t="shared" si="9"/>
        <v>53150755.924615376</v>
      </c>
    </row>
    <row r="38" spans="1:8" ht="18.95" customHeight="1">
      <c r="A38" s="34"/>
      <c r="B38" s="35"/>
      <c r="C38" s="42"/>
      <c r="D38" s="50"/>
      <c r="E38" s="50"/>
      <c r="F38" s="50"/>
      <c r="G38" s="50"/>
      <c r="H38" s="50"/>
    </row>
    <row r="39" spans="1:8" ht="18.95" customHeight="1">
      <c r="A39" s="34">
        <f>A37+1</f>
        <v>25</v>
      </c>
      <c r="C39" s="54" t="s">
        <v>546</v>
      </c>
      <c r="D39" s="50"/>
      <c r="E39" s="50"/>
      <c r="F39" s="50"/>
      <c r="G39" s="50"/>
      <c r="H39" s="50"/>
    </row>
    <row r="40" spans="1:8" ht="18.95" customHeight="1">
      <c r="A40" s="34">
        <f t="shared" si="3"/>
        <v>26</v>
      </c>
      <c r="B40" s="35">
        <v>374</v>
      </c>
      <c r="C40" s="42" t="s">
        <v>43</v>
      </c>
      <c r="D40" s="52">
        <f>'SCH B-2.3 F'!I40</f>
        <v>134496.91000000003</v>
      </c>
      <c r="E40" s="62"/>
      <c r="F40" s="52">
        <f t="shared" ref="F40:F44" si="10">D40</f>
        <v>134496.91000000003</v>
      </c>
      <c r="G40" s="52">
        <v>0</v>
      </c>
      <c r="H40" s="52">
        <f t="shared" ref="H40:H44" si="11">SUM(F40:G40)</f>
        <v>134496.91000000003</v>
      </c>
    </row>
    <row r="41" spans="1:8" ht="18.95" customHeight="1">
      <c r="A41" s="34">
        <f t="shared" si="3"/>
        <v>27</v>
      </c>
      <c r="B41" s="35">
        <v>375</v>
      </c>
      <c r="C41" s="42" t="s">
        <v>42</v>
      </c>
      <c r="D41" s="52">
        <f>'SCH B-2.3 F'!I41</f>
        <v>1155812.43</v>
      </c>
      <c r="E41" s="62"/>
      <c r="F41" s="52">
        <f t="shared" si="10"/>
        <v>1155812.43</v>
      </c>
      <c r="G41" s="52">
        <v>0</v>
      </c>
      <c r="H41" s="52">
        <f t="shared" si="11"/>
        <v>1155812.43</v>
      </c>
    </row>
    <row r="42" spans="1:8" ht="18.95" customHeight="1">
      <c r="A42" s="34">
        <f t="shared" si="3"/>
        <v>28</v>
      </c>
      <c r="B42" s="35">
        <v>376</v>
      </c>
      <c r="C42" s="42" t="s">
        <v>609</v>
      </c>
      <c r="D42" s="52">
        <f>'SCH B-2.3 F'!I42</f>
        <v>433952491.66153789</v>
      </c>
      <c r="E42" s="62"/>
      <c r="F42" s="52">
        <f t="shared" si="10"/>
        <v>433952491.66153789</v>
      </c>
      <c r="G42" s="52">
        <f>'SCH B-2.2'!F33</f>
        <v>-6897546.1792307328</v>
      </c>
      <c r="H42" s="52">
        <f t="shared" si="11"/>
        <v>427054945.48230714</v>
      </c>
    </row>
    <row r="43" spans="1:8" ht="18.95" customHeight="1">
      <c r="A43" s="34">
        <f t="shared" si="3"/>
        <v>29</v>
      </c>
      <c r="B43" s="35">
        <v>377</v>
      </c>
      <c r="C43" s="42" t="s">
        <v>602</v>
      </c>
      <c r="D43" s="52">
        <f>'SCH B-2.3 F'!I43</f>
        <v>0</v>
      </c>
      <c r="E43" s="62"/>
      <c r="F43" s="52">
        <f t="shared" si="10"/>
        <v>0</v>
      </c>
      <c r="G43" s="52">
        <v>0</v>
      </c>
      <c r="H43" s="52">
        <f t="shared" si="11"/>
        <v>0</v>
      </c>
    </row>
    <row r="44" spans="1:8" ht="18.95" customHeight="1">
      <c r="A44" s="34">
        <f t="shared" si="3"/>
        <v>30</v>
      </c>
      <c r="B44" s="35">
        <v>378</v>
      </c>
      <c r="C44" s="42" t="s">
        <v>613</v>
      </c>
      <c r="D44" s="52">
        <f>'SCH B-2.3 F'!I44</f>
        <v>23937001.877692293</v>
      </c>
      <c r="E44" s="62"/>
      <c r="F44" s="52">
        <f t="shared" si="10"/>
        <v>23937001.877692293</v>
      </c>
      <c r="G44" s="52">
        <v>0</v>
      </c>
      <c r="H44" s="52">
        <f t="shared" si="11"/>
        <v>23937001.877692293</v>
      </c>
    </row>
    <row r="45" spans="1:8" s="32" customFormat="1" ht="20.100000000000001" customHeight="1">
      <c r="A45" s="494" t="str">
        <f>$A$1</f>
        <v>LOUISVILLE GAS AND ELECTRIC COMPANY</v>
      </c>
      <c r="B45" s="494"/>
      <c r="C45" s="494"/>
      <c r="D45" s="494"/>
      <c r="E45" s="494"/>
      <c r="F45" s="494"/>
      <c r="G45" s="494"/>
      <c r="H45" s="494"/>
    </row>
    <row r="46" spans="1:8" s="32" customFormat="1" ht="20.100000000000001" customHeight="1">
      <c r="A46" s="494" t="str">
        <f>$A$2</f>
        <v>CASE NO. 2016-00371 - GAS OPERATIONS</v>
      </c>
      <c r="B46" s="494"/>
      <c r="C46" s="494"/>
      <c r="D46" s="494"/>
      <c r="E46" s="494"/>
      <c r="F46" s="494"/>
      <c r="G46" s="494"/>
      <c r="H46" s="494"/>
    </row>
    <row r="47" spans="1:8" s="32" customFormat="1" ht="20.100000000000001" customHeight="1">
      <c r="A47" s="494" t="str">
        <f>$A$3</f>
        <v>PLANT IN SERVICE BY ACCOUNTS AND SUBACCOUNTS</v>
      </c>
      <c r="B47" s="494"/>
      <c r="C47" s="494"/>
      <c r="D47" s="494"/>
      <c r="E47" s="494"/>
      <c r="F47" s="494"/>
      <c r="G47" s="494"/>
      <c r="H47" s="494"/>
    </row>
    <row r="48" spans="1:8" s="32" customFormat="1" ht="20.100000000000001" customHeight="1">
      <c r="A48" s="493" t="str">
        <f>$A$4</f>
        <v>AS OF JUNE 30, 2018</v>
      </c>
      <c r="B48" s="494"/>
      <c r="C48" s="494"/>
      <c r="D48" s="494"/>
      <c r="E48" s="494"/>
      <c r="F48" s="494"/>
      <c r="G48" s="494"/>
      <c r="H48" s="494"/>
    </row>
    <row r="49" spans="1:8" s="32" customFormat="1" ht="20.100000000000001" customHeight="1">
      <c r="A49" s="128"/>
      <c r="B49" s="128"/>
      <c r="C49" s="128"/>
      <c r="D49" s="128"/>
      <c r="E49" s="128"/>
      <c r="F49" s="128"/>
      <c r="G49" s="128"/>
      <c r="H49" s="128"/>
    </row>
    <row r="50" spans="1:8" s="32" customFormat="1" ht="20.100000000000001" customHeight="1">
      <c r="A50" s="31" t="str">
        <f>$A$6</f>
        <v>DATA:____BASE  PERIOD__X__FORECASTED  PERIOD</v>
      </c>
      <c r="B50" s="31"/>
      <c r="G50" s="38"/>
      <c r="H50" s="38" t="s">
        <v>115</v>
      </c>
    </row>
    <row r="51" spans="1:8" s="32" customFormat="1" ht="20.100000000000001" customHeight="1">
      <c r="A51" s="31" t="str">
        <f>$A$7</f>
        <v>TYPE OF FILING: __X__ ORIGINAL  _____ UPDATED  _____ REVISED</v>
      </c>
      <c r="G51" s="38"/>
      <c r="H51" s="38" t="s">
        <v>56</v>
      </c>
    </row>
    <row r="52" spans="1:8" s="32" customFormat="1" ht="20.100000000000001" customHeight="1">
      <c r="A52" s="31" t="str">
        <f>$A$8</f>
        <v>WORKPAPER REFERENCE NO(S).:</v>
      </c>
      <c r="B52" s="31"/>
      <c r="F52" s="31"/>
      <c r="G52" s="39"/>
      <c r="H52" s="39" t="str">
        <f>$H$8</f>
        <v>WITNESS:   C. M. GARRETT</v>
      </c>
    </row>
    <row r="53" spans="1:8" s="32" customFormat="1" ht="20.100000000000001" customHeight="1"/>
    <row r="54" spans="1:8" ht="84.95" customHeight="1">
      <c r="A54" s="40" t="s">
        <v>29</v>
      </c>
      <c r="B54" s="40" t="s">
        <v>32</v>
      </c>
      <c r="C54" s="43" t="s">
        <v>109</v>
      </c>
      <c r="D54" s="40" t="s">
        <v>120</v>
      </c>
      <c r="E54" s="40" t="s">
        <v>111</v>
      </c>
      <c r="F54" s="40" t="s">
        <v>112</v>
      </c>
      <c r="G54" s="40" t="s">
        <v>113</v>
      </c>
      <c r="H54" s="40" t="s">
        <v>114</v>
      </c>
    </row>
    <row r="55" spans="1:8" ht="23.1" customHeight="1">
      <c r="A55" s="44"/>
      <c r="B55" s="44"/>
      <c r="C55" s="45"/>
      <c r="D55" s="46" t="s">
        <v>40</v>
      </c>
      <c r="E55" s="131">
        <f>$E$11</f>
        <v>1</v>
      </c>
      <c r="F55" s="46" t="s">
        <v>40</v>
      </c>
      <c r="G55" s="46" t="s">
        <v>40</v>
      </c>
      <c r="H55" s="46" t="s">
        <v>40</v>
      </c>
    </row>
    <row r="56" spans="1:8" ht="18.95" customHeight="1">
      <c r="A56" s="34">
        <f>A44+1</f>
        <v>31</v>
      </c>
      <c r="B56" s="35">
        <v>379</v>
      </c>
      <c r="C56" s="42" t="s">
        <v>614</v>
      </c>
      <c r="D56" s="52">
        <f>'SCH B-2.3 F'!I56</f>
        <v>12352332.667692207</v>
      </c>
      <c r="E56" s="62"/>
      <c r="F56" s="52">
        <f t="shared" ref="F56:F62" si="12">D56</f>
        <v>12352332.667692207</v>
      </c>
      <c r="G56" s="52">
        <v>0</v>
      </c>
      <c r="H56" s="52">
        <f t="shared" ref="H56:H62" si="13">SUM(F56:G56)</f>
        <v>12352332.667692207</v>
      </c>
    </row>
    <row r="57" spans="1:8" ht="18.95" customHeight="1">
      <c r="A57" s="34">
        <f>A56+1</f>
        <v>32</v>
      </c>
      <c r="B57" s="35">
        <v>380</v>
      </c>
      <c r="C57" s="42" t="s">
        <v>417</v>
      </c>
      <c r="D57" s="52">
        <f>'SCH B-2.3 F'!I57</f>
        <v>388885418.28153831</v>
      </c>
      <c r="E57" s="62"/>
      <c r="F57" s="52">
        <f t="shared" si="12"/>
        <v>388885418.28153831</v>
      </c>
      <c r="G57" s="52">
        <f>'SCH B-2.2'!F34</f>
        <v>-14023554.754615385</v>
      </c>
      <c r="H57" s="52">
        <f t="shared" si="13"/>
        <v>374861863.52692294</v>
      </c>
    </row>
    <row r="58" spans="1:8" ht="18.95" customHeight="1">
      <c r="A58" s="34">
        <f t="shared" ref="A58:A63" si="14">A57+1</f>
        <v>33</v>
      </c>
      <c r="B58" s="35">
        <v>381</v>
      </c>
      <c r="C58" s="42" t="s">
        <v>418</v>
      </c>
      <c r="D58" s="52">
        <f>'SCH B-2.3 F'!I58</f>
        <v>57176384.306923017</v>
      </c>
      <c r="E58" s="62"/>
      <c r="F58" s="52">
        <f t="shared" si="12"/>
        <v>57176384.306923017</v>
      </c>
      <c r="G58" s="52">
        <v>0</v>
      </c>
      <c r="H58" s="52">
        <f t="shared" si="13"/>
        <v>57176384.306923017</v>
      </c>
    </row>
    <row r="59" spans="1:8" ht="18.95" customHeight="1">
      <c r="A59" s="34">
        <f t="shared" si="14"/>
        <v>34</v>
      </c>
      <c r="B59" s="35">
        <v>383</v>
      </c>
      <c r="C59" s="42" t="s">
        <v>615</v>
      </c>
      <c r="D59" s="52">
        <f>'SCH B-2.3 F'!I59</f>
        <v>25550379.959999993</v>
      </c>
      <c r="E59" s="62"/>
      <c r="F59" s="52">
        <f t="shared" si="12"/>
        <v>25550379.959999993</v>
      </c>
      <c r="G59" s="52">
        <v>0</v>
      </c>
      <c r="H59" s="52">
        <f t="shared" si="13"/>
        <v>25550379.959999993</v>
      </c>
    </row>
    <row r="60" spans="1:8" ht="18.95" customHeight="1">
      <c r="A60" s="34">
        <f t="shared" si="14"/>
        <v>35</v>
      </c>
      <c r="B60" s="35">
        <v>385</v>
      </c>
      <c r="C60" s="42" t="s">
        <v>616</v>
      </c>
      <c r="D60" s="52">
        <f>'SCH B-2.3 F'!I60</f>
        <v>2260538.1176923015</v>
      </c>
      <c r="E60" s="62"/>
      <c r="F60" s="52">
        <f t="shared" si="12"/>
        <v>2260538.1176923015</v>
      </c>
      <c r="G60" s="52">
        <v>0</v>
      </c>
      <c r="H60" s="52">
        <f t="shared" si="13"/>
        <v>2260538.1176923015</v>
      </c>
    </row>
    <row r="61" spans="1:8" ht="18.95" customHeight="1">
      <c r="A61" s="34">
        <f t="shared" si="14"/>
        <v>36</v>
      </c>
      <c r="B61" s="35">
        <v>387</v>
      </c>
      <c r="C61" s="42" t="s">
        <v>605</v>
      </c>
      <c r="D61" s="52">
        <f>'SCH B-2.3 F'!I61</f>
        <v>1928759.3623076924</v>
      </c>
      <c r="E61" s="62"/>
      <c r="F61" s="52">
        <f t="shared" si="12"/>
        <v>1928759.3623076924</v>
      </c>
      <c r="G61" s="52">
        <v>0</v>
      </c>
      <c r="H61" s="52">
        <f t="shared" si="13"/>
        <v>1928759.3623076924</v>
      </c>
    </row>
    <row r="62" spans="1:8" ht="18.95" customHeight="1">
      <c r="A62" s="34">
        <f t="shared" si="14"/>
        <v>37</v>
      </c>
      <c r="B62" s="35">
        <v>388</v>
      </c>
      <c r="C62" s="42" t="s">
        <v>617</v>
      </c>
      <c r="D62" s="53">
        <f>'SCH B-2.3 F'!I62</f>
        <v>10475152.659999996</v>
      </c>
      <c r="E62" s="62"/>
      <c r="F62" s="53">
        <f t="shared" si="12"/>
        <v>10475152.659999996</v>
      </c>
      <c r="G62" s="53">
        <f>'SCH B-2.2'!F35</f>
        <v>-10475152.659999996</v>
      </c>
      <c r="H62" s="53">
        <f t="shared" si="13"/>
        <v>0</v>
      </c>
    </row>
    <row r="63" spans="1:8" ht="18.95" customHeight="1">
      <c r="A63" s="34">
        <f t="shared" si="14"/>
        <v>38</v>
      </c>
      <c r="C63" s="42" t="s">
        <v>618</v>
      </c>
      <c r="D63" s="52">
        <f>SUM(D40:D44,D56:D62)</f>
        <v>957808768.23538375</v>
      </c>
      <c r="E63" s="62"/>
      <c r="F63" s="52">
        <f t="shared" ref="F63:H63" si="15">SUM(F40:F44,F56:F62)</f>
        <v>957808768.23538375</v>
      </c>
      <c r="G63" s="52">
        <f t="shared" si="15"/>
        <v>-31396253.593846112</v>
      </c>
      <c r="H63" s="52">
        <f t="shared" si="15"/>
        <v>926412514.64153755</v>
      </c>
    </row>
    <row r="64" spans="1:8" ht="18.95" customHeight="1">
      <c r="A64" s="34"/>
      <c r="D64" s="52"/>
      <c r="E64" s="62"/>
      <c r="F64" s="52"/>
      <c r="G64" s="52"/>
      <c r="H64" s="52"/>
    </row>
    <row r="65" spans="1:8" ht="18.95" customHeight="1">
      <c r="A65" s="34">
        <f>A63+1</f>
        <v>39</v>
      </c>
      <c r="B65" s="129" t="s">
        <v>545</v>
      </c>
      <c r="C65" s="54" t="s">
        <v>563</v>
      </c>
      <c r="D65" s="52"/>
      <c r="E65" s="62"/>
      <c r="F65" s="52"/>
      <c r="G65" s="52"/>
      <c r="H65" s="52"/>
    </row>
    <row r="66" spans="1:8" ht="18.95" customHeight="1">
      <c r="A66" s="34">
        <f t="shared" ref="A66:A76" si="16">A65+1</f>
        <v>40</v>
      </c>
      <c r="B66" s="35" t="s">
        <v>419</v>
      </c>
      <c r="C66" s="42" t="s">
        <v>43</v>
      </c>
      <c r="D66" s="52">
        <f>'SCH B-2.3 F'!I66</f>
        <v>0</v>
      </c>
      <c r="E66" s="62"/>
      <c r="F66" s="52">
        <f t="shared" ref="F66:F75" si="17">D66</f>
        <v>0</v>
      </c>
      <c r="G66" s="52">
        <v>0</v>
      </c>
      <c r="H66" s="52">
        <f t="shared" ref="H66:H75" si="18">SUM(F66:G66)</f>
        <v>0</v>
      </c>
    </row>
    <row r="67" spans="1:8" ht="18.95" customHeight="1">
      <c r="A67" s="34">
        <f t="shared" si="16"/>
        <v>41</v>
      </c>
      <c r="B67" s="35" t="s">
        <v>420</v>
      </c>
      <c r="C67" s="42" t="s">
        <v>42</v>
      </c>
      <c r="D67" s="52">
        <f>'SCH B-2.3 F'!I67</f>
        <v>0</v>
      </c>
      <c r="E67" s="62"/>
      <c r="F67" s="52">
        <f t="shared" si="17"/>
        <v>0</v>
      </c>
      <c r="G67" s="52">
        <v>0</v>
      </c>
      <c r="H67" s="52">
        <f t="shared" si="18"/>
        <v>0</v>
      </c>
    </row>
    <row r="68" spans="1:8" ht="18.95" customHeight="1">
      <c r="A68" s="34">
        <f t="shared" si="16"/>
        <v>42</v>
      </c>
      <c r="B68" s="35" t="s">
        <v>421</v>
      </c>
      <c r="C68" s="42" t="s">
        <v>45</v>
      </c>
      <c r="D68" s="52">
        <f>'SCH B-2.3 F'!I68</f>
        <v>0</v>
      </c>
      <c r="E68" s="62"/>
      <c r="F68" s="52">
        <f t="shared" si="17"/>
        <v>0</v>
      </c>
      <c r="G68" s="52">
        <v>0</v>
      </c>
      <c r="H68" s="52">
        <f t="shared" si="18"/>
        <v>0</v>
      </c>
    </row>
    <row r="69" spans="1:8" ht="18.95" customHeight="1">
      <c r="A69" s="34">
        <f t="shared" si="16"/>
        <v>43</v>
      </c>
      <c r="B69" s="35" t="s">
        <v>422</v>
      </c>
      <c r="C69" s="42" t="s">
        <v>44</v>
      </c>
      <c r="D69" s="52">
        <f>'SCH B-2.3 F'!I69</f>
        <v>2457097.8938461449</v>
      </c>
      <c r="E69" s="62"/>
      <c r="F69" s="52">
        <f t="shared" si="17"/>
        <v>2457097.8938461449</v>
      </c>
      <c r="G69" s="52">
        <v>0</v>
      </c>
      <c r="H69" s="52">
        <f t="shared" si="18"/>
        <v>2457097.8938461449</v>
      </c>
    </row>
    <row r="70" spans="1:8" ht="18.95" customHeight="1">
      <c r="A70" s="34">
        <f t="shared" si="16"/>
        <v>44</v>
      </c>
      <c r="B70" s="35" t="s">
        <v>423</v>
      </c>
      <c r="C70" s="42" t="s">
        <v>424</v>
      </c>
      <c r="D70" s="52">
        <f>'SCH B-2.3 F'!I70</f>
        <v>0</v>
      </c>
      <c r="E70" s="62"/>
      <c r="F70" s="52">
        <f t="shared" si="17"/>
        <v>0</v>
      </c>
      <c r="G70" s="52">
        <v>0</v>
      </c>
      <c r="H70" s="52">
        <f t="shared" si="18"/>
        <v>0</v>
      </c>
    </row>
    <row r="71" spans="1:8" ht="18.95" customHeight="1">
      <c r="A71" s="34">
        <f t="shared" si="16"/>
        <v>45</v>
      </c>
      <c r="B71" s="35" t="s">
        <v>425</v>
      </c>
      <c r="C71" s="42" t="s">
        <v>426</v>
      </c>
      <c r="D71" s="52">
        <f>'SCH B-2.3 F'!I71</f>
        <v>6940429.6976923067</v>
      </c>
      <c r="E71" s="62"/>
      <c r="F71" s="52">
        <f t="shared" si="17"/>
        <v>6940429.6976923067</v>
      </c>
      <c r="G71" s="52">
        <v>0</v>
      </c>
      <c r="H71" s="52">
        <f t="shared" si="18"/>
        <v>6940429.6976923067</v>
      </c>
    </row>
    <row r="72" spans="1:8" ht="18.95" customHeight="1">
      <c r="A72" s="34">
        <f t="shared" si="16"/>
        <v>46</v>
      </c>
      <c r="B72" s="35" t="s">
        <v>427</v>
      </c>
      <c r="C72" s="42" t="s">
        <v>428</v>
      </c>
      <c r="D72" s="52">
        <f>'SCH B-2.3 F'!I72</f>
        <v>0</v>
      </c>
      <c r="E72" s="62"/>
      <c r="F72" s="52">
        <f t="shared" si="17"/>
        <v>0</v>
      </c>
      <c r="G72" s="52">
        <v>0</v>
      </c>
      <c r="H72" s="52">
        <f t="shared" si="18"/>
        <v>0</v>
      </c>
    </row>
    <row r="73" spans="1:8" ht="18.95" customHeight="1">
      <c r="A73" s="34">
        <f t="shared" si="16"/>
        <v>47</v>
      </c>
      <c r="B73" s="35" t="s">
        <v>429</v>
      </c>
      <c r="C73" s="42" t="s">
        <v>430</v>
      </c>
      <c r="D73" s="52">
        <f>'SCH B-2.3 F'!I73</f>
        <v>3771229.42</v>
      </c>
      <c r="E73" s="62"/>
      <c r="F73" s="52">
        <f t="shared" si="17"/>
        <v>3771229.42</v>
      </c>
      <c r="G73" s="52">
        <v>0</v>
      </c>
      <c r="H73" s="52">
        <f t="shared" si="18"/>
        <v>3771229.42</v>
      </c>
    </row>
    <row r="74" spans="1:8" ht="18.95" customHeight="1">
      <c r="A74" s="34">
        <f t="shared" si="16"/>
        <v>48</v>
      </c>
      <c r="B74" s="35" t="s">
        <v>431</v>
      </c>
      <c r="C74" s="42" t="s">
        <v>46</v>
      </c>
      <c r="D74" s="52">
        <f>'SCH B-2.3 F'!I74</f>
        <v>0</v>
      </c>
      <c r="E74" s="62"/>
      <c r="F74" s="52">
        <f t="shared" si="17"/>
        <v>0</v>
      </c>
      <c r="G74" s="52">
        <v>0</v>
      </c>
      <c r="H74" s="52">
        <f t="shared" si="18"/>
        <v>0</v>
      </c>
    </row>
    <row r="75" spans="1:8" ht="18.95" customHeight="1">
      <c r="A75" s="34">
        <f t="shared" si="16"/>
        <v>49</v>
      </c>
      <c r="B75" s="35" t="s">
        <v>432</v>
      </c>
      <c r="C75" s="42" t="s">
        <v>433</v>
      </c>
      <c r="D75" s="53">
        <f>'SCH B-2.3 F'!I75</f>
        <v>0</v>
      </c>
      <c r="E75" s="62"/>
      <c r="F75" s="53">
        <f t="shared" si="17"/>
        <v>0</v>
      </c>
      <c r="G75" s="53">
        <v>0</v>
      </c>
      <c r="H75" s="53">
        <f t="shared" si="18"/>
        <v>0</v>
      </c>
    </row>
    <row r="76" spans="1:8" ht="18.95" customHeight="1">
      <c r="A76" s="34">
        <f t="shared" si="16"/>
        <v>50</v>
      </c>
      <c r="B76" s="35"/>
      <c r="C76" s="42" t="s">
        <v>619</v>
      </c>
      <c r="D76" s="52">
        <f>SUM(D66:D75)</f>
        <v>13168757.011538452</v>
      </c>
      <c r="E76" s="62"/>
      <c r="F76" s="52">
        <f>SUM(F66:F75)</f>
        <v>13168757.011538452</v>
      </c>
      <c r="G76" s="52">
        <f>SUM(G66:G75)</f>
        <v>0</v>
      </c>
      <c r="H76" s="52">
        <f>SUM(H66:H75)</f>
        <v>13168757.011538452</v>
      </c>
    </row>
    <row r="77" spans="1:8" ht="18.95" customHeight="1">
      <c r="A77" s="34"/>
      <c r="B77" s="35"/>
      <c r="D77" s="52"/>
      <c r="E77" s="62"/>
      <c r="F77" s="52"/>
      <c r="G77" s="52"/>
      <c r="H77" s="52"/>
    </row>
    <row r="78" spans="1:8" ht="18.95" customHeight="1">
      <c r="A78" s="34">
        <f>A76+1</f>
        <v>51</v>
      </c>
      <c r="B78" s="129" t="s">
        <v>452</v>
      </c>
      <c r="C78" s="54" t="s">
        <v>502</v>
      </c>
      <c r="D78" s="52"/>
      <c r="E78" s="62"/>
      <c r="F78" s="52"/>
      <c r="G78" s="52"/>
      <c r="H78" s="52"/>
    </row>
    <row r="79" spans="1:8" ht="18.95" customHeight="1">
      <c r="A79" s="34">
        <f>A78+1</f>
        <v>52</v>
      </c>
      <c r="B79" s="35" t="s">
        <v>411</v>
      </c>
      <c r="C79" s="42" t="s">
        <v>412</v>
      </c>
      <c r="D79" s="52">
        <f>'SCH B-2.3 F'!I79</f>
        <v>25134.686999999965</v>
      </c>
      <c r="E79" s="62"/>
      <c r="F79" s="52">
        <f t="shared" ref="F79:F88" si="19">D79</f>
        <v>25134.686999999965</v>
      </c>
      <c r="G79" s="52">
        <v>0</v>
      </c>
      <c r="H79" s="52">
        <f t="shared" ref="H79:H88" si="20">SUM(F79:G79)</f>
        <v>25134.686999999965</v>
      </c>
    </row>
    <row r="80" spans="1:8" ht="18.95" customHeight="1">
      <c r="A80" s="34">
        <f t="shared" ref="A80:A81" si="21">A79+1</f>
        <v>53</v>
      </c>
      <c r="B80" s="35" t="s">
        <v>413</v>
      </c>
      <c r="C80" s="42" t="s">
        <v>414</v>
      </c>
      <c r="D80" s="52">
        <f>'SCH B-2.3 F'!I80</f>
        <v>0</v>
      </c>
      <c r="E80" s="62"/>
      <c r="F80" s="52">
        <f t="shared" si="19"/>
        <v>0</v>
      </c>
      <c r="G80" s="52">
        <v>0</v>
      </c>
      <c r="H80" s="52">
        <f t="shared" si="20"/>
        <v>0</v>
      </c>
    </row>
    <row r="81" spans="1:8" ht="18.95" customHeight="1">
      <c r="A81" s="34">
        <f t="shared" si="21"/>
        <v>54</v>
      </c>
      <c r="B81" s="35" t="s">
        <v>415</v>
      </c>
      <c r="C81" s="42" t="s">
        <v>416</v>
      </c>
      <c r="D81" s="52">
        <f>'SCH B-2.3 F'!I81</f>
        <v>33940806.507692315</v>
      </c>
      <c r="E81" s="62"/>
      <c r="F81" s="52">
        <f t="shared" si="19"/>
        <v>33940806.507692315</v>
      </c>
      <c r="G81" s="52">
        <v>0</v>
      </c>
      <c r="H81" s="52">
        <f t="shared" si="20"/>
        <v>33940806.507692315</v>
      </c>
    </row>
    <row r="82" spans="1:8" ht="18.95" customHeight="1">
      <c r="A82" s="34">
        <f>A81+1</f>
        <v>55</v>
      </c>
      <c r="B82" s="35" t="s">
        <v>419</v>
      </c>
      <c r="C82" s="42" t="s">
        <v>43</v>
      </c>
      <c r="D82" s="52">
        <f>'SCH B-2.3 F'!I82</f>
        <v>529946.79300000018</v>
      </c>
      <c r="E82" s="62"/>
      <c r="F82" s="52">
        <f t="shared" si="19"/>
        <v>529946.79300000018</v>
      </c>
      <c r="G82" s="52">
        <v>0</v>
      </c>
      <c r="H82" s="52">
        <f t="shared" si="20"/>
        <v>529946.79300000018</v>
      </c>
    </row>
    <row r="83" spans="1:8" ht="18.95" customHeight="1">
      <c r="A83" s="34">
        <f t="shared" ref="A83:A88" si="22">A82+1</f>
        <v>56</v>
      </c>
      <c r="B83" s="35" t="s">
        <v>420</v>
      </c>
      <c r="C83" s="42" t="s">
        <v>42</v>
      </c>
      <c r="D83" s="52">
        <f>'SCH B-2.3 F'!I83</f>
        <v>24357578.8527692</v>
      </c>
      <c r="E83" s="62"/>
      <c r="F83" s="52">
        <f t="shared" si="19"/>
        <v>24357578.8527692</v>
      </c>
      <c r="G83" s="52">
        <v>0</v>
      </c>
      <c r="H83" s="52">
        <f t="shared" si="20"/>
        <v>24357578.8527692</v>
      </c>
    </row>
    <row r="84" spans="1:8" ht="18.95" customHeight="1">
      <c r="A84" s="34">
        <f t="shared" si="22"/>
        <v>57</v>
      </c>
      <c r="B84" s="35" t="s">
        <v>421</v>
      </c>
      <c r="C84" s="42" t="s">
        <v>45</v>
      </c>
      <c r="D84" s="52">
        <f>'SCH B-2.3 F'!I84</f>
        <v>13144396.146461533</v>
      </c>
      <c r="E84" s="62"/>
      <c r="F84" s="52">
        <f t="shared" si="19"/>
        <v>13144396.146461533</v>
      </c>
      <c r="G84" s="52">
        <v>0</v>
      </c>
      <c r="H84" s="52">
        <f t="shared" si="20"/>
        <v>13144396.146461533</v>
      </c>
    </row>
    <row r="85" spans="1:8" ht="18.95" customHeight="1">
      <c r="A85" s="34">
        <f t="shared" si="22"/>
        <v>58</v>
      </c>
      <c r="B85" s="35" t="s">
        <v>422</v>
      </c>
      <c r="C85" s="42" t="s">
        <v>44</v>
      </c>
      <c r="D85" s="52">
        <f>'SCH B-2.3 F'!I85</f>
        <v>82252.910999999993</v>
      </c>
      <c r="E85" s="62"/>
      <c r="F85" s="52">
        <f t="shared" si="19"/>
        <v>82252.910999999993</v>
      </c>
      <c r="G85" s="52">
        <v>0</v>
      </c>
      <c r="H85" s="52">
        <f t="shared" si="20"/>
        <v>82252.910999999993</v>
      </c>
    </row>
    <row r="86" spans="1:8" ht="18.95" customHeight="1">
      <c r="A86" s="34">
        <f t="shared" si="22"/>
        <v>59</v>
      </c>
      <c r="B86" s="35" t="s">
        <v>423</v>
      </c>
      <c r="C86" s="42" t="s">
        <v>424</v>
      </c>
      <c r="D86" s="52">
        <f>'SCH B-2.3 F'!I86</f>
        <v>441322.50599999999</v>
      </c>
      <c r="E86" s="62"/>
      <c r="F86" s="52">
        <f t="shared" si="19"/>
        <v>441322.50599999999</v>
      </c>
      <c r="G86" s="52">
        <v>0</v>
      </c>
      <c r="H86" s="52">
        <f t="shared" si="20"/>
        <v>441322.50599999999</v>
      </c>
    </row>
    <row r="87" spans="1:8" ht="18.95" customHeight="1">
      <c r="A87" s="34">
        <f t="shared" si="22"/>
        <v>60</v>
      </c>
      <c r="B87" s="35" t="s">
        <v>425</v>
      </c>
      <c r="C87" s="42" t="s">
        <v>426</v>
      </c>
      <c r="D87" s="52">
        <f>'SCH B-2.3 F'!I87</f>
        <v>1226167.8586153849</v>
      </c>
      <c r="E87" s="62"/>
      <c r="F87" s="52">
        <f t="shared" si="19"/>
        <v>1226167.8586153849</v>
      </c>
      <c r="G87" s="52">
        <v>0</v>
      </c>
      <c r="H87" s="52">
        <f t="shared" si="20"/>
        <v>1226167.8586153849</v>
      </c>
    </row>
    <row r="88" spans="1:8" ht="18.95" customHeight="1">
      <c r="A88" s="34">
        <f t="shared" si="22"/>
        <v>61</v>
      </c>
      <c r="B88" s="35" t="s">
        <v>427</v>
      </c>
      <c r="C88" s="42" t="s">
        <v>428</v>
      </c>
      <c r="D88" s="52">
        <f>'SCH B-2.3 F'!I88</f>
        <v>0</v>
      </c>
      <c r="E88" s="62"/>
      <c r="F88" s="52">
        <f t="shared" si="19"/>
        <v>0</v>
      </c>
      <c r="G88" s="52">
        <v>0</v>
      </c>
      <c r="H88" s="52">
        <f t="shared" si="20"/>
        <v>0</v>
      </c>
    </row>
    <row r="89" spans="1:8" s="32" customFormat="1" ht="20.100000000000001" customHeight="1">
      <c r="A89" s="494" t="str">
        <f>$A$1</f>
        <v>LOUISVILLE GAS AND ELECTRIC COMPANY</v>
      </c>
      <c r="B89" s="494"/>
      <c r="C89" s="494"/>
      <c r="D89" s="494"/>
      <c r="E89" s="494"/>
      <c r="F89" s="494"/>
      <c r="G89" s="494"/>
      <c r="H89" s="494"/>
    </row>
    <row r="90" spans="1:8" s="32" customFormat="1" ht="20.100000000000001" customHeight="1">
      <c r="A90" s="494" t="str">
        <f>$A$2</f>
        <v>CASE NO. 2016-00371 - GAS OPERATIONS</v>
      </c>
      <c r="B90" s="494"/>
      <c r="C90" s="494"/>
      <c r="D90" s="494"/>
      <c r="E90" s="494"/>
      <c r="F90" s="494"/>
      <c r="G90" s="494"/>
      <c r="H90" s="494"/>
    </row>
    <row r="91" spans="1:8" s="32" customFormat="1" ht="20.100000000000001" customHeight="1">
      <c r="A91" s="494" t="str">
        <f>$A$3</f>
        <v>PLANT IN SERVICE BY ACCOUNTS AND SUBACCOUNTS</v>
      </c>
      <c r="B91" s="494"/>
      <c r="C91" s="494"/>
      <c r="D91" s="494"/>
      <c r="E91" s="494"/>
      <c r="F91" s="494"/>
      <c r="G91" s="494"/>
      <c r="H91" s="494"/>
    </row>
    <row r="92" spans="1:8" s="32" customFormat="1" ht="20.100000000000001" customHeight="1">
      <c r="A92" s="493" t="str">
        <f>$A$4</f>
        <v>AS OF JUNE 30, 2018</v>
      </c>
      <c r="B92" s="494"/>
      <c r="C92" s="494"/>
      <c r="D92" s="494"/>
      <c r="E92" s="494"/>
      <c r="F92" s="494"/>
      <c r="G92" s="494"/>
      <c r="H92" s="494"/>
    </row>
    <row r="93" spans="1:8" s="32" customFormat="1" ht="20.100000000000001" customHeight="1">
      <c r="A93" s="128"/>
      <c r="B93" s="128"/>
      <c r="C93" s="128"/>
      <c r="D93" s="128"/>
      <c r="E93" s="128"/>
      <c r="F93" s="128"/>
      <c r="G93" s="128"/>
      <c r="H93" s="128"/>
    </row>
    <row r="94" spans="1:8" s="32" customFormat="1" ht="20.100000000000001" customHeight="1">
      <c r="A94" s="31" t="str">
        <f>$A$6</f>
        <v>DATA:____BASE  PERIOD__X__FORECASTED  PERIOD</v>
      </c>
      <c r="B94" s="31"/>
      <c r="G94" s="38"/>
      <c r="H94" s="38" t="s">
        <v>115</v>
      </c>
    </row>
    <row r="95" spans="1:8" s="32" customFormat="1" ht="20.100000000000001" customHeight="1">
      <c r="A95" s="31" t="str">
        <f>$A$7</f>
        <v>TYPE OF FILING: __X__ ORIGINAL  _____ UPDATED  _____ REVISED</v>
      </c>
      <c r="G95" s="38"/>
      <c r="H95" s="38" t="s">
        <v>57</v>
      </c>
    </row>
    <row r="96" spans="1:8" s="32" customFormat="1" ht="20.100000000000001" customHeight="1">
      <c r="A96" s="31" t="str">
        <f>$A$8</f>
        <v>WORKPAPER REFERENCE NO(S).:</v>
      </c>
      <c r="B96" s="31"/>
      <c r="F96" s="31"/>
      <c r="G96" s="39"/>
      <c r="H96" s="39" t="str">
        <f>$H$8</f>
        <v>WITNESS:   C. M. GARRETT</v>
      </c>
    </row>
    <row r="97" spans="1:8" s="32" customFormat="1" ht="20.100000000000001" customHeight="1"/>
    <row r="98" spans="1:8" ht="84.95" customHeight="1">
      <c r="A98" s="40" t="s">
        <v>29</v>
      </c>
      <c r="B98" s="40" t="s">
        <v>32</v>
      </c>
      <c r="C98" s="43" t="s">
        <v>109</v>
      </c>
      <c r="D98" s="40" t="s">
        <v>120</v>
      </c>
      <c r="E98" s="40" t="s">
        <v>111</v>
      </c>
      <c r="F98" s="40" t="s">
        <v>112</v>
      </c>
      <c r="G98" s="40" t="s">
        <v>113</v>
      </c>
      <c r="H98" s="40" t="s">
        <v>114</v>
      </c>
    </row>
    <row r="99" spans="1:8" ht="23.1" customHeight="1">
      <c r="A99" s="44"/>
      <c r="B99" s="44"/>
      <c r="C99" s="45"/>
      <c r="D99" s="46" t="s">
        <v>40</v>
      </c>
      <c r="E99" s="131">
        <f>$E$11</f>
        <v>1</v>
      </c>
      <c r="F99" s="46" t="s">
        <v>40</v>
      </c>
      <c r="G99" s="46" t="s">
        <v>40</v>
      </c>
      <c r="H99" s="46" t="s">
        <v>40</v>
      </c>
    </row>
    <row r="100" spans="1:8" ht="18.95" customHeight="1">
      <c r="A100" s="34">
        <f>A88+1</f>
        <v>62</v>
      </c>
      <c r="B100" s="35" t="s">
        <v>429</v>
      </c>
      <c r="C100" s="42" t="s">
        <v>430</v>
      </c>
      <c r="D100" s="52">
        <f>'SCH B-2.3 F'!I100</f>
        <v>102775.86299999997</v>
      </c>
      <c r="E100" s="62"/>
      <c r="F100" s="52">
        <f t="shared" ref="F100:F103" si="23">D100</f>
        <v>102775.86299999997</v>
      </c>
      <c r="G100" s="52">
        <v>0</v>
      </c>
      <c r="H100" s="52">
        <f t="shared" ref="H100:H103" si="24">SUM(F100:G100)</f>
        <v>102775.86299999997</v>
      </c>
    </row>
    <row r="101" spans="1:8" ht="18.95" customHeight="1">
      <c r="A101" s="34">
        <f t="shared" ref="A101:A104" si="25">A100+1</f>
        <v>63</v>
      </c>
      <c r="B101" s="35" t="s">
        <v>431</v>
      </c>
      <c r="C101" s="42" t="s">
        <v>46</v>
      </c>
      <c r="D101" s="52">
        <f>'SCH B-2.3 F'!I101</f>
        <v>12822626.2333846</v>
      </c>
      <c r="E101" s="62"/>
      <c r="F101" s="52">
        <f t="shared" si="23"/>
        <v>12822626.2333846</v>
      </c>
      <c r="G101" s="52">
        <v>0</v>
      </c>
      <c r="H101" s="52">
        <f t="shared" si="24"/>
        <v>12822626.2333846</v>
      </c>
    </row>
    <row r="102" spans="1:8" ht="18.95" customHeight="1">
      <c r="A102" s="34">
        <f t="shared" si="25"/>
        <v>64</v>
      </c>
      <c r="B102" s="35" t="s">
        <v>432</v>
      </c>
      <c r="C102" s="42" t="s">
        <v>433</v>
      </c>
      <c r="D102" s="52">
        <f>'SCH B-2.3 F'!I102</f>
        <v>0</v>
      </c>
      <c r="E102" s="62"/>
      <c r="F102" s="52">
        <f t="shared" si="23"/>
        <v>0</v>
      </c>
      <c r="G102" s="52">
        <v>0</v>
      </c>
      <c r="H102" s="52">
        <f t="shared" si="24"/>
        <v>0</v>
      </c>
    </row>
    <row r="103" spans="1:8" ht="18.95" customHeight="1">
      <c r="A103" s="34">
        <f t="shared" si="25"/>
        <v>65</v>
      </c>
      <c r="B103" s="35">
        <v>399</v>
      </c>
      <c r="C103" s="42" t="s">
        <v>490</v>
      </c>
      <c r="D103" s="53">
        <f>'SCH B-2.3 F'!I103</f>
        <v>0</v>
      </c>
      <c r="E103" s="62"/>
      <c r="F103" s="53">
        <f t="shared" si="23"/>
        <v>0</v>
      </c>
      <c r="G103" s="53">
        <v>0</v>
      </c>
      <c r="H103" s="53">
        <f t="shared" si="24"/>
        <v>0</v>
      </c>
    </row>
    <row r="104" spans="1:8" ht="18.95" customHeight="1">
      <c r="A104" s="34">
        <f t="shared" si="25"/>
        <v>66</v>
      </c>
      <c r="B104" s="35"/>
      <c r="C104" s="42" t="s">
        <v>622</v>
      </c>
      <c r="D104" s="50">
        <f>SUM(D79:D88,D100:D103)</f>
        <v>86673008.358923018</v>
      </c>
      <c r="E104" s="50"/>
      <c r="F104" s="50">
        <f t="shared" ref="F104:H104" si="26">SUM(F79:F88,F100:F103)</f>
        <v>86673008.358923018</v>
      </c>
      <c r="G104" s="50">
        <f t="shared" si="26"/>
        <v>0</v>
      </c>
      <c r="H104" s="50">
        <f t="shared" si="26"/>
        <v>86673008.358923018</v>
      </c>
    </row>
    <row r="105" spans="1:8" ht="18.95" customHeight="1">
      <c r="A105" s="34"/>
      <c r="B105" s="35"/>
    </row>
    <row r="106" spans="1:8" ht="18.95" customHeight="1" thickBot="1">
      <c r="A106" s="34">
        <f>A104+1</f>
        <v>67</v>
      </c>
      <c r="B106" s="35"/>
      <c r="C106" s="32" t="s">
        <v>621</v>
      </c>
      <c r="D106" s="57">
        <f>SUM(D16,D31,D37,D63,D76,D104)</f>
        <v>1282774577.0273838</v>
      </c>
      <c r="E106" s="50"/>
      <c r="F106" s="57">
        <f>SUM(F16,F31,F37,F63,F76,F104)</f>
        <v>1282774577.0273838</v>
      </c>
      <c r="G106" s="57">
        <f>SUM(G16,G31,G37,G63,G76,G104)</f>
        <v>-38160956.343846112</v>
      </c>
      <c r="H106" s="57">
        <f>SUM(H16,H31,H37,H63,H76,H104)</f>
        <v>1244613620.6835375</v>
      </c>
    </row>
    <row r="107" spans="1:8" ht="18.95" customHeight="1" thickTop="1">
      <c r="B107" s="35"/>
    </row>
    <row r="108" spans="1:8" ht="18.95" customHeight="1">
      <c r="B108" s="35"/>
      <c r="C108" s="130" t="s">
        <v>620</v>
      </c>
      <c r="D108" s="50"/>
    </row>
    <row r="109" spans="1:8" ht="18.95" customHeight="1">
      <c r="B109" s="35"/>
      <c r="C109" s="42"/>
    </row>
    <row r="110" spans="1:8" ht="18.95" customHeight="1">
      <c r="B110" s="35"/>
    </row>
    <row r="111" spans="1:8" ht="18.95" customHeight="1">
      <c r="B111" s="35"/>
    </row>
    <row r="112" spans="1:8" ht="18.95" customHeight="1">
      <c r="D112" s="33" t="s">
        <v>47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6" fitToHeight="0" orientation="portrait" r:id="rId1"/>
  <rowBreaks count="2" manualBreakCount="2">
    <brk id="44" max="16383" man="1"/>
    <brk id="88" max="8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36</vt:i4>
      </vt:variant>
    </vt:vector>
  </HeadingPairs>
  <TitlesOfParts>
    <vt:vector size="87" baseType="lpstr"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</vt:lpstr>
      <vt:lpstr>SCH B-6</vt:lpstr>
      <vt:lpstr>SCH B-7</vt:lpstr>
      <vt:lpstr>SCH B-7.1</vt:lpstr>
      <vt:lpstr>SCH B-7.2</vt:lpstr>
      <vt:lpstr>SCH B-8 TC</vt:lpstr>
      <vt:lpstr>SCH B-8 G</vt:lpstr>
      <vt:lpstr>DATA&gt;&gt;&gt;</vt:lpstr>
      <vt:lpstr>PIS B</vt:lpstr>
      <vt:lpstr>FCPIS B</vt:lpstr>
      <vt:lpstr>FC CWIP &amp; RWIP B</vt:lpstr>
      <vt:lpstr>PIS F</vt:lpstr>
      <vt:lpstr>FCPIS F</vt:lpstr>
      <vt:lpstr>FC CWIP &amp; RWIP F</vt:lpstr>
      <vt:lpstr>BS G</vt:lpstr>
      <vt:lpstr>IS G</vt:lpstr>
      <vt:lpstr>INV</vt:lpstr>
      <vt:lpstr>DefTax B</vt:lpstr>
      <vt:lpstr>DefTax F</vt:lpstr>
      <vt:lpstr>GLT DEFTAX</vt:lpstr>
      <vt:lpstr>LGE Gas Depr Rates</vt:lpstr>
      <vt:lpstr>LGE Common Depr Rates</vt:lpstr>
      <vt:lpstr>LGE Gas Proposed Depr Rates</vt:lpstr>
      <vt:lpstr>LGE Common Proposed Depr Rates</vt:lpstr>
      <vt:lpstr>'LGE Common Depr Rates'!Print_Area</vt:lpstr>
      <vt:lpstr>'LGE Gas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B-5.2'!Print_Area</vt:lpstr>
      <vt:lpstr>'SCH B-6'!Print_Area</vt:lpstr>
      <vt:lpstr>'SCH B-7'!Print_Area</vt:lpstr>
      <vt:lpstr>'SCH B-7.1'!Print_Area</vt:lpstr>
      <vt:lpstr>'SCH B-7.2'!Print_Area</vt:lpstr>
      <vt:lpstr>'SCH B-8 G'!Print_Area</vt:lpstr>
      <vt:lpstr>'SCH B-8 TC'!Print_Area</vt:lpstr>
      <vt:lpstr>'Index B'!Print_Area_MI</vt:lpstr>
      <vt:lpstr>'LGE Gas Depr Rates'!Print_Titles</vt:lpstr>
      <vt:lpstr>'LGE Gas Proposed Depr Rates'!Print_Titles</vt:lpstr>
      <vt:lpstr>'PIS B'!Print_Titles</vt:lpstr>
      <vt:lpstr>'PIS F'!Print_Titles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2014-12-09T18:51:55Z</dcterms:created>
  <dcterms:modified xsi:type="dcterms:W3CDTF">2017-02-14T13:30:00Z</dcterms:modified>
</cp:coreProperties>
</file>