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4000" windowHeight="10020"/>
  </bookViews>
  <sheets>
    <sheet name="Summary" sheetId="1" r:id="rId1"/>
    <sheet name="Headcount" sheetId="2" r:id="rId2"/>
    <sheet name="ILI Inspect - Base and Forward" sheetId="3" r:id="rId3"/>
    <sheet name="Calvary ILI - 2017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1" i="4" l="1"/>
  <c r="Q80" i="4"/>
  <c r="L83" i="4" s="1"/>
  <c r="P75" i="4"/>
  <c r="S68" i="4"/>
  <c r="N68" i="4"/>
  <c r="I68" i="4"/>
  <c r="D68" i="4"/>
  <c r="S67" i="4"/>
  <c r="N67" i="4"/>
  <c r="I67" i="4"/>
  <c r="D67" i="4"/>
  <c r="S66" i="4"/>
  <c r="N66" i="4"/>
  <c r="I66" i="4"/>
  <c r="D66" i="4"/>
  <c r="S65" i="4"/>
  <c r="N65" i="4"/>
  <c r="I65" i="4"/>
  <c r="D65" i="4"/>
  <c r="S64" i="4"/>
  <c r="N64" i="4"/>
  <c r="I64" i="4"/>
  <c r="D64" i="4"/>
  <c r="S63" i="4"/>
  <c r="N63" i="4"/>
  <c r="I63" i="4"/>
  <c r="D63" i="4"/>
  <c r="B69" i="4" s="1"/>
  <c r="S62" i="4"/>
  <c r="N62" i="4"/>
  <c r="L69" i="4" s="1"/>
  <c r="I62" i="4"/>
  <c r="S61" i="4"/>
  <c r="N61" i="4"/>
  <c r="I61" i="4"/>
  <c r="S60" i="4"/>
  <c r="N60" i="4"/>
  <c r="I60" i="4"/>
  <c r="S59" i="4"/>
  <c r="N59" i="4"/>
  <c r="I59" i="4"/>
  <c r="D59" i="4"/>
  <c r="S58" i="4"/>
  <c r="N58" i="4"/>
  <c r="I58" i="4"/>
  <c r="D58" i="4"/>
  <c r="S57" i="4"/>
  <c r="N57" i="4"/>
  <c r="I57" i="4"/>
  <c r="D57" i="4"/>
  <c r="S56" i="4"/>
  <c r="N56" i="4"/>
  <c r="I56" i="4"/>
  <c r="D56" i="4"/>
  <c r="S55" i="4"/>
  <c r="N55" i="4"/>
  <c r="I55" i="4"/>
  <c r="D55" i="4"/>
  <c r="S54" i="4"/>
  <c r="N54" i="4"/>
  <c r="I54" i="4"/>
  <c r="D54" i="4"/>
  <c r="S53" i="4"/>
  <c r="Q69" i="4" s="1"/>
  <c r="N53" i="4"/>
  <c r="I53" i="4"/>
  <c r="G69" i="4" s="1"/>
  <c r="D53" i="4"/>
  <c r="B60" i="4" s="1"/>
  <c r="P42" i="4"/>
  <c r="Q41" i="4"/>
  <c r="L44" i="4" s="1"/>
  <c r="P36" i="4"/>
  <c r="S29" i="4"/>
  <c r="N29" i="4"/>
  <c r="I29" i="4"/>
  <c r="D29" i="4"/>
  <c r="S28" i="4"/>
  <c r="N28" i="4"/>
  <c r="I28" i="4"/>
  <c r="D28" i="4"/>
  <c r="S27" i="4"/>
  <c r="N27" i="4"/>
  <c r="I27" i="4"/>
  <c r="D27" i="4"/>
  <c r="S26" i="4"/>
  <c r="N26" i="4"/>
  <c r="I26" i="4"/>
  <c r="D26" i="4"/>
  <c r="S25" i="4"/>
  <c r="N25" i="4"/>
  <c r="I25" i="4"/>
  <c r="D25" i="4"/>
  <c r="S24" i="4"/>
  <c r="N24" i="4"/>
  <c r="I24" i="4"/>
  <c r="D24" i="4"/>
  <c r="B30" i="4" s="1"/>
  <c r="S23" i="4"/>
  <c r="N23" i="4"/>
  <c r="I23" i="4"/>
  <c r="S22" i="4"/>
  <c r="N22" i="4"/>
  <c r="I22" i="4"/>
  <c r="S21" i="4"/>
  <c r="N21" i="4"/>
  <c r="I21" i="4"/>
  <c r="S20" i="4"/>
  <c r="N20" i="4"/>
  <c r="I20" i="4"/>
  <c r="D20" i="4"/>
  <c r="S19" i="4"/>
  <c r="N19" i="4"/>
  <c r="I19" i="4"/>
  <c r="D19" i="4"/>
  <c r="S18" i="4"/>
  <c r="N18" i="4"/>
  <c r="I18" i="4"/>
  <c r="D18" i="4"/>
  <c r="S17" i="4"/>
  <c r="N17" i="4"/>
  <c r="I17" i="4"/>
  <c r="D17" i="4"/>
  <c r="S16" i="4"/>
  <c r="N16" i="4"/>
  <c r="I16" i="4"/>
  <c r="D16" i="4"/>
  <c r="S15" i="4"/>
  <c r="N15" i="4"/>
  <c r="I15" i="4"/>
  <c r="D15" i="4"/>
  <c r="S14" i="4"/>
  <c r="Q30" i="4" s="1"/>
  <c r="N14" i="4"/>
  <c r="L30" i="4" s="1"/>
  <c r="I14" i="4"/>
  <c r="G30" i="4" s="1"/>
  <c r="D14" i="4"/>
  <c r="B21" i="4" s="1"/>
  <c r="A2" i="4"/>
  <c r="E8" i="3"/>
  <c r="D8" i="3"/>
  <c r="F8" i="3" s="1"/>
  <c r="A8" i="3"/>
  <c r="D18" i="2"/>
  <c r="M17" i="2"/>
  <c r="N17" i="2" s="1"/>
  <c r="M16" i="2"/>
  <c r="N16" i="2" s="1"/>
  <c r="D11" i="2"/>
  <c r="Q10" i="2"/>
  <c r="R10" i="2" s="1"/>
  <c r="S10" i="2" s="1"/>
  <c r="N10" i="2"/>
  <c r="O10" i="2" s="1"/>
  <c r="P10" i="2" s="1"/>
  <c r="T10" i="2" s="1"/>
  <c r="N9" i="2"/>
  <c r="Q9" i="2" s="1"/>
  <c r="R9" i="2" s="1"/>
  <c r="S9" i="2" s="1"/>
  <c r="G71" i="4" l="1"/>
  <c r="G70" i="4"/>
  <c r="L78" i="4" s="1"/>
  <c r="Q17" i="2"/>
  <c r="R17" i="2" s="1"/>
  <c r="S17" i="2" s="1"/>
  <c r="O17" i="2"/>
  <c r="P17" i="2" s="1"/>
  <c r="T17" i="2" s="1"/>
  <c r="L38" i="4"/>
  <c r="L31" i="4"/>
  <c r="L33" i="4" s="1"/>
  <c r="B32" i="4"/>
  <c r="B31" i="4"/>
  <c r="B71" i="4"/>
  <c r="B70" i="4"/>
  <c r="Q16" i="2"/>
  <c r="R16" i="2" s="1"/>
  <c r="S16" i="2" s="1"/>
  <c r="O16" i="2"/>
  <c r="P16" i="2" s="1"/>
  <c r="T16" i="2" s="1"/>
  <c r="T18" i="2" s="1"/>
  <c r="G31" i="4"/>
  <c r="L39" i="4" s="1"/>
  <c r="L42" i="4" s="1"/>
  <c r="L40" i="4"/>
  <c r="Q31" i="4"/>
  <c r="Q33" i="4" s="1"/>
  <c r="Q70" i="4"/>
  <c r="Q72" i="4" s="1"/>
  <c r="L79" i="4"/>
  <c r="L72" i="4"/>
  <c r="L70" i="4"/>
  <c r="L77" i="4"/>
  <c r="L81" i="4" s="1"/>
  <c r="O9" i="2"/>
  <c r="P9" i="2" s="1"/>
  <c r="T9" i="2" s="1"/>
  <c r="T11" i="2" s="1"/>
  <c r="C5" i="1" s="1"/>
  <c r="C13" i="1" s="1"/>
  <c r="B33" i="4" l="1"/>
  <c r="Q37" i="4" s="1"/>
  <c r="L37" i="4"/>
  <c r="Q39" i="4"/>
  <c r="G32" i="4"/>
  <c r="G33" i="4" s="1"/>
  <c r="Q38" i="4" s="1"/>
  <c r="Q78" i="4"/>
  <c r="L76" i="4"/>
  <c r="B72" i="4"/>
  <c r="Q76" i="4" s="1"/>
  <c r="G72" i="4"/>
  <c r="Q77" i="4" s="1"/>
  <c r="Q79" i="4" l="1"/>
  <c r="L82" i="4" s="1"/>
  <c r="Q81" i="4"/>
  <c r="L80" i="4"/>
  <c r="L84" i="4" s="1"/>
  <c r="L41" i="4"/>
  <c r="Q40" i="4"/>
  <c r="L43" i="4" l="1"/>
  <c r="L45" i="4" s="1"/>
  <c r="L4" i="4"/>
  <c r="Q42" i="4"/>
  <c r="M85" i="4"/>
  <c r="S87" i="4" l="1"/>
  <c r="M46" i="4"/>
</calcChain>
</file>

<file path=xl/sharedStrings.xml><?xml version="1.0" encoding="utf-8"?>
<sst xmlns="http://schemas.openxmlformats.org/spreadsheetml/2006/main" count="266" uniqueCount="158">
  <si>
    <t>Maintenance of Mains Increase</t>
  </si>
  <si>
    <t>Pipeline Integrity Headcount Increase</t>
  </si>
  <si>
    <t>Pipeline Integrity Budgeted Salary Increase</t>
  </si>
  <si>
    <t>Based on average five year historical actuals increased by salary increase and CPI</t>
  </si>
  <si>
    <t>Pipeline Integrity Two Vacant Positions in the Base Year</t>
  </si>
  <si>
    <t>Pipeline Integrity Consultant</t>
  </si>
  <si>
    <t>Decrease ILI Inspections</t>
  </si>
  <si>
    <t>Muldraugh Operations</t>
  </si>
  <si>
    <t>Based on five-year average historical actuals increased by CPI</t>
  </si>
  <si>
    <t>Magnolia Operations</t>
  </si>
  <si>
    <t>$53k based on five-year average of historical actuals increased by CPI. $75k should have been budgeted to FERC 856.</t>
  </si>
  <si>
    <t>Other Items</t>
  </si>
  <si>
    <t xml:space="preserve">LG&amp;E and KU Energy LLC </t>
  </si>
  <si>
    <t xml:space="preserve">Gas Distribution Operations </t>
  </si>
  <si>
    <t>Headcount</t>
  </si>
  <si>
    <t xml:space="preserve"> </t>
  </si>
  <si>
    <t>Position Increases Test Year</t>
  </si>
  <si>
    <t>Test Year</t>
  </si>
  <si>
    <t>Headcount Report Line</t>
  </si>
  <si>
    <t>Position Title</t>
  </si>
  <si>
    <t># of Positions</t>
  </si>
  <si>
    <t>Year of Hire</t>
  </si>
  <si>
    <t>Month of Hire</t>
  </si>
  <si>
    <t>Requisition Category</t>
  </si>
  <si>
    <t>O&amp;M Ratio</t>
  </si>
  <si>
    <t>Capital / LE Ratio</t>
  </si>
  <si>
    <t xml:space="preserve">Notes &amp; Comments </t>
  </si>
  <si>
    <t>Annual Rate</t>
  </si>
  <si>
    <t>Burden Rate (TIA)</t>
  </si>
  <si>
    <t>New Hire Rate (LoB)</t>
  </si>
  <si>
    <t>2017 : New Hire Rate (LoB)</t>
  </si>
  <si>
    <t>2017 : New Hire Impact (LoB $s)</t>
  </si>
  <si>
    <t>2017 : Net Impact (LoB $s) : OpEx</t>
  </si>
  <si>
    <t>2018 : New Hire Rate (LoB)</t>
  </si>
  <si>
    <t>2018 : New Hire Impact (LoB $s)</t>
  </si>
  <si>
    <t>2018 : Net Impact (LoB $s) : OpEx</t>
  </si>
  <si>
    <t>Test Year : Net Impact (LoB $s) : OpEx</t>
  </si>
  <si>
    <t>Gas Regulatory</t>
  </si>
  <si>
    <t>Integrity Management</t>
  </si>
  <si>
    <t>Regulatory Compliance</t>
  </si>
  <si>
    <t>Congress is mandating storage integrity management regulations be issued within two years.</t>
  </si>
  <si>
    <t>TOTAL</t>
  </si>
  <si>
    <t>Labor</t>
  </si>
  <si>
    <t>Position Vacated Base Year</t>
  </si>
  <si>
    <t>Base Year</t>
  </si>
  <si>
    <t>Year of Termination</t>
  </si>
  <si>
    <t>Month of Termination</t>
  </si>
  <si>
    <t>Burden Rate 2016 (TIA)</t>
  </si>
  <si>
    <t>Rate Burdened (LoB)</t>
  </si>
  <si>
    <t>2016 :  Rate burdened (LoB)</t>
  </si>
  <si>
    <t>2016 : Impact (LoB $s)</t>
  </si>
  <si>
    <t>2016 : Net Impact (LoB $s) : OpEx</t>
  </si>
  <si>
    <t>2017 : Rate burdened(LoB)</t>
  </si>
  <si>
    <t>2017 : Impact (LoB $s)</t>
  </si>
  <si>
    <t>Pipeline Specialist</t>
  </si>
  <si>
    <t>Position vacant beginning May 2016. Currently vacant.</t>
  </si>
  <si>
    <t>Civil Engineer</t>
  </si>
  <si>
    <t>Position vacant beginnng August 2015. Position backfilled May 2016.</t>
  </si>
  <si>
    <t>ILI - Base Year to Forward Test Year</t>
  </si>
  <si>
    <t>$000s</t>
  </si>
  <si>
    <t>Forward Year</t>
  </si>
  <si>
    <t>Difference</t>
  </si>
  <si>
    <t>Ballardsville Line</t>
  </si>
  <si>
    <t>Calvary Line</t>
  </si>
  <si>
    <t>Riverport Line</t>
  </si>
  <si>
    <t>Repair</t>
  </si>
  <si>
    <t>Calvary ILI</t>
  </si>
  <si>
    <t>Bellar</t>
  </si>
  <si>
    <t>Project Number:</t>
  </si>
  <si>
    <t>Contingency ($):</t>
  </si>
  <si>
    <t>Project Name:</t>
  </si>
  <si>
    <t>Contingency %:</t>
  </si>
  <si>
    <t>Project Year:</t>
  </si>
  <si>
    <t>Expected Reimbursement:</t>
  </si>
  <si>
    <t>Estimate By:</t>
  </si>
  <si>
    <t>Elliott Bauer</t>
  </si>
  <si>
    <t>Transportation Estimate*:</t>
  </si>
  <si>
    <t>Date:</t>
  </si>
  <si>
    <t>ILI</t>
  </si>
  <si>
    <t>COMPANY LABOR (STRAIGHT TIME)</t>
  </si>
  <si>
    <t>PURCHASED MATERIALS</t>
  </si>
  <si>
    <t>OUTSIDE SERVICES</t>
  </si>
  <si>
    <t>MISCELLANEOUS</t>
  </si>
  <si>
    <t>DESCRIPTION</t>
  </si>
  <si>
    <t>QTY</t>
  </si>
  <si>
    <t>UNIT COST</t>
  </si>
  <si>
    <t>LG&amp;E-Corrosion</t>
  </si>
  <si>
    <t>PIPELINE CONTRACTOR - REG TIME RATE</t>
  </si>
  <si>
    <t>Disposal</t>
  </si>
  <si>
    <t>LG&amp;E SR&amp;O</t>
  </si>
  <si>
    <t>Cleaning Pigs</t>
  </si>
  <si>
    <t>PIPELINE CONTRACTOR - OT RATE</t>
  </si>
  <si>
    <t>LG&amp;E Engineering</t>
  </si>
  <si>
    <t>Gauge Plate Pig</t>
  </si>
  <si>
    <t>Rosen USA - ILI</t>
  </si>
  <si>
    <t>Gravel</t>
  </si>
  <si>
    <t>Microbac Lab</t>
  </si>
  <si>
    <t>RAW TOTAL - STRAIGHT TIME</t>
  </si>
  <si>
    <t>COMPANY LABOR (OVERTIME)</t>
  </si>
  <si>
    <t>RAW TOTAL - OVERTIME</t>
  </si>
  <si>
    <t>MATERIALS RAW TOTAL</t>
  </si>
  <si>
    <t>OUTSIDE SERVICES RAW TOTAL</t>
  </si>
  <si>
    <t>MISCELLANEOUS RAW TOTAL</t>
  </si>
  <si>
    <t>TOTAL RAW CO. LABOR (ST &amp; OT)</t>
  </si>
  <si>
    <t>SALES TAX</t>
  </si>
  <si>
    <t>OUTSIDE SERVICES BURDENS</t>
  </si>
  <si>
    <t>MISCELLANEOUS BURDENS</t>
  </si>
  <si>
    <t>LABOR BURDENS</t>
  </si>
  <si>
    <t>MATERIALS BURDENS</t>
  </si>
  <si>
    <t>TOTAL BURDENED COMPANY LABOR</t>
  </si>
  <si>
    <t>TOTAL BURDENED MATERIALS</t>
  </si>
  <si>
    <t>TOTAL BURDENED OUTSIDE SERVICES</t>
  </si>
  <si>
    <t>TOTAL BURDENED MISCELLANEOUS</t>
  </si>
  <si>
    <t>BURDENS (UPDATED MARCH 2015):</t>
  </si>
  <si>
    <t>Notes:</t>
  </si>
  <si>
    <t>For Investment Proposals:</t>
  </si>
  <si>
    <t xml:space="preserve">Labor ST </t>
  </si>
  <si>
    <t>- Unit costs have been inflated 3.5% per year from 2013</t>
  </si>
  <si>
    <t xml:space="preserve">   Labor:</t>
  </si>
  <si>
    <t xml:space="preserve">Labor OT </t>
  </si>
  <si>
    <t>- Includes XGP, AFD, and data analysis. Rosen Contract # 909551</t>
  </si>
  <si>
    <t xml:space="preserve">   Contract Labor:</t>
  </si>
  <si>
    <t>Non-Labor</t>
  </si>
  <si>
    <t>Warehouse Materials*</t>
  </si>
  <si>
    <t>- 4 man crew - Will run foam and gauge plate tool using Miller/LG&amp;E employees.  Miller/LEG to track all tools</t>
  </si>
  <si>
    <t xml:space="preserve">   Materials:</t>
  </si>
  <si>
    <t>Transportation</t>
  </si>
  <si>
    <t>A&amp;G</t>
  </si>
  <si>
    <t xml:space="preserve">   Miscellaneous</t>
  </si>
  <si>
    <t>Contingency</t>
  </si>
  <si>
    <t>Local Engineering</t>
  </si>
  <si>
    <t>- Additional $500 for cleaning pigs in contract</t>
  </si>
  <si>
    <t xml:space="preserve">   Local Engineering:</t>
  </si>
  <si>
    <t>Reimbursements</t>
  </si>
  <si>
    <t>Sales Tax</t>
  </si>
  <si>
    <t xml:space="preserve">   Burdens:</t>
  </si>
  <si>
    <t>*If warehouse materials are used, please enter manually.</t>
  </si>
  <si>
    <t xml:space="preserve">   Contingency:</t>
  </si>
  <si>
    <t xml:space="preserve">   Reimbursements:</t>
  </si>
  <si>
    <t xml:space="preserve">   Net Capital Expenditure:</t>
  </si>
  <si>
    <t>*Transportation based on avg - each exp. org has a different rate.</t>
  </si>
  <si>
    <t>check</t>
  </si>
  <si>
    <t>Validation Digs</t>
  </si>
  <si>
    <t>Padding (lime dust)</t>
  </si>
  <si>
    <t>Permits</t>
  </si>
  <si>
    <t>LG&amp;E Inspector</t>
  </si>
  <si>
    <t xml:space="preserve">Temporary Fence </t>
  </si>
  <si>
    <t>Silt Fence</t>
  </si>
  <si>
    <t>PIPELINE CONTRACTOR - EQUIPMENT RENTAL</t>
  </si>
  <si>
    <t>Landscape Repairs</t>
  </si>
  <si>
    <t>Samac</t>
  </si>
  <si>
    <t xml:space="preserve">WAX TAPE </t>
  </si>
  <si>
    <t>NDT Contractor</t>
  </si>
  <si>
    <t>WAX TAPE OUTERWRAP</t>
  </si>
  <si>
    <t>Safety (Signs, cones, traffic control, etc.)</t>
  </si>
  <si>
    <t>WAX TAPE PRIMER</t>
  </si>
  <si>
    <t>Epoxy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</si>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</sst>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  <numFmt numFmtId="166" formatCode="&quot;$&quot;#,##0.00"/>
    <numFmt numFmtId="167" formatCode="&quot;$&quot;#,##0"/>
    <numFmt numFmtId="168" formatCode="0.00_);\(0.00\)"/>
    <numFmt numFmtId="169" formatCode="0_);\(0\)"/>
    <numFmt numFmtId="170" formatCode="_(&quot;$&quot;* #,##0_);_(&quot;$&quot;* \(#,##0\);_(&quot;$&quot;* &quot;-&quot;??_);_(@_)"/>
    <numFmt numFmtId="171" formatCode="0.000%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7030A0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B050"/>
      <name val="Times New Roman"/>
      <family val="1"/>
    </font>
    <font>
      <sz val="12"/>
      <color rgb="FF7030A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6"/>
      <name val="Calibri"/>
      <family val="2"/>
      <scheme val="minor"/>
    </font>
    <font>
      <b/>
      <sz val="10"/>
      <name val="Arial"/>
      <family val="2"/>
    </font>
    <font>
      <sz val="16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0" tint="-0.499984740745262"/>
      <name val="Calibri"/>
      <family val="2"/>
      <scheme val="minor"/>
    </font>
    <font>
      <i/>
      <sz val="12"/>
      <color theme="0" tint="-0.499984740745262"/>
      <name val="Arial"/>
      <family val="2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i/>
      <sz val="10"/>
      <color theme="2" tint="-0.499984740745262"/>
      <name val="Arial"/>
      <family val="2"/>
    </font>
    <font>
      <i/>
      <sz val="9"/>
      <color theme="2" tint="-0.749992370372631"/>
      <name val="Arial"/>
      <family val="2"/>
    </font>
    <font>
      <sz val="8"/>
      <color rgb="FFFF0000"/>
      <name val="Arial"/>
      <family val="2"/>
    </font>
    <font>
      <sz val="8"/>
      <color theme="2" tint="-0.24997711111789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3CBFD"/>
        <bgColor indexed="64"/>
      </patternFill>
    </fill>
    <fill>
      <patternFill patternType="solid">
        <fgColor theme="3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auto="1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0" borderId="0"/>
    <xf numFmtId="0" fontId="4" fillId="0" borderId="0"/>
    <xf numFmtId="43" fontId="4" fillId="0" borderId="0" applyFont="0" applyFill="0" applyBorder="0" applyAlignment="0" applyProtection="0"/>
  </cellStyleXfs>
  <cellXfs count="237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NumberFormat="1" applyFont="1"/>
    <xf numFmtId="0" fontId="3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 wrapText="1"/>
    </xf>
    <xf numFmtId="43" fontId="3" fillId="0" borderId="0" xfId="1" applyFont="1"/>
    <xf numFmtId="165" fontId="3" fillId="0" borderId="0" xfId="1" applyNumberFormat="1" applyFont="1"/>
    <xf numFmtId="43" fontId="3" fillId="0" borderId="0" xfId="0" applyNumberFormat="1" applyFont="1"/>
    <xf numFmtId="0" fontId="3" fillId="0" borderId="0" xfId="0" applyFont="1" applyAlignment="1">
      <alignment horizontal="center" wrapText="1"/>
    </xf>
    <xf numFmtId="0" fontId="3" fillId="0" borderId="0" xfId="0" quotePrefix="1" applyFont="1" applyAlignment="1">
      <alignment horizontal="center" wrapText="1"/>
    </xf>
    <xf numFmtId="164" fontId="3" fillId="0" borderId="1" xfId="0" applyNumberFormat="1" applyFont="1" applyFill="1" applyBorder="1"/>
    <xf numFmtId="0" fontId="5" fillId="0" borderId="0" xfId="2" applyFont="1" applyFill="1" applyAlignment="1"/>
    <xf numFmtId="166" fontId="5" fillId="0" borderId="0" xfId="2" applyNumberFormat="1" applyFont="1" applyFill="1" applyAlignment="1"/>
    <xf numFmtId="166" fontId="5" fillId="0" borderId="0" xfId="2" applyNumberFormat="1" applyFont="1" applyFill="1" applyAlignment="1">
      <alignment horizontal="center"/>
    </xf>
    <xf numFmtId="0" fontId="6" fillId="0" borderId="0" xfId="2" applyFont="1" applyFill="1" applyAlignment="1"/>
    <xf numFmtId="0" fontId="7" fillId="0" borderId="0" xfId="2" applyFont="1" applyFill="1" applyAlignment="1"/>
    <xf numFmtId="5" fontId="5" fillId="0" borderId="0" xfId="3" applyNumberFormat="1" applyFont="1" applyFill="1" applyAlignment="1"/>
    <xf numFmtId="9" fontId="5" fillId="0" borderId="0" xfId="4" applyFont="1" applyFill="1" applyAlignment="1"/>
    <xf numFmtId="167" fontId="5" fillId="0" borderId="0" xfId="2" applyNumberFormat="1" applyFont="1" applyFill="1" applyAlignment="1"/>
    <xf numFmtId="0" fontId="5" fillId="0" borderId="0" xfId="2" quotePrefix="1" applyFont="1" applyFill="1" applyAlignment="1">
      <alignment horizontal="left"/>
    </xf>
    <xf numFmtId="0" fontId="5" fillId="0" borderId="0" xfId="2" applyNumberFormat="1" applyFont="1" applyFill="1" applyAlignment="1"/>
    <xf numFmtId="167" fontId="5" fillId="0" borderId="0" xfId="2" applyNumberFormat="1" applyFont="1" applyFill="1" applyBorder="1" applyAlignment="1">
      <alignment horizontal="centerContinuous"/>
    </xf>
    <xf numFmtId="0" fontId="5" fillId="4" borderId="4" xfId="2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 vertical="center" wrapText="1"/>
    </xf>
    <xf numFmtId="0" fontId="5" fillId="5" borderId="5" xfId="2" quotePrefix="1" applyFont="1" applyFill="1" applyBorder="1" applyAlignment="1">
      <alignment horizontal="center" vertical="center" wrapText="1"/>
    </xf>
    <xf numFmtId="164" fontId="5" fillId="5" borderId="5" xfId="5" quotePrefix="1" applyNumberFormat="1" applyFont="1" applyFill="1" applyBorder="1" applyAlignment="1">
      <alignment horizontal="center" vertical="center" textRotation="90" wrapText="1"/>
    </xf>
    <xf numFmtId="0" fontId="5" fillId="5" borderId="5" xfId="2" applyFont="1" applyFill="1" applyBorder="1" applyAlignment="1">
      <alignment horizontal="center" vertical="center" wrapText="1"/>
    </xf>
    <xf numFmtId="5" fontId="5" fillId="5" borderId="5" xfId="3" applyNumberFormat="1" applyFont="1" applyFill="1" applyBorder="1" applyAlignment="1">
      <alignment horizontal="center" vertical="center" wrapText="1"/>
    </xf>
    <xf numFmtId="9" fontId="5" fillId="5" borderId="5" xfId="4" quotePrefix="1" applyFont="1" applyFill="1" applyBorder="1" applyAlignment="1">
      <alignment horizontal="center" vertical="center" wrapText="1"/>
    </xf>
    <xf numFmtId="167" fontId="5" fillId="5" borderId="5" xfId="2" quotePrefix="1" applyNumberFormat="1" applyFont="1" applyFill="1" applyBorder="1" applyAlignment="1">
      <alignment horizontal="center" vertical="center" wrapText="1"/>
    </xf>
    <xf numFmtId="167" fontId="5" fillId="2" borderId="5" xfId="2" applyNumberFormat="1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167" fontId="5" fillId="3" borderId="5" xfId="2" applyNumberFormat="1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left" vertical="center" wrapText="1"/>
    </xf>
    <xf numFmtId="0" fontId="8" fillId="0" borderId="6" xfId="2" applyFont="1" applyFill="1" applyBorder="1" applyAlignment="1">
      <alignment horizontal="center" vertical="center" wrapText="1"/>
    </xf>
    <xf numFmtId="9" fontId="8" fillId="0" borderId="6" xfId="2" applyNumberFormat="1" applyFont="1" applyFill="1" applyBorder="1" applyAlignment="1">
      <alignment horizontal="center" vertical="center" wrapText="1"/>
    </xf>
    <xf numFmtId="5" fontId="8" fillId="0" borderId="6" xfId="3" applyNumberFormat="1" applyFont="1" applyFill="1" applyBorder="1" applyAlignment="1">
      <alignment vertical="center" wrapText="1"/>
    </xf>
    <xf numFmtId="10" fontId="8" fillId="0" borderId="6" xfId="4" applyNumberFormat="1" applyFont="1" applyFill="1" applyBorder="1" applyAlignment="1">
      <alignment vertical="center" wrapText="1"/>
    </xf>
    <xf numFmtId="167" fontId="8" fillId="0" borderId="6" xfId="2" applyNumberFormat="1" applyFont="1" applyFill="1" applyBorder="1" applyAlignment="1">
      <alignment vertical="center" wrapText="1"/>
    </xf>
    <xf numFmtId="168" fontId="8" fillId="0" borderId="0" xfId="5" applyNumberFormat="1" applyFont="1" applyFill="1" applyBorder="1" applyAlignment="1">
      <alignment horizontal="right" vertical="center" wrapText="1"/>
    </xf>
    <xf numFmtId="0" fontId="5" fillId="0" borderId="7" xfId="2" applyFont="1" applyFill="1" applyBorder="1" applyAlignment="1">
      <alignment horizontal="left" vertical="center" wrapText="1"/>
    </xf>
    <xf numFmtId="0" fontId="8" fillId="0" borderId="8" xfId="2" applyFont="1" applyFill="1" applyBorder="1" applyAlignment="1">
      <alignment horizontal="left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9" fontId="8" fillId="0" borderId="8" xfId="2" applyNumberFormat="1" applyFont="1" applyFill="1" applyBorder="1" applyAlignment="1">
      <alignment horizontal="center" vertical="center" wrapText="1"/>
    </xf>
    <xf numFmtId="166" fontId="8" fillId="0" borderId="8" xfId="2" applyNumberFormat="1" applyFont="1" applyFill="1" applyBorder="1" applyAlignment="1">
      <alignment vertical="center" wrapText="1"/>
    </xf>
    <xf numFmtId="5" fontId="8" fillId="0" borderId="8" xfId="3" applyNumberFormat="1" applyFont="1" applyFill="1" applyBorder="1" applyAlignment="1">
      <alignment vertical="center" wrapText="1"/>
    </xf>
    <xf numFmtId="10" fontId="8" fillId="0" borderId="8" xfId="4" applyNumberFormat="1" applyFont="1" applyFill="1" applyBorder="1" applyAlignment="1">
      <alignment vertical="center" wrapText="1"/>
    </xf>
    <xf numFmtId="167" fontId="8" fillId="0" borderId="8" xfId="2" applyNumberFormat="1" applyFont="1" applyFill="1" applyBorder="1" applyAlignment="1">
      <alignment vertical="center" wrapText="1"/>
    </xf>
    <xf numFmtId="164" fontId="8" fillId="0" borderId="8" xfId="5" applyNumberFormat="1" applyFont="1" applyFill="1" applyBorder="1" applyAlignment="1">
      <alignment horizontal="center" vertical="center" wrapText="1"/>
    </xf>
    <xf numFmtId="164" fontId="5" fillId="0" borderId="8" xfId="5" applyNumberFormat="1" applyFont="1" applyFill="1" applyBorder="1" applyAlignment="1">
      <alignment horizontal="right" vertical="center"/>
    </xf>
    <xf numFmtId="167" fontId="5" fillId="0" borderId="9" xfId="5" applyNumberFormat="1" applyFont="1" applyFill="1" applyBorder="1" applyAlignment="1">
      <alignment horizontal="right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center" vertical="center" wrapText="1"/>
    </xf>
    <xf numFmtId="9" fontId="8" fillId="0" borderId="0" xfId="2" applyNumberFormat="1" applyFont="1" applyFill="1" applyBorder="1" applyAlignment="1">
      <alignment horizontal="center" vertical="center" wrapText="1"/>
    </xf>
    <xf numFmtId="166" fontId="8" fillId="0" borderId="0" xfId="2" applyNumberFormat="1" applyFont="1" applyFill="1" applyBorder="1" applyAlignment="1">
      <alignment vertical="center" wrapText="1"/>
    </xf>
    <xf numFmtId="5" fontId="8" fillId="0" borderId="0" xfId="3" applyNumberFormat="1" applyFont="1" applyFill="1" applyBorder="1" applyAlignment="1">
      <alignment vertical="center" wrapText="1"/>
    </xf>
    <xf numFmtId="10" fontId="8" fillId="0" borderId="0" xfId="4" applyNumberFormat="1" applyFont="1" applyFill="1" applyBorder="1" applyAlignment="1">
      <alignment vertical="center" wrapText="1"/>
    </xf>
    <xf numFmtId="167" fontId="8" fillId="0" borderId="0" xfId="2" applyNumberFormat="1" applyFont="1" applyFill="1" applyBorder="1" applyAlignment="1">
      <alignment vertical="center" wrapText="1"/>
    </xf>
    <xf numFmtId="164" fontId="8" fillId="0" borderId="10" xfId="5" applyNumberFormat="1" applyFont="1" applyFill="1" applyBorder="1" applyAlignment="1">
      <alignment horizontal="center" vertical="center" wrapText="1"/>
    </xf>
    <xf numFmtId="164" fontId="5" fillId="0" borderId="10" xfId="5" applyNumberFormat="1" applyFont="1" applyFill="1" applyBorder="1" applyAlignment="1">
      <alignment horizontal="right" vertical="center"/>
    </xf>
    <xf numFmtId="167" fontId="5" fillId="0" borderId="0" xfId="2" applyNumberFormat="1" applyFont="1" applyFill="1" applyBorder="1" applyAlignment="1"/>
    <xf numFmtId="0" fontId="5" fillId="4" borderId="4" xfId="2" quotePrefix="1" applyNumberFormat="1" applyFont="1" applyFill="1" applyBorder="1" applyAlignment="1">
      <alignment horizontal="center"/>
    </xf>
    <xf numFmtId="167" fontId="5" fillId="2" borderId="5" xfId="2" quotePrefix="1" applyNumberFormat="1" applyFont="1" applyFill="1" applyBorder="1" applyAlignment="1">
      <alignment horizontal="center" vertical="center" wrapText="1"/>
    </xf>
    <xf numFmtId="0" fontId="5" fillId="2" borderId="5" xfId="2" quotePrefix="1" applyFont="1" applyFill="1" applyBorder="1" applyAlignment="1">
      <alignment horizontal="center" vertical="center" wrapText="1"/>
    </xf>
    <xf numFmtId="167" fontId="5" fillId="3" borderId="5" xfId="2" quotePrefix="1" applyNumberFormat="1" applyFont="1" applyFill="1" applyBorder="1" applyAlignment="1">
      <alignment horizontal="center" vertical="center" wrapText="1"/>
    </xf>
    <xf numFmtId="0" fontId="5" fillId="3" borderId="5" xfId="2" quotePrefix="1" applyFont="1" applyFill="1" applyBorder="1" applyAlignment="1">
      <alignment horizontal="center" vertical="center" wrapText="1"/>
    </xf>
    <xf numFmtId="0" fontId="8" fillId="0" borderId="6" xfId="2" quotePrefix="1" applyFont="1" applyFill="1" applyBorder="1" applyAlignment="1">
      <alignment horizontal="left" vertical="center" wrapText="1"/>
    </xf>
    <xf numFmtId="164" fontId="8" fillId="0" borderId="11" xfId="5" applyNumberFormat="1" applyFont="1" applyFill="1" applyBorder="1" applyAlignment="1">
      <alignment horizontal="center" vertical="center" wrapText="1"/>
    </xf>
    <xf numFmtId="164" fontId="5" fillId="0" borderId="11" xfId="5" applyNumberFormat="1" applyFont="1" applyFill="1" applyBorder="1" applyAlignment="1">
      <alignment horizontal="right" vertical="center"/>
    </xf>
    <xf numFmtId="167" fontId="5" fillId="0" borderId="12" xfId="5" applyNumberFormat="1" applyFont="1" applyFill="1" applyBorder="1" applyAlignment="1">
      <alignment horizontal="right" vertical="center" wrapText="1"/>
    </xf>
    <xf numFmtId="166" fontId="5" fillId="0" borderId="0" xfId="2" applyNumberFormat="1" applyFont="1" applyFill="1" applyBorder="1" applyAlignment="1"/>
    <xf numFmtId="0" fontId="9" fillId="0" borderId="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9" fontId="8" fillId="0" borderId="0" xfId="4" applyFont="1" applyFill="1" applyBorder="1" applyAlignment="1">
      <alignment vertical="center" wrapText="1"/>
    </xf>
    <xf numFmtId="0" fontId="13" fillId="0" borderId="0" xfId="6" applyFont="1"/>
    <xf numFmtId="0" fontId="14" fillId="0" borderId="0" xfId="6" applyFont="1"/>
    <xf numFmtId="0" fontId="12" fillId="0" borderId="0" xfId="6"/>
    <xf numFmtId="0" fontId="14" fillId="6" borderId="15" xfId="6" applyFont="1" applyFill="1" applyBorder="1"/>
    <xf numFmtId="0" fontId="13" fillId="5" borderId="15" xfId="6" applyFont="1" applyFill="1" applyBorder="1" applyAlignment="1">
      <alignment horizontal="center"/>
    </xf>
    <xf numFmtId="0" fontId="13" fillId="0" borderId="0" xfId="6" applyFont="1" applyFill="1" applyBorder="1" applyAlignment="1">
      <alignment horizontal="center"/>
    </xf>
    <xf numFmtId="0" fontId="12" fillId="0" borderId="15" xfId="6" applyBorder="1"/>
    <xf numFmtId="164" fontId="12" fillId="0" borderId="15" xfId="1" applyNumberFormat="1" applyFont="1" applyBorder="1"/>
    <xf numFmtId="164" fontId="13" fillId="0" borderId="15" xfId="1" applyNumberFormat="1" applyFont="1" applyBorder="1"/>
    <xf numFmtId="169" fontId="12" fillId="0" borderId="0" xfId="6" applyNumberFormat="1"/>
    <xf numFmtId="0" fontId="16" fillId="0" borderId="0" xfId="7" applyFont="1" applyProtection="1"/>
    <xf numFmtId="0" fontId="4" fillId="0" borderId="0" xfId="7" applyProtection="1"/>
    <xf numFmtId="0" fontId="16" fillId="0" borderId="0" xfId="7" applyFont="1" applyAlignment="1" applyProtection="1">
      <alignment horizontal="right"/>
    </xf>
    <xf numFmtId="0" fontId="4" fillId="0" borderId="0" xfId="7" applyFont="1" applyBorder="1" applyAlignment="1" applyProtection="1">
      <alignment wrapText="1"/>
    </xf>
    <xf numFmtId="0" fontId="16" fillId="0" borderId="0" xfId="7" applyFont="1" applyAlignment="1" applyProtection="1">
      <alignment horizontal="right" wrapText="1"/>
    </xf>
    <xf numFmtId="0" fontId="16" fillId="0" borderId="0" xfId="7" quotePrefix="1" applyFont="1" applyAlignment="1" applyProtection="1">
      <alignment horizontal="right" wrapText="1"/>
    </xf>
    <xf numFmtId="0" fontId="4" fillId="0" borderId="0" xfId="7" applyAlignment="1" applyProtection="1">
      <alignment wrapText="1"/>
    </xf>
    <xf numFmtId="0" fontId="19" fillId="0" borderId="0" xfId="7" applyFont="1" applyAlignment="1" applyProtection="1">
      <alignment vertical="center"/>
    </xf>
    <xf numFmtId="0" fontId="20" fillId="0" borderId="15" xfId="7" applyFont="1" applyFill="1" applyBorder="1" applyAlignment="1" applyProtection="1">
      <alignment horizontal="center" vertical="center" wrapText="1"/>
    </xf>
    <xf numFmtId="0" fontId="20" fillId="0" borderId="15" xfId="7" applyFont="1" applyFill="1" applyBorder="1" applyAlignment="1" applyProtection="1">
      <alignment horizontal="center" vertical="center"/>
    </xf>
    <xf numFmtId="0" fontId="4" fillId="0" borderId="0" xfId="7" applyAlignment="1" applyProtection="1">
      <alignment horizontal="center" vertical="center"/>
    </xf>
    <xf numFmtId="0" fontId="4" fillId="0" borderId="0" xfId="7" applyFill="1" applyAlignment="1" applyProtection="1">
      <alignment horizontal="center" vertical="center"/>
    </xf>
    <xf numFmtId="0" fontId="21" fillId="8" borderId="18" xfId="7" applyFont="1" applyFill="1" applyBorder="1" applyAlignment="1" applyProtection="1">
      <alignment wrapText="1"/>
      <protection locked="0"/>
    </xf>
    <xf numFmtId="38" fontId="21" fillId="8" borderId="19" xfId="7" applyNumberFormat="1" applyFont="1" applyFill="1" applyBorder="1" applyProtection="1">
      <protection locked="0"/>
    </xf>
    <xf numFmtId="170" fontId="21" fillId="0" borderId="20" xfId="7" applyNumberFormat="1" applyFont="1" applyFill="1" applyBorder="1" applyProtection="1"/>
    <xf numFmtId="0" fontId="21" fillId="0" borderId="0" xfId="7" applyFont="1" applyProtection="1"/>
    <xf numFmtId="0" fontId="21" fillId="0" borderId="0" xfId="7" applyFont="1" applyFill="1" applyProtection="1"/>
    <xf numFmtId="0" fontId="21" fillId="8" borderId="21" xfId="7" applyFont="1" applyFill="1" applyBorder="1" applyAlignment="1" applyProtection="1">
      <alignment wrapText="1"/>
      <protection locked="0"/>
    </xf>
    <xf numFmtId="38" fontId="21" fillId="8" borderId="22" xfId="7" applyNumberFormat="1" applyFont="1" applyFill="1" applyBorder="1" applyProtection="1">
      <protection locked="0"/>
    </xf>
    <xf numFmtId="170" fontId="21" fillId="0" borderId="23" xfId="7" applyNumberFormat="1" applyFont="1" applyFill="1" applyBorder="1" applyProtection="1"/>
    <xf numFmtId="0" fontId="20" fillId="0" borderId="15" xfId="7" quotePrefix="1" applyFont="1" applyFill="1" applyBorder="1" applyAlignment="1" applyProtection="1">
      <alignment horizontal="left" wrapText="1"/>
    </xf>
    <xf numFmtId="0" fontId="21" fillId="8" borderId="24" xfId="7" applyFont="1" applyFill="1" applyBorder="1" applyAlignment="1" applyProtection="1">
      <alignment wrapText="1"/>
      <protection locked="0"/>
    </xf>
    <xf numFmtId="38" fontId="21" fillId="8" borderId="25" xfId="7" applyNumberFormat="1" applyFont="1" applyFill="1" applyBorder="1" applyProtection="1">
      <protection locked="0"/>
    </xf>
    <xf numFmtId="44" fontId="21" fillId="0" borderId="23" xfId="7" applyNumberFormat="1" applyFont="1" applyFill="1" applyBorder="1" applyProtection="1"/>
    <xf numFmtId="0" fontId="4" fillId="0" borderId="0" xfId="7" applyFill="1" applyProtection="1"/>
    <xf numFmtId="0" fontId="20" fillId="0" borderId="15" xfId="7" applyFont="1" applyFill="1" applyBorder="1" applyAlignment="1" applyProtection="1">
      <alignment wrapText="1"/>
    </xf>
    <xf numFmtId="0" fontId="22" fillId="0" borderId="15" xfId="7" quotePrefix="1" applyFont="1" applyFill="1" applyBorder="1" applyAlignment="1" applyProtection="1">
      <alignment horizontal="left" wrapText="1"/>
    </xf>
    <xf numFmtId="0" fontId="22" fillId="0" borderId="15" xfId="7" applyFont="1" applyFill="1" applyBorder="1" applyAlignment="1" applyProtection="1">
      <alignment wrapText="1"/>
    </xf>
    <xf numFmtId="0" fontId="23" fillId="9" borderId="15" xfId="7" applyFont="1" applyFill="1" applyBorder="1" applyAlignment="1" applyProtection="1">
      <alignment wrapText="1"/>
    </xf>
    <xf numFmtId="0" fontId="23" fillId="10" borderId="15" xfId="7" applyFont="1" applyFill="1" applyBorder="1" applyAlignment="1" applyProtection="1">
      <alignment wrapText="1"/>
    </xf>
    <xf numFmtId="0" fontId="23" fillId="11" borderId="15" xfId="7" applyFont="1" applyFill="1" applyBorder="1" applyAlignment="1" applyProtection="1">
      <alignment wrapText="1"/>
    </xf>
    <xf numFmtId="0" fontId="23" fillId="5" borderId="15" xfId="7" applyFont="1" applyFill="1" applyBorder="1" applyAlignment="1" applyProtection="1">
      <alignment wrapText="1"/>
    </xf>
    <xf numFmtId="0" fontId="24" fillId="0" borderId="32" xfId="7" applyFont="1" applyFill="1" applyBorder="1" applyAlignment="1" applyProtection="1">
      <alignment wrapText="1"/>
    </xf>
    <xf numFmtId="0" fontId="25" fillId="0" borderId="33" xfId="7" applyFont="1" applyFill="1" applyBorder="1" applyProtection="1"/>
    <xf numFmtId="0" fontId="25" fillId="0" borderId="34" xfId="7" applyFont="1" applyFill="1" applyBorder="1" applyProtection="1"/>
    <xf numFmtId="0" fontId="26" fillId="0" borderId="27" xfId="7" applyFont="1" applyFill="1" applyBorder="1" applyAlignment="1" applyProtection="1">
      <alignment wrapText="1"/>
    </xf>
    <xf numFmtId="0" fontId="4" fillId="0" borderId="1" xfId="7" applyBorder="1" applyProtection="1"/>
    <xf numFmtId="0" fontId="4" fillId="0" borderId="28" xfId="7" applyBorder="1" applyProtection="1"/>
    <xf numFmtId="0" fontId="26" fillId="0" borderId="32" xfId="7" applyFont="1" applyFill="1" applyBorder="1" applyAlignment="1" applyProtection="1">
      <alignment wrapText="1"/>
    </xf>
    <xf numFmtId="0" fontId="27" fillId="0" borderId="33" xfId="7" applyFont="1" applyFill="1" applyBorder="1" applyProtection="1"/>
    <xf numFmtId="0" fontId="27" fillId="0" borderId="34" xfId="7" applyFont="1" applyFill="1" applyBorder="1" applyProtection="1"/>
    <xf numFmtId="0" fontId="28" fillId="0" borderId="35" xfId="7" applyFont="1" applyFill="1" applyBorder="1" applyAlignment="1" applyProtection="1">
      <alignment wrapText="1"/>
    </xf>
    <xf numFmtId="0" fontId="27" fillId="0" borderId="35" xfId="7" applyFont="1" applyFill="1" applyBorder="1" applyAlignment="1" applyProtection="1">
      <alignment wrapText="1"/>
    </xf>
    <xf numFmtId="0" fontId="18" fillId="0" borderId="37" xfId="7" applyFont="1" applyFill="1" applyBorder="1" applyAlignment="1" applyProtection="1">
      <alignment wrapText="1"/>
    </xf>
    <xf numFmtId="0" fontId="18" fillId="0" borderId="37" xfId="7" quotePrefix="1" applyFont="1" applyFill="1" applyBorder="1" applyAlignment="1" applyProtection="1">
      <alignment horizontal="left" wrapText="1"/>
    </xf>
    <xf numFmtId="0" fontId="18" fillId="0" borderId="30" xfId="7" applyFont="1" applyFill="1" applyBorder="1" applyAlignment="1" applyProtection="1">
      <alignment wrapText="1"/>
    </xf>
    <xf numFmtId="0" fontId="28" fillId="0" borderId="39" xfId="7" applyFont="1" applyFill="1" applyBorder="1" applyAlignment="1" applyProtection="1">
      <alignment wrapText="1"/>
    </xf>
    <xf numFmtId="0" fontId="18" fillId="12" borderId="42" xfId="7" applyFont="1" applyFill="1" applyBorder="1" applyAlignment="1" applyProtection="1">
      <alignment vertical="center" wrapText="1"/>
    </xf>
    <xf numFmtId="0" fontId="29" fillId="0" borderId="0" xfId="7" applyFont="1" applyAlignment="1" applyProtection="1"/>
    <xf numFmtId="0" fontId="27" fillId="0" borderId="39" xfId="7" applyFont="1" applyFill="1" applyBorder="1" applyAlignment="1" applyProtection="1">
      <alignment wrapText="1"/>
    </xf>
    <xf numFmtId="170" fontId="31" fillId="0" borderId="0" xfId="7" applyNumberFormat="1" applyFont="1" applyProtection="1"/>
    <xf numFmtId="164" fontId="32" fillId="0" borderId="0" xfId="8" applyNumberFormat="1" applyFont="1" applyProtection="1"/>
    <xf numFmtId="0" fontId="32" fillId="0" borderId="0" xfId="7" applyFont="1" applyProtection="1"/>
    <xf numFmtId="0" fontId="16" fillId="13" borderId="0" xfId="7" applyFont="1" applyFill="1" applyAlignment="1" applyProtection="1">
      <alignment wrapText="1"/>
    </xf>
    <xf numFmtId="0" fontId="4" fillId="13" borderId="0" xfId="7" applyFill="1" applyProtection="1"/>
    <xf numFmtId="0" fontId="4" fillId="13" borderId="0" xfId="7" applyFill="1" applyAlignment="1" applyProtection="1">
      <alignment wrapText="1"/>
    </xf>
    <xf numFmtId="6" fontId="16" fillId="13" borderId="0" xfId="7" applyNumberFormat="1" applyFont="1" applyFill="1" applyProtection="1"/>
    <xf numFmtId="0" fontId="5" fillId="2" borderId="2" xfId="2" applyNumberFormat="1" applyFont="1" applyFill="1" applyBorder="1" applyAlignment="1">
      <alignment horizontal="center"/>
    </xf>
    <xf numFmtId="0" fontId="5" fillId="2" borderId="3" xfId="2" applyNumberFormat="1" applyFont="1" applyFill="1" applyBorder="1" applyAlignment="1">
      <alignment horizontal="center"/>
    </xf>
    <xf numFmtId="0" fontId="5" fillId="2" borderId="4" xfId="2" applyNumberFormat="1" applyFont="1" applyFill="1" applyBorder="1" applyAlignment="1">
      <alignment horizontal="center"/>
    </xf>
    <xf numFmtId="0" fontId="5" fillId="3" borderId="2" xfId="2" applyNumberFormat="1" applyFont="1" applyFill="1" applyBorder="1" applyAlignment="1">
      <alignment horizontal="center"/>
    </xf>
    <xf numFmtId="0" fontId="5" fillId="3" borderId="3" xfId="2" applyNumberFormat="1" applyFont="1" applyFill="1" applyBorder="1" applyAlignment="1">
      <alignment horizontal="center"/>
    </xf>
    <xf numFmtId="0" fontId="5" fillId="3" borderId="4" xfId="2" applyNumberFormat="1" applyFont="1" applyFill="1" applyBorder="1" applyAlignment="1">
      <alignment horizontal="center"/>
    </xf>
    <xf numFmtId="0" fontId="13" fillId="5" borderId="13" xfId="6" applyFont="1" applyFill="1" applyBorder="1" applyAlignment="1">
      <alignment horizontal="center"/>
    </xf>
    <xf numFmtId="0" fontId="13" fillId="5" borderId="14" xfId="6" applyFont="1" applyFill="1" applyBorder="1" applyAlignment="1">
      <alignment horizontal="center"/>
    </xf>
    <xf numFmtId="164" fontId="13" fillId="7" borderId="13" xfId="1" applyNumberFormat="1" applyFont="1" applyFill="1" applyBorder="1" applyAlignment="1">
      <alignment horizontal="right"/>
    </xf>
    <xf numFmtId="164" fontId="13" fillId="7" borderId="14" xfId="1" applyNumberFormat="1" applyFont="1" applyFill="1" applyBorder="1" applyAlignment="1">
      <alignment horizontal="right"/>
    </xf>
    <xf numFmtId="6" fontId="27" fillId="0" borderId="0" xfId="7" applyNumberFormat="1" applyFont="1" applyFill="1" applyBorder="1" applyAlignment="1" applyProtection="1">
      <alignment horizontal="right"/>
    </xf>
    <xf numFmtId="6" fontId="27" fillId="0" borderId="36" xfId="7" applyNumberFormat="1" applyFont="1" applyFill="1" applyBorder="1" applyAlignment="1" applyProtection="1">
      <alignment horizontal="right"/>
    </xf>
    <xf numFmtId="6" fontId="27" fillId="0" borderId="40" xfId="7" applyNumberFormat="1" applyFont="1" applyFill="1" applyBorder="1" applyAlignment="1" applyProtection="1">
      <alignment horizontal="right"/>
    </xf>
    <xf numFmtId="6" fontId="27" fillId="0" borderId="41" xfId="7" applyNumberFormat="1" applyFont="1" applyFill="1" applyBorder="1" applyAlignment="1" applyProtection="1">
      <alignment horizontal="right"/>
    </xf>
    <xf numFmtId="0" fontId="30" fillId="0" borderId="0" xfId="7" quotePrefix="1" applyFont="1" applyAlignment="1" applyProtection="1">
      <alignment horizontal="left" vertical="top" wrapText="1"/>
    </xf>
    <xf numFmtId="6" fontId="18" fillId="0" borderId="0" xfId="7" applyNumberFormat="1" applyFont="1" applyFill="1" applyBorder="1" applyAlignment="1" applyProtection="1">
      <alignment horizontal="right"/>
    </xf>
    <xf numFmtId="6" fontId="18" fillId="0" borderId="38" xfId="7" applyNumberFormat="1" applyFont="1" applyFill="1" applyBorder="1" applyAlignment="1" applyProtection="1">
      <alignment horizontal="right"/>
    </xf>
    <xf numFmtId="171" fontId="28" fillId="0" borderId="0" xfId="4" applyNumberFormat="1" applyFont="1" applyFill="1" applyBorder="1" applyAlignment="1" applyProtection="1">
      <alignment horizontal="center"/>
      <protection locked="0"/>
    </xf>
    <xf numFmtId="171" fontId="28" fillId="0" borderId="36" xfId="4" applyNumberFormat="1" applyFont="1" applyFill="1" applyBorder="1" applyAlignment="1" applyProtection="1">
      <alignment horizontal="center"/>
      <protection locked="0"/>
    </xf>
    <xf numFmtId="0" fontId="4" fillId="0" borderId="37" xfId="7" quotePrefix="1" applyFont="1" applyBorder="1" applyAlignment="1" applyProtection="1">
      <alignment horizontal="left" vertical="center" wrapText="1"/>
    </xf>
    <xf numFmtId="0" fontId="4" fillId="0" borderId="0" xfId="7" quotePrefix="1" applyBorder="1" applyAlignment="1" applyProtection="1">
      <alignment horizontal="left" vertical="center" wrapText="1"/>
    </xf>
    <xf numFmtId="0" fontId="4" fillId="0" borderId="38" xfId="7" quotePrefix="1" applyBorder="1" applyAlignment="1" applyProtection="1">
      <alignment horizontal="left" vertical="center" wrapText="1"/>
    </xf>
    <xf numFmtId="6" fontId="18" fillId="0" borderId="16" xfId="7" applyNumberFormat="1" applyFont="1" applyFill="1" applyBorder="1" applyAlignment="1" applyProtection="1">
      <alignment horizontal="right"/>
    </xf>
    <xf numFmtId="6" fontId="18" fillId="0" borderId="31" xfId="7" applyNumberFormat="1" applyFont="1" applyFill="1" applyBorder="1" applyAlignment="1" applyProtection="1">
      <alignment horizontal="right"/>
    </xf>
    <xf numFmtId="171" fontId="28" fillId="0" borderId="40" xfId="4" applyNumberFormat="1" applyFont="1" applyFill="1" applyBorder="1" applyAlignment="1" applyProtection="1">
      <alignment horizontal="center"/>
      <protection locked="0"/>
    </xf>
    <xf numFmtId="171" fontId="28" fillId="0" borderId="41" xfId="4" applyNumberFormat="1" applyFont="1" applyFill="1" applyBorder="1" applyAlignment="1" applyProtection="1">
      <alignment horizontal="center"/>
      <protection locked="0"/>
    </xf>
    <xf numFmtId="0" fontId="4" fillId="0" borderId="30" xfId="7" quotePrefix="1" applyBorder="1" applyAlignment="1" applyProtection="1">
      <alignment horizontal="left" vertical="center" wrapText="1"/>
    </xf>
    <xf numFmtId="0" fontId="4" fillId="0" borderId="16" xfId="7" quotePrefix="1" applyBorder="1" applyAlignment="1" applyProtection="1">
      <alignment horizontal="left" vertical="center" wrapText="1"/>
    </xf>
    <xf numFmtId="0" fontId="4" fillId="0" borderId="31" xfId="7" quotePrefix="1" applyBorder="1" applyAlignment="1" applyProtection="1">
      <alignment horizontal="left" vertical="center" wrapText="1"/>
    </xf>
    <xf numFmtId="6" fontId="18" fillId="12" borderId="42" xfId="7" applyNumberFormat="1" applyFont="1" applyFill="1" applyBorder="1" applyAlignment="1" applyProtection="1">
      <alignment horizontal="right" vertical="center"/>
    </xf>
    <xf numFmtId="0" fontId="4" fillId="0" borderId="37" xfId="7" quotePrefix="1" applyBorder="1" applyAlignment="1" applyProtection="1">
      <alignment horizontal="left" vertical="center" wrapText="1"/>
    </xf>
    <xf numFmtId="44" fontId="23" fillId="9" borderId="13" xfId="3" applyFont="1" applyFill="1" applyBorder="1" applyAlignment="1" applyProtection="1">
      <alignment horizontal="center"/>
    </xf>
    <xf numFmtId="44" fontId="23" fillId="9" borderId="17" xfId="3" applyFont="1" applyFill="1" applyBorder="1" applyAlignment="1" applyProtection="1">
      <alignment horizontal="center"/>
    </xf>
    <xf numFmtId="44" fontId="23" fillId="9" borderId="14" xfId="3" applyFont="1" applyFill="1" applyBorder="1" applyAlignment="1" applyProtection="1">
      <alignment horizontal="center"/>
    </xf>
    <xf numFmtId="44" fontId="23" fillId="10" borderId="13" xfId="3" applyFont="1" applyFill="1" applyBorder="1" applyAlignment="1" applyProtection="1">
      <alignment horizontal="center"/>
    </xf>
    <xf numFmtId="44" fontId="23" fillId="10" borderId="17" xfId="3" applyFont="1" applyFill="1" applyBorder="1" applyAlignment="1" applyProtection="1">
      <alignment horizontal="center"/>
    </xf>
    <xf numFmtId="44" fontId="23" fillId="10" borderId="14" xfId="3" applyFont="1" applyFill="1" applyBorder="1" applyAlignment="1" applyProtection="1">
      <alignment horizontal="center"/>
    </xf>
    <xf numFmtId="44" fontId="23" fillId="11" borderId="13" xfId="3" applyFont="1" applyFill="1" applyBorder="1" applyAlignment="1" applyProtection="1">
      <alignment horizontal="center"/>
    </xf>
    <xf numFmtId="44" fontId="23" fillId="11" borderId="17" xfId="3" applyFont="1" applyFill="1" applyBorder="1" applyAlignment="1" applyProtection="1">
      <alignment horizontal="center"/>
    </xf>
    <xf numFmtId="44" fontId="23" fillId="11" borderId="14" xfId="3" applyFont="1" applyFill="1" applyBorder="1" applyAlignment="1" applyProtection="1">
      <alignment horizontal="center"/>
    </xf>
    <xf numFmtId="44" fontId="23" fillId="5" borderId="13" xfId="3" applyFont="1" applyFill="1" applyBorder="1" applyAlignment="1" applyProtection="1">
      <alignment horizontal="center"/>
    </xf>
    <xf numFmtId="44" fontId="23" fillId="5" borderId="17" xfId="3" applyFont="1" applyFill="1" applyBorder="1" applyAlignment="1" applyProtection="1">
      <alignment horizontal="center"/>
    </xf>
    <xf numFmtId="44" fontId="23" fillId="5" borderId="14" xfId="3" applyFont="1" applyFill="1" applyBorder="1" applyAlignment="1" applyProtection="1">
      <alignment horizontal="center"/>
    </xf>
    <xf numFmtId="0" fontId="18" fillId="0" borderId="27" xfId="7" applyNumberFormat="1" applyFont="1" applyFill="1" applyBorder="1" applyAlignment="1" applyProtection="1">
      <alignment horizontal="left" vertical="center" wrapText="1"/>
    </xf>
    <xf numFmtId="0" fontId="18" fillId="0" borderId="1" xfId="7" applyNumberFormat="1" applyFont="1" applyFill="1" applyBorder="1" applyAlignment="1" applyProtection="1">
      <alignment horizontal="left" vertical="center" wrapText="1"/>
    </xf>
    <xf numFmtId="0" fontId="18" fillId="0" borderId="28" xfId="7" applyNumberFormat="1" applyFont="1" applyFill="1" applyBorder="1" applyAlignment="1" applyProtection="1">
      <alignment horizontal="left" vertical="center" wrapText="1"/>
    </xf>
    <xf numFmtId="0" fontId="4" fillId="0" borderId="0" xfId="7" quotePrefix="1" applyFont="1" applyBorder="1" applyAlignment="1" applyProtection="1">
      <alignment horizontal="left" vertical="center" wrapText="1"/>
    </xf>
    <xf numFmtId="0" fontId="4" fillId="0" borderId="38" xfId="7" quotePrefix="1" applyFont="1" applyBorder="1" applyAlignment="1" applyProtection="1">
      <alignment horizontal="left" vertical="center" wrapText="1"/>
    </xf>
    <xf numFmtId="44" fontId="22" fillId="0" borderId="13" xfId="3" applyFont="1" applyFill="1" applyBorder="1" applyAlignment="1" applyProtection="1">
      <alignment horizontal="center"/>
    </xf>
    <xf numFmtId="44" fontId="22" fillId="0" borderId="17" xfId="3" applyFont="1" applyFill="1" applyBorder="1" applyAlignment="1" applyProtection="1">
      <alignment horizontal="center"/>
    </xf>
    <xf numFmtId="44" fontId="22" fillId="0" borderId="14" xfId="3" applyFont="1" applyFill="1" applyBorder="1" applyAlignment="1" applyProtection="1">
      <alignment horizontal="center"/>
    </xf>
    <xf numFmtId="0" fontId="22" fillId="0" borderId="26" xfId="7" applyFont="1" applyFill="1" applyBorder="1" applyAlignment="1" applyProtection="1">
      <alignment horizontal="left" vertical="center" wrapText="1"/>
    </xf>
    <xf numFmtId="0" fontId="22" fillId="0" borderId="29" xfId="7" applyFont="1" applyFill="1" applyBorder="1" applyAlignment="1" applyProtection="1">
      <alignment horizontal="left" vertical="center" wrapText="1"/>
    </xf>
    <xf numFmtId="44" fontId="22" fillId="0" borderId="27" xfId="3" applyFont="1" applyFill="1" applyBorder="1" applyAlignment="1" applyProtection="1">
      <alignment horizontal="center" vertical="center"/>
    </xf>
    <xf numFmtId="44" fontId="22" fillId="0" borderId="1" xfId="3" applyFont="1" applyFill="1" applyBorder="1" applyAlignment="1" applyProtection="1">
      <alignment horizontal="center" vertical="center"/>
    </xf>
    <xf numFmtId="44" fontId="22" fillId="0" borderId="28" xfId="3" applyFont="1" applyFill="1" applyBorder="1" applyAlignment="1" applyProtection="1">
      <alignment horizontal="center" vertical="center"/>
    </xf>
    <xf numFmtId="44" fontId="22" fillId="0" borderId="30" xfId="3" applyFont="1" applyFill="1" applyBorder="1" applyAlignment="1" applyProtection="1">
      <alignment horizontal="center" vertical="center"/>
    </xf>
    <xf numFmtId="44" fontId="22" fillId="0" borderId="16" xfId="3" applyFont="1" applyFill="1" applyBorder="1" applyAlignment="1" applyProtection="1">
      <alignment horizontal="center" vertical="center"/>
    </xf>
    <xf numFmtId="44" fontId="22" fillId="0" borderId="31" xfId="3" applyFont="1" applyFill="1" applyBorder="1" applyAlignment="1" applyProtection="1">
      <alignment horizontal="center" vertical="center"/>
    </xf>
    <xf numFmtId="44" fontId="20" fillId="0" borderId="13" xfId="3" applyFont="1" applyFill="1" applyBorder="1" applyAlignment="1" applyProtection="1">
      <alignment horizontal="center"/>
    </xf>
    <xf numFmtId="44" fontId="20" fillId="0" borderId="17" xfId="3" applyFont="1" applyFill="1" applyBorder="1" applyAlignment="1" applyProtection="1">
      <alignment horizontal="center"/>
    </xf>
    <xf numFmtId="44" fontId="20" fillId="0" borderId="14" xfId="3" applyFont="1" applyFill="1" applyBorder="1" applyAlignment="1" applyProtection="1">
      <alignment horizontal="center"/>
    </xf>
    <xf numFmtId="0" fontId="18" fillId="9" borderId="13" xfId="7" quotePrefix="1" applyFont="1" applyFill="1" applyBorder="1" applyAlignment="1" applyProtection="1">
      <alignment horizontal="center" wrapText="1"/>
    </xf>
    <xf numFmtId="0" fontId="18" fillId="9" borderId="17" xfId="7" quotePrefix="1" applyFont="1" applyFill="1" applyBorder="1" applyAlignment="1" applyProtection="1">
      <alignment horizontal="center" wrapText="1"/>
    </xf>
    <xf numFmtId="0" fontId="18" fillId="9" borderId="14" xfId="7" quotePrefix="1" applyFont="1" applyFill="1" applyBorder="1" applyAlignment="1" applyProtection="1">
      <alignment horizontal="center" wrapText="1"/>
    </xf>
    <xf numFmtId="0" fontId="17" fillId="0" borderId="0" xfId="7" applyFont="1" applyAlignment="1" applyProtection="1">
      <alignment horizontal="center" vertical="center" wrapText="1"/>
    </xf>
    <xf numFmtId="0" fontId="4" fillId="0" borderId="0" xfId="7" applyAlignment="1" applyProtection="1">
      <alignment horizontal="center" vertical="center" wrapText="1"/>
    </xf>
    <xf numFmtId="0" fontId="18" fillId="9" borderId="13" xfId="7" applyFont="1" applyFill="1" applyBorder="1" applyAlignment="1" applyProtection="1">
      <alignment horizontal="center" vertical="center" wrapText="1"/>
    </xf>
    <xf numFmtId="0" fontId="18" fillId="9" borderId="17" xfId="7" applyFont="1" applyFill="1" applyBorder="1" applyAlignment="1" applyProtection="1">
      <alignment horizontal="center" vertical="center" wrapText="1"/>
    </xf>
    <xf numFmtId="0" fontId="18" fillId="9" borderId="14" xfId="7" applyFont="1" applyFill="1" applyBorder="1" applyAlignment="1" applyProtection="1">
      <alignment horizontal="center" vertical="center" wrapText="1"/>
    </xf>
    <xf numFmtId="0" fontId="18" fillId="10" borderId="13" xfId="7" applyFont="1" applyFill="1" applyBorder="1" applyAlignment="1" applyProtection="1">
      <alignment horizontal="center" vertical="center" wrapText="1"/>
    </xf>
    <xf numFmtId="0" fontId="18" fillId="10" borderId="17" xfId="7" applyFont="1" applyFill="1" applyBorder="1" applyAlignment="1" applyProtection="1">
      <alignment horizontal="center" vertical="center" wrapText="1"/>
    </xf>
    <xf numFmtId="0" fontId="18" fillId="10" borderId="14" xfId="7" applyFont="1" applyFill="1" applyBorder="1" applyAlignment="1" applyProtection="1">
      <alignment horizontal="center" vertical="center" wrapText="1"/>
    </xf>
    <xf numFmtId="0" fontId="18" fillId="11" borderId="13" xfId="7" applyFont="1" applyFill="1" applyBorder="1" applyAlignment="1" applyProtection="1">
      <alignment horizontal="center" vertical="center" wrapText="1"/>
    </xf>
    <xf numFmtId="0" fontId="18" fillId="11" borderId="17" xfId="7" applyFont="1" applyFill="1" applyBorder="1" applyAlignment="1" applyProtection="1">
      <alignment horizontal="center" vertical="center" wrapText="1"/>
    </xf>
    <xf numFmtId="0" fontId="18" fillId="11" borderId="14" xfId="7" applyFont="1" applyFill="1" applyBorder="1" applyAlignment="1" applyProtection="1">
      <alignment horizontal="center" vertical="center" wrapText="1"/>
    </xf>
    <xf numFmtId="0" fontId="18" fillId="5" borderId="13" xfId="7" applyFont="1" applyFill="1" applyBorder="1" applyAlignment="1" applyProtection="1">
      <alignment horizontal="center" vertical="center" wrapText="1"/>
    </xf>
    <xf numFmtId="0" fontId="18" fillId="5" borderId="17" xfId="7" applyFont="1" applyFill="1" applyBorder="1" applyAlignment="1" applyProtection="1">
      <alignment horizontal="center" vertical="center" wrapText="1"/>
    </xf>
    <xf numFmtId="0" fontId="18" fillId="5" borderId="14" xfId="7" applyFont="1" applyFill="1" applyBorder="1" applyAlignment="1" applyProtection="1">
      <alignment horizontal="center" vertical="center" wrapText="1"/>
    </xf>
    <xf numFmtId="0" fontId="4" fillId="8" borderId="17" xfId="7" applyFont="1" applyFill="1" applyBorder="1" applyAlignment="1" applyProtection="1">
      <alignment horizontal="left"/>
      <protection locked="0"/>
    </xf>
    <xf numFmtId="38" fontId="4" fillId="8" borderId="17" xfId="7" applyNumberFormat="1" applyFill="1" applyBorder="1" applyAlignment="1" applyProtection="1">
      <alignment horizontal="right"/>
      <protection locked="0"/>
    </xf>
    <xf numFmtId="9" fontId="0" fillId="8" borderId="17" xfId="4" applyFont="1" applyFill="1" applyBorder="1" applyAlignment="1" applyProtection="1">
      <alignment horizontal="right"/>
      <protection locked="0"/>
    </xf>
    <xf numFmtId="14" fontId="4" fillId="8" borderId="17" xfId="7" applyNumberFormat="1" applyFont="1" applyFill="1" applyBorder="1" applyAlignment="1" applyProtection="1">
      <alignment horizontal="left"/>
      <protection locked="0"/>
    </xf>
    <xf numFmtId="0" fontId="15" fillId="0" borderId="0" xfId="7" applyFont="1" applyAlignment="1" applyProtection="1">
      <alignment horizontal="center" wrapText="1"/>
    </xf>
    <xf numFmtId="0" fontId="15" fillId="0" borderId="0" xfId="7" quotePrefix="1" applyFont="1" applyAlignment="1" applyProtection="1">
      <alignment horizontal="center" wrapText="1"/>
    </xf>
    <xf numFmtId="0" fontId="4" fillId="8" borderId="16" xfId="7" applyFont="1" applyFill="1" applyBorder="1" applyAlignment="1" applyProtection="1">
      <alignment horizontal="left"/>
      <protection locked="0"/>
    </xf>
    <xf numFmtId="6" fontId="4" fillId="8" borderId="16" xfId="7" applyNumberFormat="1" applyFill="1" applyBorder="1" applyAlignment="1" applyProtection="1">
      <alignment horizontal="right"/>
      <protection locked="0"/>
    </xf>
    <xf numFmtId="0" fontId="4" fillId="8" borderId="16" xfId="7" applyFill="1" applyBorder="1" applyAlignment="1" applyProtection="1">
      <alignment horizontal="right"/>
      <protection locked="0"/>
    </xf>
    <xf numFmtId="9" fontId="4" fillId="8" borderId="17" xfId="7" applyNumberFormat="1" applyFill="1" applyBorder="1" applyAlignment="1" applyProtection="1">
      <alignment horizontal="right"/>
      <protection locked="0"/>
    </xf>
  </cellXfs>
  <cellStyles count="9">
    <cellStyle name="Comma" xfId="1" builtinId="3"/>
    <cellStyle name="Comma 13" xfId="8"/>
    <cellStyle name="Comma 2 2" xfId="5"/>
    <cellStyle name="Currency 2" xfId="3"/>
    <cellStyle name="Normal" xfId="0" builtinId="0"/>
    <cellStyle name="Normal 10 2 2" xfId="2"/>
    <cellStyle name="Normal 131" xfId="6"/>
    <cellStyle name="Normal 4" xfId="7"/>
    <cellStyle name="Percent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3:L13"/>
  <sheetViews>
    <sheetView tabSelected="1" topLeftCell="B1" workbookViewId="0">
      <selection activeCell="C4" sqref="C4"/>
    </sheetView>
  </sheetViews>
  <sheetFormatPr defaultRowHeight="15.75" x14ac:dyDescent="0.25"/>
  <cols>
    <col min="1" max="1" width="0" style="2" hidden="1" customWidth="1"/>
    <col min="2" max="2" width="39.140625" style="2" customWidth="1"/>
    <col min="3" max="3" width="13.28515625" style="2" bestFit="1" customWidth="1"/>
    <col min="4" max="4" width="28.7109375" style="2" customWidth="1"/>
    <col min="5" max="5" width="11.5703125" style="2" bestFit="1" customWidth="1"/>
    <col min="6" max="6" width="11.5703125" style="2" customWidth="1"/>
    <col min="7" max="8" width="11.5703125" style="2" bestFit="1" customWidth="1"/>
    <col min="9" max="9" width="13.28515625" style="2" bestFit="1" customWidth="1"/>
    <col min="10" max="10" width="11.5703125" style="2" bestFit="1" customWidth="1"/>
    <col min="11" max="11" width="15.42578125" style="2" customWidth="1"/>
    <col min="12" max="12" width="20.5703125" style="2" customWidth="1"/>
    <col min="13" max="16384" width="9.140625" style="2"/>
  </cols>
  <sheetData>
    <row r="3" spans="2:12" x14ac:dyDescent="0.25">
      <c r="B3" s="1" t="s">
        <v>0</v>
      </c>
    </row>
    <row r="4" spans="2:12" x14ac:dyDescent="0.25">
      <c r="B4" s="1"/>
    </row>
    <row r="5" spans="2:12" x14ac:dyDescent="0.25">
      <c r="B5" s="2" t="s">
        <v>1</v>
      </c>
      <c r="C5" s="3">
        <f>+Headcount!T11</f>
        <v>183112</v>
      </c>
    </row>
    <row r="6" spans="2:12" ht="47.25" x14ac:dyDescent="0.25">
      <c r="B6" s="4" t="s">
        <v>2</v>
      </c>
      <c r="C6" s="3">
        <v>18256</v>
      </c>
      <c r="D6" s="5" t="s">
        <v>3</v>
      </c>
      <c r="E6" s="6"/>
      <c r="F6" s="7"/>
      <c r="H6" s="8"/>
      <c r="I6" s="8"/>
      <c r="J6" s="8"/>
      <c r="K6" s="6"/>
      <c r="L6" s="8"/>
    </row>
    <row r="7" spans="2:12" ht="31.5" x14ac:dyDescent="0.25">
      <c r="B7" s="5" t="s">
        <v>4</v>
      </c>
      <c r="C7" s="3">
        <v>85086</v>
      </c>
      <c r="I7" s="8"/>
      <c r="J7" s="8"/>
    </row>
    <row r="8" spans="2:12" x14ac:dyDescent="0.25">
      <c r="B8" s="2" t="s">
        <v>5</v>
      </c>
      <c r="C8" s="3">
        <v>91000</v>
      </c>
      <c r="G8" s="9"/>
      <c r="H8" s="10"/>
      <c r="K8" s="10"/>
      <c r="L8" s="9"/>
    </row>
    <row r="9" spans="2:12" x14ac:dyDescent="0.25">
      <c r="B9" s="4" t="s">
        <v>6</v>
      </c>
      <c r="C9" s="3">
        <v>-185584</v>
      </c>
      <c r="I9" s="8"/>
      <c r="J9" s="8"/>
    </row>
    <row r="10" spans="2:12" ht="47.25" x14ac:dyDescent="0.25">
      <c r="B10" s="4" t="s">
        <v>7</v>
      </c>
      <c r="C10" s="3">
        <v>43014</v>
      </c>
      <c r="D10" s="5" t="s">
        <v>8</v>
      </c>
      <c r="G10" s="8"/>
    </row>
    <row r="11" spans="2:12" ht="78.75" x14ac:dyDescent="0.25">
      <c r="B11" s="4" t="s">
        <v>9</v>
      </c>
      <c r="C11" s="3">
        <v>128825</v>
      </c>
      <c r="D11" s="5" t="s">
        <v>10</v>
      </c>
      <c r="G11" s="8"/>
    </row>
    <row r="12" spans="2:12" x14ac:dyDescent="0.25">
      <c r="B12" s="2" t="s">
        <v>11</v>
      </c>
      <c r="C12" s="3">
        <v>-20515</v>
      </c>
    </row>
    <row r="13" spans="2:12" x14ac:dyDescent="0.25">
      <c r="C13" s="11">
        <f>SUM(C5:C12)</f>
        <v>343194</v>
      </c>
    </row>
  </sheetData>
  <pageMargins left="0.5" right="0.5" top="1" bottom="1.25" header="1" footer="0.5"/>
  <pageSetup orientation="landscape" r:id="rId1"/>
  <headerFooter scaleWithDoc="0">
    <oddHeader>&amp;C&amp;"Times New Roman,Bold"&amp;12Louisville Gas and Electric Company
Case No. 2016-00371</oddHeader>
    <oddFooter>&amp;R&amp;"Times New Roman,Bold"&amp;12Attachment to Response to PSC-2 Question No. 28
Page &amp;P of &amp;N
Bellar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T19"/>
  <sheetViews>
    <sheetView zoomScaleNormal="100" workbookViewId="0">
      <selection activeCell="A2" sqref="A2:S2"/>
    </sheetView>
  </sheetViews>
  <sheetFormatPr defaultColWidth="25.7109375" defaultRowHeight="15.75" x14ac:dyDescent="0.25"/>
  <cols>
    <col min="1" max="1" width="1.7109375" style="36" customWidth="1"/>
    <col min="2" max="2" width="12.7109375" style="57" customWidth="1"/>
    <col min="3" max="3" width="13.85546875" style="57" customWidth="1"/>
    <col min="4" max="4" width="4.7109375" style="77" customWidth="1"/>
    <col min="5" max="5" width="5.7109375" style="36" customWidth="1"/>
    <col min="6" max="6" width="7.140625" style="36" customWidth="1"/>
    <col min="7" max="7" width="12" style="57" customWidth="1"/>
    <col min="8" max="8" width="6.7109375" style="78" customWidth="1"/>
    <col min="9" max="9" width="8" style="79" customWidth="1"/>
    <col min="10" max="10" width="23" style="57" customWidth="1"/>
    <col min="11" max="11" width="10.140625" style="61" bestFit="1" customWidth="1"/>
    <col min="12" max="12" width="8.85546875" style="80" customWidth="1"/>
    <col min="13" max="13" width="9.5703125" style="63" bestFit="1" customWidth="1"/>
    <col min="14" max="14" width="9.5703125" style="36" bestFit="1" customWidth="1"/>
    <col min="15" max="16" width="9.28515625" style="78" bestFit="1" customWidth="1"/>
    <col min="17" max="17" width="9.5703125" style="36" bestFit="1" customWidth="1"/>
    <col min="18" max="19" width="9.5703125" style="78" bestFit="1" customWidth="1"/>
    <col min="20" max="20" width="11" style="78" bestFit="1" customWidth="1"/>
    <col min="21" max="16384" width="25.7109375" style="36"/>
  </cols>
  <sheetData>
    <row r="1" spans="1:20" s="12" customFormat="1" x14ac:dyDescent="0.25">
      <c r="A1" s="12" t="s">
        <v>12</v>
      </c>
      <c r="B1" s="13"/>
      <c r="C1" s="13"/>
      <c r="D1" s="14"/>
      <c r="E1" s="13"/>
      <c r="F1" s="13"/>
      <c r="G1" s="13"/>
      <c r="H1" s="15"/>
      <c r="I1" s="16"/>
      <c r="J1" s="13"/>
      <c r="K1" s="17"/>
      <c r="L1" s="18"/>
      <c r="M1" s="19"/>
      <c r="N1" s="13"/>
      <c r="O1" s="19"/>
      <c r="P1" s="19"/>
      <c r="Q1" s="13"/>
      <c r="R1" s="19"/>
      <c r="S1" s="19"/>
      <c r="T1" s="19"/>
    </row>
    <row r="2" spans="1:20" s="12" customFormat="1" x14ac:dyDescent="0.25">
      <c r="A2" s="12" t="s">
        <v>13</v>
      </c>
      <c r="B2" s="13"/>
      <c r="C2" s="13"/>
      <c r="D2" s="14"/>
      <c r="E2" s="13"/>
      <c r="F2" s="13"/>
      <c r="G2" s="13"/>
      <c r="H2" s="15"/>
      <c r="I2" s="16"/>
      <c r="J2" s="13"/>
      <c r="K2" s="17"/>
      <c r="L2" s="18"/>
      <c r="M2" s="19"/>
      <c r="N2" s="13"/>
      <c r="O2" s="19"/>
      <c r="P2" s="19"/>
      <c r="Q2" s="13"/>
      <c r="R2" s="19"/>
      <c r="S2" s="19"/>
      <c r="T2" s="19"/>
    </row>
    <row r="3" spans="1:20" s="12" customFormat="1" x14ac:dyDescent="0.25">
      <c r="A3" s="20" t="s">
        <v>14</v>
      </c>
      <c r="B3" s="13"/>
      <c r="C3" s="2"/>
      <c r="D3" s="2"/>
      <c r="E3" s="2"/>
      <c r="F3" s="13" t="s">
        <v>15</v>
      </c>
      <c r="G3" s="13"/>
      <c r="H3" s="15"/>
      <c r="I3" s="16"/>
      <c r="J3" s="13"/>
      <c r="K3" s="17"/>
      <c r="L3" s="18"/>
      <c r="M3" s="19"/>
      <c r="N3" s="13"/>
      <c r="O3" s="19"/>
      <c r="P3" s="19"/>
      <c r="Q3" s="13"/>
      <c r="R3" s="19"/>
      <c r="S3" s="19"/>
      <c r="T3" s="19"/>
    </row>
    <row r="4" spans="1:20" s="12" customFormat="1" x14ac:dyDescent="0.25">
      <c r="B4" s="13"/>
      <c r="C4" s="2"/>
      <c r="D4" s="2"/>
      <c r="E4" s="2"/>
      <c r="F4" s="21"/>
      <c r="H4" s="15"/>
      <c r="I4" s="16"/>
      <c r="J4" s="13"/>
      <c r="K4" s="17"/>
      <c r="L4" s="18"/>
      <c r="M4" s="18"/>
      <c r="N4" s="13"/>
      <c r="O4" s="19"/>
      <c r="P4" s="19"/>
      <c r="Q4" s="13"/>
      <c r="R4" s="19"/>
      <c r="S4" s="19"/>
      <c r="T4" s="19"/>
    </row>
    <row r="6" spans="1:20" s="12" customFormat="1" x14ac:dyDescent="0.25">
      <c r="B6" s="13" t="s">
        <v>16</v>
      </c>
      <c r="C6" s="2"/>
      <c r="D6" s="2"/>
      <c r="E6" s="2"/>
      <c r="F6" s="13"/>
      <c r="G6" s="13"/>
      <c r="H6" s="15"/>
      <c r="I6" s="16"/>
      <c r="J6" s="13"/>
      <c r="K6" s="17"/>
      <c r="L6" s="18"/>
      <c r="M6" s="19"/>
      <c r="N6" s="13"/>
      <c r="O6" s="22"/>
      <c r="P6" s="22"/>
      <c r="Q6" s="13"/>
      <c r="R6" s="22"/>
      <c r="S6" s="22"/>
      <c r="T6" s="22"/>
    </row>
    <row r="7" spans="1:20" s="12" customFormat="1" x14ac:dyDescent="0.25">
      <c r="B7" s="13"/>
      <c r="C7" s="13"/>
      <c r="D7" s="14"/>
      <c r="E7" s="13"/>
      <c r="F7" s="13"/>
      <c r="G7" s="13"/>
      <c r="H7" s="15"/>
      <c r="I7" s="16"/>
      <c r="J7" s="13"/>
      <c r="K7" s="17"/>
      <c r="L7" s="18"/>
      <c r="M7" s="19"/>
      <c r="N7" s="148">
        <v>2017</v>
      </c>
      <c r="O7" s="149"/>
      <c r="P7" s="150"/>
      <c r="Q7" s="151">
        <v>2018</v>
      </c>
      <c r="R7" s="152"/>
      <c r="S7" s="153"/>
      <c r="T7" s="23" t="s">
        <v>17</v>
      </c>
    </row>
    <row r="8" spans="1:20" s="24" customFormat="1" ht="78.75" x14ac:dyDescent="0.25">
      <c r="B8" s="25" t="s">
        <v>18</v>
      </c>
      <c r="C8" s="25" t="s">
        <v>19</v>
      </c>
      <c r="D8" s="26" t="s">
        <v>20</v>
      </c>
      <c r="E8" s="27" t="s">
        <v>21</v>
      </c>
      <c r="F8" s="27" t="s">
        <v>22</v>
      </c>
      <c r="G8" s="25" t="s">
        <v>23</v>
      </c>
      <c r="H8" s="27" t="s">
        <v>24</v>
      </c>
      <c r="I8" s="27" t="s">
        <v>25</v>
      </c>
      <c r="J8" s="25" t="s">
        <v>26</v>
      </c>
      <c r="K8" s="28" t="s">
        <v>27</v>
      </c>
      <c r="L8" s="29" t="s">
        <v>28</v>
      </c>
      <c r="M8" s="30" t="s">
        <v>29</v>
      </c>
      <c r="N8" s="31" t="s">
        <v>30</v>
      </c>
      <c r="O8" s="32" t="s">
        <v>31</v>
      </c>
      <c r="P8" s="32" t="s">
        <v>32</v>
      </c>
      <c r="Q8" s="33" t="s">
        <v>33</v>
      </c>
      <c r="R8" s="34" t="s">
        <v>34</v>
      </c>
      <c r="S8" s="34" t="s">
        <v>35</v>
      </c>
      <c r="T8" s="35" t="s">
        <v>36</v>
      </c>
    </row>
    <row r="9" spans="1:20" s="43" customFormat="1" ht="78.75" x14ac:dyDescent="0.25">
      <c r="A9" s="36" t="s">
        <v>15</v>
      </c>
      <c r="B9" s="37" t="s">
        <v>37</v>
      </c>
      <c r="C9" s="37" t="s">
        <v>38</v>
      </c>
      <c r="D9" s="38">
        <v>1</v>
      </c>
      <c r="E9" s="38">
        <v>2017</v>
      </c>
      <c r="F9" s="38">
        <v>9</v>
      </c>
      <c r="G9" s="37" t="s">
        <v>39</v>
      </c>
      <c r="H9" s="39">
        <v>1</v>
      </c>
      <c r="I9" s="39">
        <v>0</v>
      </c>
      <c r="J9" s="37" t="s">
        <v>40</v>
      </c>
      <c r="K9" s="40">
        <v>65200</v>
      </c>
      <c r="L9" s="41">
        <v>9.1546571667706383E-2</v>
      </c>
      <c r="M9" s="42">
        <v>71169</v>
      </c>
      <c r="N9" s="42">
        <f>ROUND(K9*(1+L9)*103%*103%,0)</f>
        <v>75503</v>
      </c>
      <c r="O9" s="42">
        <f>IF($E9 = N$7, ROUND($D9 * N9 / 12 * (13 - $F9), 0), IF($E9 &lt; N$7, ROUND($D9 * N9, 0), 0))</f>
        <v>25168</v>
      </c>
      <c r="P9" s="42">
        <f>ROUND(O9*$H9,0)</f>
        <v>25168</v>
      </c>
      <c r="Q9" s="42">
        <f>ROUND(N9*103%,0)</f>
        <v>77768</v>
      </c>
      <c r="R9" s="42">
        <f>IF($E9 = Q$7, ROUND($D9 * Q9 / 12 * (13 - $F9), 0), IF($E9 &lt; Q$7, ROUND($D9 * Q9, 0), 0))</f>
        <v>77768</v>
      </c>
      <c r="S9" s="42">
        <f>ROUND(R9*$H9,0)</f>
        <v>77768</v>
      </c>
      <c r="T9" s="42">
        <f>ROUND((P9)+(S9/2),0)</f>
        <v>64052</v>
      </c>
    </row>
    <row r="10" spans="1:20" s="43" customFormat="1" ht="78.75" x14ac:dyDescent="0.25">
      <c r="A10" s="36"/>
      <c r="B10" s="37" t="s">
        <v>37</v>
      </c>
      <c r="C10" s="37" t="s">
        <v>38</v>
      </c>
      <c r="D10" s="38">
        <v>1</v>
      </c>
      <c r="E10" s="38">
        <v>2017</v>
      </c>
      <c r="F10" s="38">
        <v>9</v>
      </c>
      <c r="G10" s="37" t="s">
        <v>39</v>
      </c>
      <c r="H10" s="39">
        <v>1</v>
      </c>
      <c r="I10" s="39">
        <v>0</v>
      </c>
      <c r="J10" s="37" t="s">
        <v>40</v>
      </c>
      <c r="K10" s="40">
        <v>121200</v>
      </c>
      <c r="L10" s="41">
        <v>9.1499999999999998E-2</v>
      </c>
      <c r="M10" s="42">
        <v>132295</v>
      </c>
      <c r="N10" s="42">
        <f>ROUND(K10*(1+L10)*103%*103%,0)</f>
        <v>140346</v>
      </c>
      <c r="O10" s="42">
        <f>IF($E10 = N$7, ROUND($D10 * N10 / 12 * (13 - $F10), 0), IF($E10 &lt; N$7, ROUND($D10 * N10, 0), 0))</f>
        <v>46782</v>
      </c>
      <c r="P10" s="42">
        <f>ROUND(O10*$H10,0)</f>
        <v>46782</v>
      </c>
      <c r="Q10" s="42">
        <f>ROUND(N10*103%,0)</f>
        <v>144556</v>
      </c>
      <c r="R10" s="42">
        <f>IF($E10 = Q$7, ROUND($D10 * Q10 / 12 * (13 - $F10), 0), IF($E10 &lt; Q$7, ROUND($D10 * Q10, 0), 0))</f>
        <v>144556</v>
      </c>
      <c r="S10" s="42">
        <f>ROUND(R10*$H10,0)</f>
        <v>144556</v>
      </c>
      <c r="T10" s="42">
        <f>ROUND((P10)+(S10/2),0)</f>
        <v>119060</v>
      </c>
    </row>
    <row r="11" spans="1:20" s="43" customFormat="1" x14ac:dyDescent="0.25">
      <c r="A11" s="36"/>
      <c r="B11" s="44" t="s">
        <v>41</v>
      </c>
      <c r="C11" s="45"/>
      <c r="D11" s="46">
        <f>SUM(D9:D10)</f>
        <v>2</v>
      </c>
      <c r="E11" s="47"/>
      <c r="F11" s="47"/>
      <c r="G11" s="45"/>
      <c r="H11" s="48"/>
      <c r="I11" s="48"/>
      <c r="J11" s="49"/>
      <c r="K11" s="50"/>
      <c r="L11" s="51"/>
      <c r="M11" s="52"/>
      <c r="N11" s="53"/>
      <c r="O11" s="53"/>
      <c r="P11" s="53"/>
      <c r="Q11" s="53"/>
      <c r="R11" s="53"/>
      <c r="S11" s="54" t="s">
        <v>42</v>
      </c>
      <c r="T11" s="55">
        <f>SUM(T9:T10)</f>
        <v>183112</v>
      </c>
    </row>
    <row r="12" spans="1:20" s="43" customFormat="1" x14ac:dyDescent="0.25">
      <c r="A12" s="36"/>
      <c r="B12" s="56"/>
      <c r="C12" s="57"/>
      <c r="D12" s="58"/>
      <c r="E12" s="36"/>
      <c r="F12" s="36"/>
      <c r="G12" s="57"/>
      <c r="H12" s="59"/>
      <c r="I12" s="59"/>
      <c r="J12" s="60"/>
      <c r="K12" s="61"/>
      <c r="L12" s="62"/>
      <c r="M12" s="63"/>
      <c r="N12" s="64"/>
      <c r="O12" s="64"/>
      <c r="P12" s="64"/>
      <c r="Q12" s="64"/>
      <c r="R12" s="64"/>
      <c r="S12" s="65"/>
      <c r="T12" s="55"/>
    </row>
    <row r="13" spans="1:20" s="12" customFormat="1" x14ac:dyDescent="0.25">
      <c r="B13" s="13" t="s">
        <v>43</v>
      </c>
      <c r="C13" s="2"/>
      <c r="D13" s="2"/>
      <c r="E13" s="2"/>
      <c r="F13" s="21"/>
      <c r="H13" s="15"/>
      <c r="I13" s="16"/>
      <c r="J13" s="13"/>
      <c r="K13" s="17"/>
      <c r="L13" s="18"/>
      <c r="M13" s="13"/>
      <c r="N13" s="13"/>
      <c r="O13" s="66"/>
      <c r="P13" s="66"/>
      <c r="Q13" s="13"/>
      <c r="R13" s="66"/>
      <c r="S13" s="66"/>
      <c r="T13" s="66"/>
    </row>
    <row r="14" spans="1:20" s="12" customFormat="1" x14ac:dyDescent="0.25">
      <c r="B14" s="13"/>
      <c r="C14" s="13"/>
      <c r="D14" s="14"/>
      <c r="E14" s="13"/>
      <c r="F14" s="13"/>
      <c r="G14" s="13"/>
      <c r="H14" s="15"/>
      <c r="I14" s="16"/>
      <c r="J14" s="13"/>
      <c r="K14" s="17"/>
      <c r="L14" s="18"/>
      <c r="M14" s="19"/>
      <c r="N14" s="148">
        <v>2016</v>
      </c>
      <c r="O14" s="149"/>
      <c r="P14" s="150"/>
      <c r="Q14" s="151">
        <v>2017</v>
      </c>
      <c r="R14" s="152"/>
      <c r="S14" s="153"/>
      <c r="T14" s="67" t="s">
        <v>44</v>
      </c>
    </row>
    <row r="15" spans="1:20" s="24" customFormat="1" ht="78.75" x14ac:dyDescent="0.25">
      <c r="B15" s="25" t="s">
        <v>18</v>
      </c>
      <c r="C15" s="25" t="s">
        <v>19</v>
      </c>
      <c r="D15" s="26" t="s">
        <v>20</v>
      </c>
      <c r="E15" s="25" t="s">
        <v>45</v>
      </c>
      <c r="F15" s="25" t="s">
        <v>46</v>
      </c>
      <c r="G15" s="25" t="s">
        <v>23</v>
      </c>
      <c r="H15" s="27" t="s">
        <v>24</v>
      </c>
      <c r="I15" s="27" t="s">
        <v>25</v>
      </c>
      <c r="J15" s="25" t="s">
        <v>26</v>
      </c>
      <c r="K15" s="28" t="s">
        <v>27</v>
      </c>
      <c r="L15" s="29" t="s">
        <v>47</v>
      </c>
      <c r="M15" s="30" t="s">
        <v>48</v>
      </c>
      <c r="N15" s="68" t="s">
        <v>49</v>
      </c>
      <c r="O15" s="69" t="s">
        <v>50</v>
      </c>
      <c r="P15" s="69" t="s">
        <v>51</v>
      </c>
      <c r="Q15" s="70" t="s">
        <v>52</v>
      </c>
      <c r="R15" s="71" t="s">
        <v>53</v>
      </c>
      <c r="S15" s="71" t="s">
        <v>32</v>
      </c>
      <c r="T15" s="35" t="s">
        <v>36</v>
      </c>
    </row>
    <row r="16" spans="1:20" s="43" customFormat="1" ht="47.25" x14ac:dyDescent="0.25">
      <c r="A16" s="36" t="s">
        <v>15</v>
      </c>
      <c r="B16" s="37" t="s">
        <v>37</v>
      </c>
      <c r="C16" s="37" t="s">
        <v>54</v>
      </c>
      <c r="D16" s="38">
        <v>1</v>
      </c>
      <c r="E16" s="38">
        <v>2016</v>
      </c>
      <c r="F16" s="38">
        <v>5</v>
      </c>
      <c r="G16" s="37" t="s">
        <v>39</v>
      </c>
      <c r="H16" s="39">
        <v>1</v>
      </c>
      <c r="I16" s="39">
        <v>0</v>
      </c>
      <c r="J16" s="72" t="s">
        <v>55</v>
      </c>
      <c r="K16" s="40">
        <v>83600</v>
      </c>
      <c r="L16" s="41">
        <v>8.7099999999999997E-2</v>
      </c>
      <c r="M16" s="42">
        <f>K16*(1+L16)</f>
        <v>90881.56</v>
      </c>
      <c r="N16" s="42">
        <f>M16</f>
        <v>90881.56</v>
      </c>
      <c r="O16" s="42">
        <f>IF($E16 = N$7, ROUND($D16 * N16 / 12 * (13 - $F16), 0), IF($E16 &lt; N$7, ROUND($D16 * N16, 0), 0))</f>
        <v>90882</v>
      </c>
      <c r="P16" s="42">
        <f>ROUND(O16*$H16,0)</f>
        <v>90882</v>
      </c>
      <c r="Q16" s="42">
        <f>ROUND(N16*103%,0)</f>
        <v>93608</v>
      </c>
      <c r="R16" s="42">
        <f>IF($E16 = Q$7, ROUND($D16 * Q16 / 12 * (13 - $F16), 0), IF($E16 &lt; Q$7, ROUND($D16 * Q16, 0), 0))</f>
        <v>93608</v>
      </c>
      <c r="S16" s="42">
        <f>ROUND(R16*$H16,0)</f>
        <v>93608</v>
      </c>
      <c r="T16" s="42">
        <f>ROUND((P16/12*7.5)+(S16/12*2),0)</f>
        <v>72403</v>
      </c>
    </row>
    <row r="17" spans="1:20" s="43" customFormat="1" ht="47.25" x14ac:dyDescent="0.25">
      <c r="A17" s="36"/>
      <c r="B17" s="37" t="s">
        <v>37</v>
      </c>
      <c r="C17" s="37" t="s">
        <v>56</v>
      </c>
      <c r="D17" s="38">
        <v>1</v>
      </c>
      <c r="E17" s="38">
        <v>2015</v>
      </c>
      <c r="F17" s="38">
        <v>8</v>
      </c>
      <c r="G17" s="37" t="s">
        <v>39</v>
      </c>
      <c r="H17" s="39">
        <v>1</v>
      </c>
      <c r="I17" s="39">
        <v>0</v>
      </c>
      <c r="J17" s="37" t="s">
        <v>57</v>
      </c>
      <c r="K17" s="40">
        <v>70000</v>
      </c>
      <c r="L17" s="41">
        <v>8.7099999999999997E-2</v>
      </c>
      <c r="M17" s="42">
        <f>K17*(1+L17)</f>
        <v>76097</v>
      </c>
      <c r="N17" s="42">
        <f>M17</f>
        <v>76097</v>
      </c>
      <c r="O17" s="42">
        <f>IF($E17 = N$7, ROUND($D17 * N17 / 12 * (13 - $F17), 0), IF($E17 &lt; N$7, ROUND($D17 * N17, 0), 0))</f>
        <v>76097</v>
      </c>
      <c r="P17" s="42">
        <f>ROUND(O17*$H17,0)</f>
        <v>76097</v>
      </c>
      <c r="Q17" s="42">
        <f>ROUND(N17*103%,0)</f>
        <v>78380</v>
      </c>
      <c r="R17" s="42">
        <f>IF($E17 = Q$7, ROUND($D17 * Q17 / 12 * (13 - $F17), 0), IF($E17 &lt; Q$7, ROUND($D17 * Q17, 0), 0))</f>
        <v>78380</v>
      </c>
      <c r="S17" s="42">
        <f>ROUND(R17*$H17,0)</f>
        <v>78380</v>
      </c>
      <c r="T17" s="42">
        <f>ROUND((P17/12*2),0)</f>
        <v>12683</v>
      </c>
    </row>
    <row r="18" spans="1:20" s="43" customFormat="1" x14ac:dyDescent="0.25">
      <c r="A18" s="36"/>
      <c r="B18" s="44" t="s">
        <v>41</v>
      </c>
      <c r="C18" s="45"/>
      <c r="D18" s="46">
        <f>SUM(D16:D17)</f>
        <v>2</v>
      </c>
      <c r="E18" s="47"/>
      <c r="F18" s="47"/>
      <c r="G18" s="45"/>
      <c r="H18" s="48"/>
      <c r="I18" s="48"/>
      <c r="J18" s="49"/>
      <c r="K18" s="50"/>
      <c r="L18" s="51"/>
      <c r="M18" s="52"/>
      <c r="N18" s="53"/>
      <c r="O18" s="73"/>
      <c r="P18" s="73"/>
      <c r="Q18" s="73"/>
      <c r="R18" s="73"/>
      <c r="S18" s="74" t="s">
        <v>42</v>
      </c>
      <c r="T18" s="75">
        <f>SUM(T16:T17)</f>
        <v>85086</v>
      </c>
    </row>
    <row r="19" spans="1:20" s="12" customFormat="1" x14ac:dyDescent="0.25">
      <c r="B19" s="13"/>
      <c r="C19" s="2"/>
      <c r="D19" s="2"/>
      <c r="E19" s="2"/>
      <c r="F19" s="13"/>
      <c r="G19" s="13"/>
      <c r="H19" s="15"/>
      <c r="I19" s="16"/>
      <c r="J19" s="13"/>
      <c r="K19" s="17"/>
      <c r="L19" s="18"/>
      <c r="M19" s="19"/>
      <c r="N19" s="13"/>
      <c r="O19" s="22"/>
      <c r="P19" s="22"/>
      <c r="Q19" s="76"/>
      <c r="R19" s="22"/>
      <c r="S19" s="22"/>
      <c r="T19" s="22"/>
    </row>
  </sheetData>
  <mergeCells count="4">
    <mergeCell ref="N7:P7"/>
    <mergeCell ref="Q7:S7"/>
    <mergeCell ref="N14:P14"/>
    <mergeCell ref="Q14:S14"/>
  </mergeCells>
  <pageMargins left="0.5" right="0.5" top="1" bottom="1.25" header="1" footer="0.5"/>
  <pageSetup scale="66" orientation="landscape" r:id="rId1"/>
  <headerFooter scaleWithDoc="0">
    <oddHeader>&amp;C&amp;"Times New Roman,Bold"&amp;12Louisville Gas and Electric Company
Case No. 2016-00371</oddHeader>
    <oddFooter>&amp;R&amp;"Times New Roman,Bold"&amp;12Attachment to Response to PSC-2 Question No. 28
Page &amp;P of &amp;N
Bellar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8"/>
  <sheetViews>
    <sheetView zoomScaleNormal="100" workbookViewId="0">
      <selection activeCell="A2" sqref="A2:S2"/>
    </sheetView>
  </sheetViews>
  <sheetFormatPr defaultRowHeight="12.75" x14ac:dyDescent="0.2"/>
  <cols>
    <col min="1" max="1" width="26.42578125" style="83" customWidth="1"/>
    <col min="2" max="2" width="8.7109375" style="83" bestFit="1" customWidth="1"/>
    <col min="3" max="3" width="1.5703125" style="82" customWidth="1"/>
    <col min="4" max="4" width="26.42578125" style="83" customWidth="1"/>
    <col min="5" max="5" width="8.7109375" style="83" bestFit="1" customWidth="1"/>
    <col min="6" max="6" width="11.28515625" style="83" bestFit="1" customWidth="1"/>
    <col min="7" max="16384" width="9.140625" style="83"/>
  </cols>
  <sheetData>
    <row r="1" spans="1:7" x14ac:dyDescent="0.2">
      <c r="A1" s="81" t="s">
        <v>58</v>
      </c>
      <c r="B1" s="81"/>
    </row>
    <row r="2" spans="1:7" x14ac:dyDescent="0.2">
      <c r="A2" s="81" t="s">
        <v>59</v>
      </c>
    </row>
    <row r="4" spans="1:7" x14ac:dyDescent="0.2">
      <c r="A4" s="154" t="s">
        <v>44</v>
      </c>
      <c r="B4" s="155"/>
      <c r="C4" s="84"/>
      <c r="D4" s="154" t="s">
        <v>60</v>
      </c>
      <c r="E4" s="155"/>
      <c r="F4" s="85" t="s">
        <v>61</v>
      </c>
      <c r="G4" s="86"/>
    </row>
    <row r="5" spans="1:7" x14ac:dyDescent="0.2">
      <c r="A5" s="87" t="s">
        <v>62</v>
      </c>
      <c r="B5" s="88">
        <v>226409</v>
      </c>
      <c r="C5" s="84"/>
      <c r="D5" s="87" t="s">
        <v>63</v>
      </c>
      <c r="E5" s="88">
        <v>317000</v>
      </c>
      <c r="F5" s="87"/>
    </row>
    <row r="6" spans="1:7" x14ac:dyDescent="0.2">
      <c r="A6" s="87" t="s">
        <v>64</v>
      </c>
      <c r="B6" s="88">
        <v>316235</v>
      </c>
      <c r="C6" s="84"/>
      <c r="D6" s="87" t="s">
        <v>65</v>
      </c>
      <c r="E6" s="88">
        <v>73000</v>
      </c>
      <c r="F6" s="87"/>
    </row>
    <row r="7" spans="1:7" x14ac:dyDescent="0.2">
      <c r="A7" s="87" t="s">
        <v>65</v>
      </c>
      <c r="B7" s="88">
        <v>32939</v>
      </c>
      <c r="C7" s="84"/>
      <c r="D7" s="87"/>
      <c r="E7" s="88"/>
      <c r="F7" s="87"/>
    </row>
    <row r="8" spans="1:7" x14ac:dyDescent="0.2">
      <c r="A8" s="156">
        <f>SUM(B5:B7)</f>
        <v>575583</v>
      </c>
      <c r="B8" s="157"/>
      <c r="C8" s="84"/>
      <c r="D8" s="156">
        <f>SUM(E5:E7)</f>
        <v>390000</v>
      </c>
      <c r="E8" s="157">
        <f>SUM(E5:E7)</f>
        <v>390000</v>
      </c>
      <c r="F8" s="89">
        <f>D8-A8</f>
        <v>-185583</v>
      </c>
      <c r="G8" s="90"/>
    </row>
  </sheetData>
  <mergeCells count="4">
    <mergeCell ref="A4:B4"/>
    <mergeCell ref="D4:E4"/>
    <mergeCell ref="A8:B8"/>
    <mergeCell ref="D8:E8"/>
  </mergeCells>
  <pageMargins left="0.5" right="0.5" top="1" bottom="1.25" header="1" footer="0.5"/>
  <pageSetup orientation="landscape" r:id="rId1"/>
  <headerFooter scaleWithDoc="0">
    <oddHeader>&amp;C&amp;"Times New Roman,Bold"&amp;12Louisville Gas and Electric Company
Case No. 2016-00371</oddHeader>
    <oddFooter>&amp;R&amp;"Times New Roman,Bold"&amp;12Attachment to Response to PSC-2 Question No. 28
Page &amp;P of &amp;N
Bellar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T87"/>
  <sheetViews>
    <sheetView showGridLines="0" zoomScale="90" zoomScaleNormal="90" workbookViewId="0">
      <selection activeCell="A10" sqref="A10:S10"/>
    </sheetView>
  </sheetViews>
  <sheetFormatPr defaultRowHeight="12.75" x14ac:dyDescent="0.2"/>
  <cols>
    <col min="1" max="1" width="33.5703125" style="97" customWidth="1"/>
    <col min="2" max="2" width="6.7109375" style="92" customWidth="1"/>
    <col min="3" max="3" width="9.85546875" style="92" customWidth="1"/>
    <col min="4" max="4" width="11.28515625" style="92" customWidth="1"/>
    <col min="5" max="5" width="1.140625" style="92" customWidth="1"/>
    <col min="6" max="6" width="33.42578125" style="97" customWidth="1"/>
    <col min="7" max="7" width="6.7109375" style="92" customWidth="1"/>
    <col min="8" max="8" width="9.85546875" style="92" customWidth="1"/>
    <col min="9" max="9" width="11.28515625" style="92" customWidth="1"/>
    <col min="10" max="10" width="1.140625" style="92" customWidth="1"/>
    <col min="11" max="11" width="33.42578125" style="97" customWidth="1"/>
    <col min="12" max="12" width="6.7109375" style="92" customWidth="1"/>
    <col min="13" max="13" width="9.85546875" style="92" customWidth="1"/>
    <col min="14" max="14" width="11.28515625" style="92" customWidth="1"/>
    <col min="15" max="15" width="1.140625" style="92" customWidth="1"/>
    <col min="16" max="16" width="33.42578125" style="97" customWidth="1"/>
    <col min="17" max="17" width="6.7109375" style="92" customWidth="1"/>
    <col min="18" max="18" width="9.85546875" style="92" customWidth="1"/>
    <col min="19" max="19" width="11.28515625" style="92" customWidth="1"/>
    <col min="20" max="16384" width="9.140625" style="92"/>
  </cols>
  <sheetData>
    <row r="1" spans="1:20" ht="21" x14ac:dyDescent="0.35">
      <c r="A1" s="231" t="s">
        <v>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91" t="s">
        <v>67</v>
      </c>
    </row>
    <row r="2" spans="1:20" ht="21" x14ac:dyDescent="0.35">
      <c r="A2" s="232" t="str">
        <f>"OPEX ESTIMATE - "&amp;B6&amp;" ($s)"</f>
        <v>OPEX ESTIMATE - 2016 ($s)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</row>
    <row r="4" spans="1:20" ht="15.75" customHeight="1" x14ac:dyDescent="0.2">
      <c r="A4" s="93" t="s">
        <v>68</v>
      </c>
      <c r="B4" s="233">
        <v>123456</v>
      </c>
      <c r="C4" s="233"/>
      <c r="D4" s="233"/>
      <c r="E4" s="233"/>
      <c r="F4" s="233"/>
      <c r="G4" s="94"/>
      <c r="H4" s="94"/>
      <c r="K4" s="95" t="s">
        <v>69</v>
      </c>
      <c r="L4" s="234">
        <f>Q40+Q79</f>
        <v>50890.201831805243</v>
      </c>
      <c r="M4" s="235"/>
      <c r="P4" s="92"/>
    </row>
    <row r="5" spans="1:20" ht="15.75" customHeight="1" x14ac:dyDescent="0.2">
      <c r="A5" s="93" t="s">
        <v>70</v>
      </c>
      <c r="B5" s="227" t="s">
        <v>66</v>
      </c>
      <c r="C5" s="227"/>
      <c r="D5" s="227"/>
      <c r="E5" s="227"/>
      <c r="F5" s="227"/>
      <c r="G5" s="94"/>
      <c r="H5" s="94"/>
      <c r="K5" s="95" t="s">
        <v>71</v>
      </c>
      <c r="L5" s="236">
        <v>0.15</v>
      </c>
      <c r="M5" s="236"/>
      <c r="P5" s="92"/>
    </row>
    <row r="6" spans="1:20" ht="15.75" customHeight="1" x14ac:dyDescent="0.2">
      <c r="A6" s="93" t="s">
        <v>72</v>
      </c>
      <c r="B6" s="227">
        <v>2016</v>
      </c>
      <c r="C6" s="227"/>
      <c r="D6" s="227"/>
      <c r="E6" s="227"/>
      <c r="F6" s="227"/>
      <c r="G6" s="94"/>
      <c r="H6" s="94"/>
      <c r="K6" s="96" t="s">
        <v>73</v>
      </c>
      <c r="L6" s="228">
        <v>0</v>
      </c>
      <c r="M6" s="228"/>
      <c r="P6" s="92"/>
    </row>
    <row r="7" spans="1:20" ht="15.75" customHeight="1" x14ac:dyDescent="0.25">
      <c r="A7" s="93" t="s">
        <v>74</v>
      </c>
      <c r="B7" s="227" t="s">
        <v>75</v>
      </c>
      <c r="C7" s="227"/>
      <c r="D7" s="227"/>
      <c r="E7" s="227"/>
      <c r="F7" s="227"/>
      <c r="G7" s="94"/>
      <c r="H7" s="94"/>
      <c r="K7" s="96" t="s">
        <v>76</v>
      </c>
      <c r="L7" s="229">
        <v>0.28000000000000003</v>
      </c>
      <c r="M7" s="229"/>
      <c r="P7" s="92"/>
    </row>
    <row r="8" spans="1:20" ht="15.75" customHeight="1" x14ac:dyDescent="0.2">
      <c r="A8" s="93" t="s">
        <v>77</v>
      </c>
      <c r="B8" s="230">
        <v>42137</v>
      </c>
      <c r="C8" s="230"/>
      <c r="D8" s="230"/>
      <c r="E8" s="230"/>
      <c r="F8" s="230"/>
      <c r="G8" s="94"/>
      <c r="H8" s="94"/>
      <c r="P8" s="92"/>
    </row>
    <row r="9" spans="1:20" ht="17.25" customHeight="1" x14ac:dyDescent="0.2">
      <c r="P9" s="92"/>
    </row>
    <row r="10" spans="1:20" ht="17.25" customHeight="1" x14ac:dyDescent="0.2">
      <c r="A10" s="213" t="s">
        <v>78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</row>
    <row r="11" spans="1:20" ht="17.25" customHeight="1" x14ac:dyDescent="0.2">
      <c r="P11" s="92"/>
    </row>
    <row r="12" spans="1:20" s="98" customFormat="1" ht="15.75" customHeight="1" x14ac:dyDescent="0.25">
      <c r="A12" s="215" t="s">
        <v>79</v>
      </c>
      <c r="B12" s="216"/>
      <c r="C12" s="216"/>
      <c r="D12" s="217"/>
      <c r="F12" s="218" t="s">
        <v>80</v>
      </c>
      <c r="G12" s="219"/>
      <c r="H12" s="219"/>
      <c r="I12" s="220"/>
      <c r="K12" s="221" t="s">
        <v>81</v>
      </c>
      <c r="L12" s="222"/>
      <c r="M12" s="222"/>
      <c r="N12" s="223"/>
      <c r="P12" s="224" t="s">
        <v>82</v>
      </c>
      <c r="Q12" s="225"/>
      <c r="R12" s="225"/>
      <c r="S12" s="226"/>
    </row>
    <row r="13" spans="1:20" s="101" customFormat="1" ht="30" x14ac:dyDescent="0.25">
      <c r="A13" s="99" t="s">
        <v>83</v>
      </c>
      <c r="B13" s="100" t="s">
        <v>84</v>
      </c>
      <c r="C13" s="99" t="s">
        <v>85</v>
      </c>
      <c r="D13" s="100" t="s">
        <v>41</v>
      </c>
      <c r="F13" s="99" t="s">
        <v>83</v>
      </c>
      <c r="G13" s="100" t="s">
        <v>84</v>
      </c>
      <c r="H13" s="99" t="s">
        <v>85</v>
      </c>
      <c r="I13" s="100" t="s">
        <v>41</v>
      </c>
      <c r="J13" s="102"/>
      <c r="K13" s="99" t="s">
        <v>83</v>
      </c>
      <c r="L13" s="100" t="s">
        <v>84</v>
      </c>
      <c r="M13" s="99" t="s">
        <v>85</v>
      </c>
      <c r="N13" s="100" t="s">
        <v>41</v>
      </c>
      <c r="O13" s="102"/>
      <c r="P13" s="99" t="s">
        <v>83</v>
      </c>
      <c r="Q13" s="100" t="s">
        <v>84</v>
      </c>
      <c r="R13" s="99" t="s">
        <v>85</v>
      </c>
      <c r="S13" s="100" t="s">
        <v>41</v>
      </c>
    </row>
    <row r="14" spans="1:20" s="106" customFormat="1" ht="14.25" customHeight="1" x14ac:dyDescent="0.2">
      <c r="A14" s="103" t="s">
        <v>86</v>
      </c>
      <c r="B14" s="104">
        <v>40</v>
      </c>
      <c r="C14" s="104">
        <v>41.379679402537491</v>
      </c>
      <c r="D14" s="105">
        <f t="shared" ref="D14:D20" si="0">B14 * C14</f>
        <v>1655.1871761014995</v>
      </c>
      <c r="F14" s="103" t="s">
        <v>82</v>
      </c>
      <c r="G14" s="104">
        <v>1</v>
      </c>
      <c r="H14" s="104">
        <v>2868.8075015624991</v>
      </c>
      <c r="I14" s="105">
        <f t="shared" ref="I14:I29" si="1">G14 * H14</f>
        <v>2868.8075015624991</v>
      </c>
      <c r="J14" s="107"/>
      <c r="K14" s="103" t="s">
        <v>87</v>
      </c>
      <c r="L14" s="104">
        <v>350</v>
      </c>
      <c r="M14" s="104">
        <v>68.885805727518729</v>
      </c>
      <c r="N14" s="105">
        <f t="shared" ref="N14:N29" si="2">L14 * M14</f>
        <v>24110.032004631554</v>
      </c>
      <c r="O14" s="107"/>
      <c r="P14" s="108" t="s">
        <v>88</v>
      </c>
      <c r="Q14" s="109">
        <v>1</v>
      </c>
      <c r="R14" s="109">
        <v>1721.2845009374996</v>
      </c>
      <c r="S14" s="105">
        <f t="shared" ref="S14:S29" si="3">Q14 * R14</f>
        <v>1721.2845009374996</v>
      </c>
    </row>
    <row r="15" spans="1:20" s="106" customFormat="1" ht="14.25" customHeight="1" x14ac:dyDescent="0.2">
      <c r="A15" s="108" t="s">
        <v>89</v>
      </c>
      <c r="B15" s="109">
        <v>340</v>
      </c>
      <c r="C15" s="109">
        <v>41.379679402537491</v>
      </c>
      <c r="D15" s="110">
        <f t="shared" si="0"/>
        <v>14069.090996862747</v>
      </c>
      <c r="F15" s="108" t="s">
        <v>90</v>
      </c>
      <c r="G15" s="109">
        <v>1</v>
      </c>
      <c r="H15" s="109">
        <v>1721.2845009374996</v>
      </c>
      <c r="I15" s="110">
        <f t="shared" si="1"/>
        <v>1721.2845009374996</v>
      </c>
      <c r="J15" s="107"/>
      <c r="K15" s="108" t="s">
        <v>91</v>
      </c>
      <c r="L15" s="109">
        <v>150</v>
      </c>
      <c r="M15" s="109">
        <v>83.138041395281235</v>
      </c>
      <c r="N15" s="110">
        <f t="shared" si="2"/>
        <v>12470.706209292186</v>
      </c>
      <c r="O15" s="107"/>
      <c r="P15" s="108"/>
      <c r="Q15" s="109"/>
      <c r="R15" s="109"/>
      <c r="S15" s="110">
        <f t="shared" si="3"/>
        <v>0</v>
      </c>
    </row>
    <row r="16" spans="1:20" s="106" customFormat="1" ht="14.25" customHeight="1" x14ac:dyDescent="0.2">
      <c r="A16" s="108" t="s">
        <v>92</v>
      </c>
      <c r="B16" s="109">
        <v>60</v>
      </c>
      <c r="C16" s="109">
        <v>45.132079614581237</v>
      </c>
      <c r="D16" s="110">
        <f t="shared" si="0"/>
        <v>2707.9247768748742</v>
      </c>
      <c r="F16" s="108" t="s">
        <v>93</v>
      </c>
      <c r="G16" s="109">
        <v>1</v>
      </c>
      <c r="H16" s="109">
        <v>1721.2845009374996</v>
      </c>
      <c r="I16" s="110">
        <f t="shared" si="1"/>
        <v>1721.2845009374996</v>
      </c>
      <c r="J16" s="107"/>
      <c r="K16" s="108" t="s">
        <v>94</v>
      </c>
      <c r="L16" s="109">
        <v>1</v>
      </c>
      <c r="M16" s="109">
        <v>201235</v>
      </c>
      <c r="N16" s="110">
        <f t="shared" si="2"/>
        <v>201235</v>
      </c>
      <c r="O16" s="107"/>
      <c r="P16" s="108"/>
      <c r="Q16" s="109"/>
      <c r="R16" s="109"/>
      <c r="S16" s="110">
        <f t="shared" si="3"/>
        <v>0</v>
      </c>
    </row>
    <row r="17" spans="1:19" s="106" customFormat="1" ht="14.25" customHeight="1" x14ac:dyDescent="0.2">
      <c r="A17" s="108"/>
      <c r="B17" s="109"/>
      <c r="C17" s="109"/>
      <c r="D17" s="110">
        <f t="shared" si="0"/>
        <v>0</v>
      </c>
      <c r="F17" s="108" t="s">
        <v>95</v>
      </c>
      <c r="G17" s="109">
        <v>30</v>
      </c>
      <c r="H17" s="109">
        <v>17.212845009374995</v>
      </c>
      <c r="I17" s="110">
        <f t="shared" si="1"/>
        <v>516.38535028124988</v>
      </c>
      <c r="J17" s="107"/>
      <c r="K17" s="108" t="s">
        <v>96</v>
      </c>
      <c r="L17" s="109">
        <v>1</v>
      </c>
      <c r="M17" s="109">
        <v>459.00920024999988</v>
      </c>
      <c r="N17" s="110">
        <f t="shared" si="2"/>
        <v>459.00920024999988</v>
      </c>
      <c r="O17" s="107"/>
      <c r="P17" s="108"/>
      <c r="Q17" s="109"/>
      <c r="R17" s="109"/>
      <c r="S17" s="110">
        <f t="shared" si="3"/>
        <v>0</v>
      </c>
    </row>
    <row r="18" spans="1:19" s="106" customFormat="1" ht="14.25" customHeight="1" x14ac:dyDescent="0.2">
      <c r="A18" s="108"/>
      <c r="B18" s="109"/>
      <c r="C18" s="109"/>
      <c r="D18" s="110">
        <f t="shared" si="0"/>
        <v>0</v>
      </c>
      <c r="F18" s="108"/>
      <c r="G18" s="109"/>
      <c r="H18" s="109"/>
      <c r="I18" s="110">
        <f t="shared" si="1"/>
        <v>0</v>
      </c>
      <c r="J18" s="107"/>
      <c r="K18" s="108"/>
      <c r="L18" s="109"/>
      <c r="M18" s="109"/>
      <c r="N18" s="110">
        <f t="shared" si="2"/>
        <v>0</v>
      </c>
      <c r="O18" s="107"/>
      <c r="P18" s="108"/>
      <c r="Q18" s="109"/>
      <c r="R18" s="109"/>
      <c r="S18" s="110">
        <f t="shared" si="3"/>
        <v>0</v>
      </c>
    </row>
    <row r="19" spans="1:19" s="106" customFormat="1" ht="14.25" customHeight="1" x14ac:dyDescent="0.2">
      <c r="A19" s="108"/>
      <c r="B19" s="109"/>
      <c r="C19" s="109"/>
      <c r="D19" s="110">
        <f t="shared" si="0"/>
        <v>0</v>
      </c>
      <c r="F19" s="108"/>
      <c r="G19" s="109"/>
      <c r="H19" s="109"/>
      <c r="I19" s="110">
        <f t="shared" si="1"/>
        <v>0</v>
      </c>
      <c r="J19" s="107"/>
      <c r="K19" s="108"/>
      <c r="L19" s="109"/>
      <c r="M19" s="109"/>
      <c r="N19" s="110">
        <f t="shared" si="2"/>
        <v>0</v>
      </c>
      <c r="O19" s="107"/>
      <c r="P19" s="108"/>
      <c r="Q19" s="109"/>
      <c r="R19" s="109"/>
      <c r="S19" s="110">
        <f t="shared" si="3"/>
        <v>0</v>
      </c>
    </row>
    <row r="20" spans="1:19" s="106" customFormat="1" ht="14.25" customHeight="1" x14ac:dyDescent="0.2">
      <c r="A20" s="108"/>
      <c r="B20" s="109"/>
      <c r="C20" s="109"/>
      <c r="D20" s="110">
        <f t="shared" si="0"/>
        <v>0</v>
      </c>
      <c r="F20" s="108"/>
      <c r="G20" s="109"/>
      <c r="H20" s="109"/>
      <c r="I20" s="110">
        <f t="shared" si="1"/>
        <v>0</v>
      </c>
      <c r="J20" s="107"/>
      <c r="K20" s="108"/>
      <c r="L20" s="109"/>
      <c r="M20" s="109"/>
      <c r="N20" s="110">
        <f t="shared" si="2"/>
        <v>0</v>
      </c>
      <c r="O20" s="107"/>
      <c r="P20" s="108"/>
      <c r="Q20" s="109"/>
      <c r="R20" s="109"/>
      <c r="S20" s="110">
        <f t="shared" si="3"/>
        <v>0</v>
      </c>
    </row>
    <row r="21" spans="1:19" s="106" customFormat="1" ht="14.25" customHeight="1" x14ac:dyDescent="0.25">
      <c r="A21" s="111" t="s">
        <v>97</v>
      </c>
      <c r="B21" s="207">
        <f>SUM(D14:D20)</f>
        <v>18432.20294983912</v>
      </c>
      <c r="C21" s="208"/>
      <c r="D21" s="209"/>
      <c r="F21" s="108"/>
      <c r="G21" s="109"/>
      <c r="H21" s="109"/>
      <c r="I21" s="110">
        <f t="shared" si="1"/>
        <v>0</v>
      </c>
      <c r="J21" s="107"/>
      <c r="K21" s="108"/>
      <c r="L21" s="109"/>
      <c r="M21" s="109"/>
      <c r="N21" s="110">
        <f t="shared" si="2"/>
        <v>0</v>
      </c>
      <c r="O21" s="107"/>
      <c r="P21" s="108"/>
      <c r="Q21" s="109"/>
      <c r="R21" s="109"/>
      <c r="S21" s="110">
        <f t="shared" si="3"/>
        <v>0</v>
      </c>
    </row>
    <row r="22" spans="1:19" s="106" customFormat="1" ht="14.25" customHeight="1" x14ac:dyDescent="0.2">
      <c r="F22" s="108"/>
      <c r="G22" s="109"/>
      <c r="H22" s="109"/>
      <c r="I22" s="110">
        <f t="shared" si="1"/>
        <v>0</v>
      </c>
      <c r="J22" s="107"/>
      <c r="K22" s="108"/>
      <c r="L22" s="109"/>
      <c r="M22" s="109"/>
      <c r="N22" s="110">
        <f t="shared" si="2"/>
        <v>0</v>
      </c>
      <c r="O22" s="107"/>
      <c r="P22" s="108"/>
      <c r="Q22" s="109"/>
      <c r="R22" s="109"/>
      <c r="S22" s="110">
        <f t="shared" si="3"/>
        <v>0</v>
      </c>
    </row>
    <row r="23" spans="1:19" s="106" customFormat="1" ht="14.25" customHeight="1" x14ac:dyDescent="0.25">
      <c r="A23" s="210" t="s">
        <v>98</v>
      </c>
      <c r="B23" s="211"/>
      <c r="C23" s="211"/>
      <c r="D23" s="212"/>
      <c r="F23" s="108"/>
      <c r="G23" s="109"/>
      <c r="H23" s="109"/>
      <c r="I23" s="110">
        <f t="shared" si="1"/>
        <v>0</v>
      </c>
      <c r="J23" s="107"/>
      <c r="K23" s="108"/>
      <c r="L23" s="109"/>
      <c r="M23" s="109"/>
      <c r="N23" s="110">
        <f t="shared" si="2"/>
        <v>0</v>
      </c>
      <c r="O23" s="107"/>
      <c r="P23" s="108"/>
      <c r="Q23" s="109"/>
      <c r="R23" s="109"/>
      <c r="S23" s="110">
        <f t="shared" si="3"/>
        <v>0</v>
      </c>
    </row>
    <row r="24" spans="1:19" s="106" customFormat="1" ht="14.25" customHeight="1" x14ac:dyDescent="0.2">
      <c r="A24" s="108"/>
      <c r="B24" s="109"/>
      <c r="C24" s="109"/>
      <c r="D24" s="110">
        <f t="shared" ref="D24:D29" si="4">B24 * C24</f>
        <v>0</v>
      </c>
      <c r="F24" s="108"/>
      <c r="G24" s="109"/>
      <c r="H24" s="109"/>
      <c r="I24" s="110">
        <f t="shared" si="1"/>
        <v>0</v>
      </c>
      <c r="J24" s="107"/>
      <c r="K24" s="108"/>
      <c r="L24" s="109"/>
      <c r="M24" s="109"/>
      <c r="N24" s="110">
        <f t="shared" si="2"/>
        <v>0</v>
      </c>
      <c r="O24" s="107"/>
      <c r="P24" s="108"/>
      <c r="Q24" s="109"/>
      <c r="R24" s="109"/>
      <c r="S24" s="110">
        <f t="shared" si="3"/>
        <v>0</v>
      </c>
    </row>
    <row r="25" spans="1:19" s="106" customFormat="1" ht="14.25" customHeight="1" x14ac:dyDescent="0.2">
      <c r="A25" s="108"/>
      <c r="B25" s="109"/>
      <c r="C25" s="109"/>
      <c r="D25" s="110">
        <f t="shared" si="4"/>
        <v>0</v>
      </c>
      <c r="F25" s="108"/>
      <c r="G25" s="109"/>
      <c r="H25" s="109"/>
      <c r="I25" s="110">
        <f t="shared" si="1"/>
        <v>0</v>
      </c>
      <c r="J25" s="107"/>
      <c r="K25" s="108"/>
      <c r="L25" s="109"/>
      <c r="M25" s="109"/>
      <c r="N25" s="110">
        <f t="shared" si="2"/>
        <v>0</v>
      </c>
      <c r="O25" s="107"/>
      <c r="P25" s="108"/>
      <c r="Q25" s="109"/>
      <c r="R25" s="109"/>
      <c r="S25" s="110">
        <f t="shared" si="3"/>
        <v>0</v>
      </c>
    </row>
    <row r="26" spans="1:19" s="106" customFormat="1" ht="14.25" customHeight="1" x14ac:dyDescent="0.2">
      <c r="A26" s="108"/>
      <c r="B26" s="109"/>
      <c r="C26" s="109"/>
      <c r="D26" s="110">
        <f t="shared" si="4"/>
        <v>0</v>
      </c>
      <c r="F26" s="108"/>
      <c r="G26" s="109"/>
      <c r="H26" s="109"/>
      <c r="I26" s="110">
        <f t="shared" si="1"/>
        <v>0</v>
      </c>
      <c r="J26" s="107"/>
      <c r="K26" s="108"/>
      <c r="L26" s="109"/>
      <c r="M26" s="109"/>
      <c r="N26" s="110">
        <f t="shared" si="2"/>
        <v>0</v>
      </c>
      <c r="O26" s="107"/>
      <c r="P26" s="108"/>
      <c r="Q26" s="109"/>
      <c r="R26" s="109"/>
      <c r="S26" s="110">
        <f t="shared" si="3"/>
        <v>0</v>
      </c>
    </row>
    <row r="27" spans="1:19" s="106" customFormat="1" ht="14.25" customHeight="1" x14ac:dyDescent="0.2">
      <c r="A27" s="108"/>
      <c r="B27" s="109"/>
      <c r="C27" s="109"/>
      <c r="D27" s="110">
        <f t="shared" si="4"/>
        <v>0</v>
      </c>
      <c r="F27" s="108"/>
      <c r="G27" s="109"/>
      <c r="H27" s="109"/>
      <c r="I27" s="110">
        <f t="shared" si="1"/>
        <v>0</v>
      </c>
      <c r="J27" s="107"/>
      <c r="K27" s="108"/>
      <c r="L27" s="109"/>
      <c r="M27" s="109"/>
      <c r="N27" s="110">
        <f t="shared" si="2"/>
        <v>0</v>
      </c>
      <c r="O27" s="107"/>
      <c r="P27" s="108"/>
      <c r="Q27" s="109"/>
      <c r="R27" s="109"/>
      <c r="S27" s="110">
        <f t="shared" si="3"/>
        <v>0</v>
      </c>
    </row>
    <row r="28" spans="1:19" s="106" customFormat="1" ht="14.25" customHeight="1" x14ac:dyDescent="0.2">
      <c r="A28" s="108"/>
      <c r="B28" s="109"/>
      <c r="C28" s="109"/>
      <c r="D28" s="110">
        <f t="shared" si="4"/>
        <v>0</v>
      </c>
      <c r="F28" s="108"/>
      <c r="G28" s="109"/>
      <c r="H28" s="109"/>
      <c r="I28" s="110">
        <f t="shared" si="1"/>
        <v>0</v>
      </c>
      <c r="J28" s="107"/>
      <c r="K28" s="108"/>
      <c r="L28" s="109"/>
      <c r="M28" s="109"/>
      <c r="N28" s="110">
        <f t="shared" si="2"/>
        <v>0</v>
      </c>
      <c r="O28" s="107"/>
      <c r="P28" s="108"/>
      <c r="Q28" s="109"/>
      <c r="R28" s="109"/>
      <c r="S28" s="110">
        <f t="shared" si="3"/>
        <v>0</v>
      </c>
    </row>
    <row r="29" spans="1:19" s="106" customFormat="1" ht="14.25" customHeight="1" x14ac:dyDescent="0.2">
      <c r="A29" s="112"/>
      <c r="B29" s="113"/>
      <c r="C29" s="113"/>
      <c r="D29" s="110">
        <f t="shared" si="4"/>
        <v>0</v>
      </c>
      <c r="F29" s="112"/>
      <c r="G29" s="113"/>
      <c r="H29" s="113"/>
      <c r="I29" s="110">
        <f t="shared" si="1"/>
        <v>0</v>
      </c>
      <c r="J29" s="107"/>
      <c r="K29" s="112"/>
      <c r="L29" s="113"/>
      <c r="M29" s="113"/>
      <c r="N29" s="114">
        <f t="shared" si="2"/>
        <v>0</v>
      </c>
      <c r="O29" s="107"/>
      <c r="P29" s="112"/>
      <c r="Q29" s="113"/>
      <c r="R29" s="113"/>
      <c r="S29" s="110">
        <f t="shared" si="3"/>
        <v>0</v>
      </c>
    </row>
    <row r="30" spans="1:19" ht="15" x14ac:dyDescent="0.25">
      <c r="A30" s="111" t="s">
        <v>99</v>
      </c>
      <c r="B30" s="207">
        <f>SUM(D24:D29)</f>
        <v>0</v>
      </c>
      <c r="C30" s="208"/>
      <c r="D30" s="209"/>
      <c r="E30" s="115"/>
      <c r="F30" s="116" t="s">
        <v>100</v>
      </c>
      <c r="G30" s="207">
        <f>SUM(I14:I29)</f>
        <v>6827.7618537187482</v>
      </c>
      <c r="H30" s="208"/>
      <c r="I30" s="209"/>
      <c r="J30" s="115"/>
      <c r="K30" s="116" t="s">
        <v>101</v>
      </c>
      <c r="L30" s="207">
        <f>SUM(N14:N29)</f>
        <v>238274.74741417373</v>
      </c>
      <c r="M30" s="208"/>
      <c r="N30" s="209"/>
      <c r="O30" s="115"/>
      <c r="P30" s="116" t="s">
        <v>102</v>
      </c>
      <c r="Q30" s="207">
        <f>SUM(S14:S29)</f>
        <v>1721.2845009374996</v>
      </c>
      <c r="R30" s="208"/>
      <c r="S30" s="209"/>
    </row>
    <row r="31" spans="1:19" ht="15" x14ac:dyDescent="0.25">
      <c r="A31" s="117" t="s">
        <v>103</v>
      </c>
      <c r="B31" s="196">
        <f>B21+B30</f>
        <v>18432.20294983912</v>
      </c>
      <c r="C31" s="197"/>
      <c r="D31" s="198"/>
      <c r="E31" s="115"/>
      <c r="F31" s="118" t="s">
        <v>104</v>
      </c>
      <c r="G31" s="196">
        <f>G30 * $B$42</f>
        <v>409.6657112231249</v>
      </c>
      <c r="H31" s="197"/>
      <c r="I31" s="198"/>
      <c r="J31" s="115"/>
      <c r="K31" s="199" t="s">
        <v>105</v>
      </c>
      <c r="L31" s="201">
        <f>L30 * ($B$40 + $B$41)</f>
        <v>0</v>
      </c>
      <c r="M31" s="202"/>
      <c r="N31" s="203"/>
      <c r="O31" s="115"/>
      <c r="P31" s="199" t="s">
        <v>106</v>
      </c>
      <c r="Q31" s="201">
        <f>Q30 * ($B$40 + $B$41)</f>
        <v>0</v>
      </c>
      <c r="R31" s="202"/>
      <c r="S31" s="203"/>
    </row>
    <row r="32" spans="1:19" ht="15" x14ac:dyDescent="0.25">
      <c r="A32" s="118" t="s">
        <v>107</v>
      </c>
      <c r="B32" s="196">
        <f>(B21 * $B$37) + (B30 * $B$38)</f>
        <v>4862.5994601970579</v>
      </c>
      <c r="C32" s="197"/>
      <c r="D32" s="198"/>
      <c r="E32" s="115"/>
      <c r="F32" s="118" t="s">
        <v>108</v>
      </c>
      <c r="G32" s="196">
        <f>(G30 + G31) * ($B$40 + $B$41)</f>
        <v>0</v>
      </c>
      <c r="H32" s="197"/>
      <c r="I32" s="198"/>
      <c r="J32" s="115"/>
      <c r="K32" s="200"/>
      <c r="L32" s="204"/>
      <c r="M32" s="205"/>
      <c r="N32" s="206"/>
      <c r="O32" s="115"/>
      <c r="P32" s="200"/>
      <c r="Q32" s="204"/>
      <c r="R32" s="205"/>
      <c r="S32" s="206"/>
    </row>
    <row r="33" spans="1:19" ht="15" customHeight="1" x14ac:dyDescent="0.25">
      <c r="A33" s="119" t="s">
        <v>109</v>
      </c>
      <c r="B33" s="179">
        <f>B31 + B32</f>
        <v>23294.80241003618</v>
      </c>
      <c r="C33" s="180"/>
      <c r="D33" s="181"/>
      <c r="F33" s="120" t="s">
        <v>110</v>
      </c>
      <c r="G33" s="182">
        <f>SUM(G30:I32)</f>
        <v>7237.4275649418732</v>
      </c>
      <c r="H33" s="183"/>
      <c r="I33" s="184"/>
      <c r="K33" s="121" t="s">
        <v>111</v>
      </c>
      <c r="L33" s="185">
        <f>L30 + L31</f>
        <v>238274.74741417373</v>
      </c>
      <c r="M33" s="186"/>
      <c r="N33" s="187"/>
      <c r="P33" s="122" t="s">
        <v>112</v>
      </c>
      <c r="Q33" s="188">
        <f>Q30 + Q31</f>
        <v>1721.2845009374996</v>
      </c>
      <c r="R33" s="189"/>
      <c r="S33" s="190"/>
    </row>
    <row r="36" spans="1:19" ht="15.75" customHeight="1" x14ac:dyDescent="0.25">
      <c r="A36" s="123" t="s">
        <v>113</v>
      </c>
      <c r="B36" s="124"/>
      <c r="C36" s="124"/>
      <c r="D36" s="125"/>
      <c r="F36" s="126" t="s">
        <v>114</v>
      </c>
      <c r="G36" s="127"/>
      <c r="H36" s="127"/>
      <c r="I36" s="128"/>
      <c r="K36" s="129" t="s">
        <v>115</v>
      </c>
      <c r="L36" s="130"/>
      <c r="M36" s="131"/>
      <c r="P36" s="191" t="str">
        <f>"TOTAL "&amp;B6&amp;":"</f>
        <v>TOTAL 2016:</v>
      </c>
      <c r="Q36" s="192"/>
      <c r="R36" s="192"/>
      <c r="S36" s="193"/>
    </row>
    <row r="37" spans="1:19" ht="15.75" customHeight="1" x14ac:dyDescent="0.25">
      <c r="A37" s="132" t="s">
        <v>116</v>
      </c>
      <c r="B37" s="165">
        <v>0.26380999999999999</v>
      </c>
      <c r="C37" s="165"/>
      <c r="D37" s="166"/>
      <c r="F37" s="167" t="s">
        <v>117</v>
      </c>
      <c r="G37" s="194"/>
      <c r="H37" s="194"/>
      <c r="I37" s="195"/>
      <c r="K37" s="133" t="s">
        <v>118</v>
      </c>
      <c r="L37" s="158">
        <f>B31</f>
        <v>18432.20294983912</v>
      </c>
      <c r="M37" s="159"/>
      <c r="P37" s="134" t="s">
        <v>42</v>
      </c>
      <c r="Q37" s="163">
        <f>B33</f>
        <v>23294.80241003618</v>
      </c>
      <c r="R37" s="163"/>
      <c r="S37" s="164"/>
    </row>
    <row r="38" spans="1:19" ht="15.75" customHeight="1" x14ac:dyDescent="0.25">
      <c r="A38" s="132" t="s">
        <v>119</v>
      </c>
      <c r="B38" s="165">
        <v>8.7069999999999995E-2</v>
      </c>
      <c r="C38" s="165"/>
      <c r="D38" s="166"/>
      <c r="F38" s="167" t="s">
        <v>120</v>
      </c>
      <c r="G38" s="168"/>
      <c r="H38" s="168"/>
      <c r="I38" s="169"/>
      <c r="K38" s="133" t="s">
        <v>121</v>
      </c>
      <c r="L38" s="158">
        <f>L30</f>
        <v>238274.74741417373</v>
      </c>
      <c r="M38" s="159"/>
      <c r="P38" s="134" t="s">
        <v>122</v>
      </c>
      <c r="Q38" s="163">
        <f>G33 + L33 + Q33</f>
        <v>247233.4594800531</v>
      </c>
      <c r="R38" s="163"/>
      <c r="S38" s="164"/>
    </row>
    <row r="39" spans="1:19" ht="15.75" customHeight="1" x14ac:dyDescent="0.25">
      <c r="A39" s="132" t="s">
        <v>123</v>
      </c>
      <c r="B39" s="165">
        <v>0.185</v>
      </c>
      <c r="C39" s="165"/>
      <c r="D39" s="166"/>
      <c r="F39" s="167" t="s">
        <v>124</v>
      </c>
      <c r="G39" s="168"/>
      <c r="H39" s="168"/>
      <c r="I39" s="169"/>
      <c r="K39" s="133" t="s">
        <v>125</v>
      </c>
      <c r="L39" s="158">
        <f>G31 + G30</f>
        <v>7237.4275649418732</v>
      </c>
      <c r="M39" s="159"/>
      <c r="P39" s="135" t="s">
        <v>126</v>
      </c>
      <c r="Q39" s="163">
        <f>(B31 * $L$7) * (1 + ($B$40 + $B$41))</f>
        <v>5161.0168259549546</v>
      </c>
      <c r="R39" s="163"/>
      <c r="S39" s="164"/>
    </row>
    <row r="40" spans="1:19" ht="15.75" customHeight="1" x14ac:dyDescent="0.25">
      <c r="A40" s="132" t="s">
        <v>127</v>
      </c>
      <c r="B40" s="165">
        <v>0</v>
      </c>
      <c r="C40" s="165"/>
      <c r="D40" s="166"/>
      <c r="F40" s="178"/>
      <c r="G40" s="168"/>
      <c r="H40" s="168"/>
      <c r="I40" s="169"/>
      <c r="K40" s="133" t="s">
        <v>128</v>
      </c>
      <c r="L40" s="158">
        <f>Q30 + (B31 * $L$7)</f>
        <v>6882.3013268924542</v>
      </c>
      <c r="M40" s="159"/>
      <c r="P40" s="134" t="s">
        <v>129</v>
      </c>
      <c r="Q40" s="163">
        <f>SUM(Q37:S39)*(L5)</f>
        <v>41353.391807406631</v>
      </c>
      <c r="R40" s="163"/>
      <c r="S40" s="164"/>
    </row>
    <row r="41" spans="1:19" ht="15.75" customHeight="1" x14ac:dyDescent="0.25">
      <c r="A41" s="132" t="s">
        <v>130</v>
      </c>
      <c r="B41" s="165">
        <v>0</v>
      </c>
      <c r="C41" s="165"/>
      <c r="D41" s="166"/>
      <c r="F41" s="167" t="s">
        <v>131</v>
      </c>
      <c r="G41" s="168"/>
      <c r="H41" s="168"/>
      <c r="I41" s="169"/>
      <c r="K41" s="133" t="s">
        <v>132</v>
      </c>
      <c r="L41" s="158">
        <f>SUM(L37:M40) * $B$41</f>
        <v>0</v>
      </c>
      <c r="M41" s="159"/>
      <c r="P41" s="136" t="s">
        <v>133</v>
      </c>
      <c r="Q41" s="170">
        <f>L6</f>
        <v>0</v>
      </c>
      <c r="R41" s="170"/>
      <c r="S41" s="171"/>
    </row>
    <row r="42" spans="1:19" ht="15.75" customHeight="1" thickBot="1" x14ac:dyDescent="0.3">
      <c r="A42" s="137" t="s">
        <v>134</v>
      </c>
      <c r="B42" s="172">
        <v>0.06</v>
      </c>
      <c r="C42" s="172"/>
      <c r="D42" s="173"/>
      <c r="F42" s="174"/>
      <c r="G42" s="175"/>
      <c r="H42" s="175"/>
      <c r="I42" s="176"/>
      <c r="K42" s="133" t="s">
        <v>135</v>
      </c>
      <c r="L42" s="158">
        <f>(SUM(L38:M40) * $B$40) + (B21 * ($B$37 - $B$41) + (B30 * ($B$38 - $B$41)))</f>
        <v>4862.5994601970579</v>
      </c>
      <c r="M42" s="159"/>
      <c r="P42" s="138" t="str">
        <f>"TOTAL ESTIMATED COSTS "&amp;B6</f>
        <v>TOTAL ESTIMATED COSTS 2016</v>
      </c>
      <c r="Q42" s="177">
        <f>SUM(Q37:S41)</f>
        <v>317042.67052345083</v>
      </c>
      <c r="R42" s="177"/>
      <c r="S42" s="177"/>
    </row>
    <row r="43" spans="1:19" ht="16.5" thickTop="1" x14ac:dyDescent="0.25">
      <c r="A43" s="139" t="s">
        <v>136</v>
      </c>
      <c r="K43" s="133" t="s">
        <v>137</v>
      </c>
      <c r="L43" s="158">
        <f>Q40</f>
        <v>41353.391807406631</v>
      </c>
      <c r="M43" s="159"/>
    </row>
    <row r="44" spans="1:19" ht="15.75" x14ac:dyDescent="0.25">
      <c r="K44" s="133" t="s">
        <v>138</v>
      </c>
      <c r="L44" s="158">
        <f>Q41</f>
        <v>0</v>
      </c>
      <c r="M44" s="159"/>
    </row>
    <row r="45" spans="1:19" ht="15.75" customHeight="1" x14ac:dyDescent="0.25">
      <c r="K45" s="140" t="s">
        <v>139</v>
      </c>
      <c r="L45" s="160">
        <f>SUM(L37:M44)</f>
        <v>317042.67052345083</v>
      </c>
      <c r="M45" s="161"/>
      <c r="P45" s="162" t="s">
        <v>140</v>
      </c>
      <c r="Q45" s="162"/>
      <c r="R45" s="162"/>
      <c r="S45" s="162"/>
    </row>
    <row r="46" spans="1:19" x14ac:dyDescent="0.2">
      <c r="L46" s="141"/>
      <c r="M46" s="142">
        <f>Q42 - L45</f>
        <v>0</v>
      </c>
      <c r="N46" s="143" t="s">
        <v>141</v>
      </c>
    </row>
    <row r="49" spans="1:19" ht="21" customHeight="1" x14ac:dyDescent="0.2">
      <c r="A49" s="213" t="s">
        <v>142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</row>
    <row r="51" spans="1:19" s="98" customFormat="1" ht="15.75" customHeight="1" x14ac:dyDescent="0.25">
      <c r="A51" s="215" t="s">
        <v>79</v>
      </c>
      <c r="B51" s="216"/>
      <c r="C51" s="216"/>
      <c r="D51" s="217"/>
      <c r="F51" s="218" t="s">
        <v>80</v>
      </c>
      <c r="G51" s="219"/>
      <c r="H51" s="219"/>
      <c r="I51" s="220"/>
      <c r="K51" s="221" t="s">
        <v>81</v>
      </c>
      <c r="L51" s="222"/>
      <c r="M51" s="222"/>
      <c r="N51" s="223"/>
      <c r="P51" s="224" t="s">
        <v>82</v>
      </c>
      <c r="Q51" s="225"/>
      <c r="R51" s="225"/>
      <c r="S51" s="226"/>
    </row>
    <row r="52" spans="1:19" s="101" customFormat="1" ht="30" x14ac:dyDescent="0.25">
      <c r="A52" s="99" t="s">
        <v>83</v>
      </c>
      <c r="B52" s="100" t="s">
        <v>84</v>
      </c>
      <c r="C52" s="99" t="s">
        <v>85</v>
      </c>
      <c r="D52" s="100" t="s">
        <v>41</v>
      </c>
      <c r="F52" s="99" t="s">
        <v>83</v>
      </c>
      <c r="G52" s="100" t="s">
        <v>84</v>
      </c>
      <c r="H52" s="99" t="s">
        <v>85</v>
      </c>
      <c r="I52" s="100" t="s">
        <v>41</v>
      </c>
      <c r="J52" s="102"/>
      <c r="K52" s="99" t="s">
        <v>83</v>
      </c>
      <c r="L52" s="100" t="s">
        <v>84</v>
      </c>
      <c r="M52" s="99" t="s">
        <v>85</v>
      </c>
      <c r="N52" s="100" t="s">
        <v>41</v>
      </c>
      <c r="O52" s="102"/>
      <c r="P52" s="99" t="s">
        <v>83</v>
      </c>
      <c r="Q52" s="100" t="s">
        <v>84</v>
      </c>
      <c r="R52" s="99" t="s">
        <v>85</v>
      </c>
      <c r="S52" s="100" t="s">
        <v>41</v>
      </c>
    </row>
    <row r="53" spans="1:19" s="106" customFormat="1" ht="14.25" customHeight="1" x14ac:dyDescent="0.2">
      <c r="A53" s="103" t="s">
        <v>86</v>
      </c>
      <c r="B53" s="104">
        <v>20</v>
      </c>
      <c r="C53" s="104">
        <v>41.379679402537491</v>
      </c>
      <c r="D53" s="105">
        <f t="shared" ref="D53:D59" si="5">B53 * C53</f>
        <v>827.59358805074976</v>
      </c>
      <c r="F53" s="103" t="s">
        <v>143</v>
      </c>
      <c r="G53" s="104">
        <v>48</v>
      </c>
      <c r="H53" s="104">
        <v>19.507891010624995</v>
      </c>
      <c r="I53" s="105">
        <f t="shared" ref="I53:I68" si="6">G53 * H53</f>
        <v>936.37876850999976</v>
      </c>
      <c r="J53" s="107"/>
      <c r="K53" s="103" t="s">
        <v>87</v>
      </c>
      <c r="L53" s="104">
        <v>320</v>
      </c>
      <c r="M53" s="104">
        <v>68.851380037499979</v>
      </c>
      <c r="N53" s="105">
        <f t="shared" ref="N53:N68" si="7">L53 * M53</f>
        <v>22032.441611999995</v>
      </c>
      <c r="O53" s="107"/>
      <c r="P53" s="108" t="s">
        <v>144</v>
      </c>
      <c r="Q53" s="109">
        <v>1</v>
      </c>
      <c r="R53" s="109">
        <v>573.76150031249983</v>
      </c>
      <c r="S53" s="105">
        <f t="shared" ref="S53:S68" si="8">Q53 * R53</f>
        <v>573.76150031249983</v>
      </c>
    </row>
    <row r="54" spans="1:19" s="106" customFormat="1" ht="14.25" customHeight="1" x14ac:dyDescent="0.2">
      <c r="A54" s="108" t="s">
        <v>145</v>
      </c>
      <c r="B54" s="109">
        <v>80</v>
      </c>
      <c r="C54" s="109">
        <v>41.379679402537491</v>
      </c>
      <c r="D54" s="110">
        <f t="shared" si="5"/>
        <v>3310.374352202999</v>
      </c>
      <c r="F54" s="108" t="s">
        <v>95</v>
      </c>
      <c r="G54" s="109">
        <v>24</v>
      </c>
      <c r="H54" s="109">
        <v>17.212845009374995</v>
      </c>
      <c r="I54" s="110">
        <f t="shared" si="6"/>
        <v>413.10828022499987</v>
      </c>
      <c r="J54" s="107"/>
      <c r="K54" s="108" t="s">
        <v>91</v>
      </c>
      <c r="L54" s="109">
        <v>40</v>
      </c>
      <c r="M54" s="109">
        <v>82.62165604499998</v>
      </c>
      <c r="N54" s="110">
        <f t="shared" si="7"/>
        <v>3304.8662417999994</v>
      </c>
      <c r="O54" s="107"/>
      <c r="P54" s="108" t="s">
        <v>146</v>
      </c>
      <c r="Q54" s="109">
        <v>1</v>
      </c>
      <c r="R54" s="109">
        <v>631.13765034374978</v>
      </c>
      <c r="S54" s="110">
        <f t="shared" si="8"/>
        <v>631.13765034374978</v>
      </c>
    </row>
    <row r="55" spans="1:19" s="106" customFormat="1" ht="14.25" customHeight="1" x14ac:dyDescent="0.2">
      <c r="A55" s="108" t="s">
        <v>92</v>
      </c>
      <c r="B55" s="109">
        <v>40</v>
      </c>
      <c r="C55" s="109">
        <v>45.132079614581237</v>
      </c>
      <c r="D55" s="110">
        <f t="shared" si="5"/>
        <v>1805.2831845832495</v>
      </c>
      <c r="F55" s="108" t="s">
        <v>147</v>
      </c>
      <c r="G55" s="109">
        <v>100</v>
      </c>
      <c r="H55" s="109">
        <v>17.212845009374995</v>
      </c>
      <c r="I55" s="110">
        <f t="shared" si="6"/>
        <v>1721.2845009374994</v>
      </c>
      <c r="J55" s="107"/>
      <c r="K55" s="108" t="s">
        <v>148</v>
      </c>
      <c r="L55" s="109">
        <v>1</v>
      </c>
      <c r="M55" s="109">
        <v>3672.073601999999</v>
      </c>
      <c r="N55" s="110">
        <f t="shared" si="7"/>
        <v>3672.073601999999</v>
      </c>
      <c r="O55" s="107"/>
      <c r="P55" s="108" t="s">
        <v>149</v>
      </c>
      <c r="Q55" s="109">
        <v>1</v>
      </c>
      <c r="R55" s="109">
        <v>2295.0460012499993</v>
      </c>
      <c r="S55" s="110">
        <f t="shared" si="8"/>
        <v>2295.0460012499993</v>
      </c>
    </row>
    <row r="56" spans="1:19" s="106" customFormat="1" ht="14.25" customHeight="1" x14ac:dyDescent="0.2">
      <c r="A56" s="108"/>
      <c r="B56" s="109"/>
      <c r="C56" s="109"/>
      <c r="D56" s="110">
        <f t="shared" si="5"/>
        <v>0</v>
      </c>
      <c r="F56" s="108" t="s">
        <v>82</v>
      </c>
      <c r="G56" s="109">
        <v>3</v>
      </c>
      <c r="H56" s="109">
        <v>573.76150031249983</v>
      </c>
      <c r="I56" s="110">
        <f t="shared" si="6"/>
        <v>1721.2845009374996</v>
      </c>
      <c r="J56" s="107"/>
      <c r="K56" s="108" t="s">
        <v>150</v>
      </c>
      <c r="L56" s="109">
        <v>20</v>
      </c>
      <c r="M56" s="109">
        <v>298.35598016249992</v>
      </c>
      <c r="N56" s="110">
        <f t="shared" si="7"/>
        <v>5967.1196032499984</v>
      </c>
      <c r="O56" s="107"/>
      <c r="P56" s="108"/>
      <c r="Q56" s="109"/>
      <c r="R56" s="109"/>
      <c r="S56" s="110">
        <f t="shared" si="8"/>
        <v>0</v>
      </c>
    </row>
    <row r="57" spans="1:19" s="106" customFormat="1" ht="14.25" customHeight="1" x14ac:dyDescent="0.2">
      <c r="A57" s="108"/>
      <c r="B57" s="109"/>
      <c r="C57" s="109"/>
      <c r="D57" s="110">
        <f t="shared" si="5"/>
        <v>0</v>
      </c>
      <c r="F57" s="108" t="s">
        <v>151</v>
      </c>
      <c r="G57" s="109">
        <v>40</v>
      </c>
      <c r="H57" s="109">
        <v>40.16330502187499</v>
      </c>
      <c r="I57" s="110">
        <f t="shared" si="6"/>
        <v>1606.5322008749995</v>
      </c>
      <c r="J57" s="107"/>
      <c r="K57" s="108" t="s">
        <v>152</v>
      </c>
      <c r="L57" s="109">
        <v>2</v>
      </c>
      <c r="M57" s="109">
        <v>2639.3029014374993</v>
      </c>
      <c r="N57" s="110">
        <f t="shared" si="7"/>
        <v>5278.6058028749985</v>
      </c>
      <c r="O57" s="107"/>
      <c r="P57" s="108"/>
      <c r="Q57" s="109"/>
      <c r="R57" s="109"/>
      <c r="S57" s="110">
        <f t="shared" si="8"/>
        <v>0</v>
      </c>
    </row>
    <row r="58" spans="1:19" s="106" customFormat="1" ht="14.25" customHeight="1" x14ac:dyDescent="0.2">
      <c r="A58" s="108"/>
      <c r="B58" s="109"/>
      <c r="C58" s="109"/>
      <c r="D58" s="110">
        <f t="shared" si="5"/>
        <v>0</v>
      </c>
      <c r="F58" s="108" t="s">
        <v>153</v>
      </c>
      <c r="G58" s="109">
        <v>20</v>
      </c>
      <c r="H58" s="109">
        <v>103.27707005624997</v>
      </c>
      <c r="I58" s="110">
        <f t="shared" si="6"/>
        <v>2065.5414011249995</v>
      </c>
      <c r="J58" s="107"/>
      <c r="K58" s="108" t="s">
        <v>154</v>
      </c>
      <c r="L58" s="109">
        <v>1</v>
      </c>
      <c r="M58" s="109">
        <v>573.76150031249983</v>
      </c>
      <c r="N58" s="110">
        <f t="shared" si="7"/>
        <v>573.76150031249983</v>
      </c>
      <c r="O58" s="107"/>
      <c r="P58" s="108"/>
      <c r="Q58" s="109"/>
      <c r="R58" s="109"/>
      <c r="S58" s="110">
        <f t="shared" si="8"/>
        <v>0</v>
      </c>
    </row>
    <row r="59" spans="1:19" s="106" customFormat="1" ht="14.25" customHeight="1" x14ac:dyDescent="0.2">
      <c r="A59" s="108"/>
      <c r="B59" s="109"/>
      <c r="C59" s="109"/>
      <c r="D59" s="110">
        <f t="shared" si="5"/>
        <v>0</v>
      </c>
      <c r="F59" s="108" t="s">
        <v>155</v>
      </c>
      <c r="G59" s="109">
        <v>2</v>
      </c>
      <c r="H59" s="109">
        <v>32.440475227668742</v>
      </c>
      <c r="I59" s="110">
        <f t="shared" si="6"/>
        <v>64.880950455337484</v>
      </c>
      <c r="J59" s="107"/>
      <c r="K59" s="108"/>
      <c r="L59" s="109"/>
      <c r="M59" s="109"/>
      <c r="N59" s="110">
        <f t="shared" si="7"/>
        <v>0</v>
      </c>
      <c r="O59" s="107"/>
      <c r="P59" s="108"/>
      <c r="Q59" s="109"/>
      <c r="R59" s="109"/>
      <c r="S59" s="110">
        <f t="shared" si="8"/>
        <v>0</v>
      </c>
    </row>
    <row r="60" spans="1:19" s="106" customFormat="1" ht="14.25" customHeight="1" x14ac:dyDescent="0.25">
      <c r="A60" s="111" t="s">
        <v>97</v>
      </c>
      <c r="B60" s="207">
        <f>SUM(D53:D59)</f>
        <v>5943.2511248369983</v>
      </c>
      <c r="C60" s="208"/>
      <c r="D60" s="209"/>
      <c r="F60" s="108" t="s">
        <v>156</v>
      </c>
      <c r="G60" s="109">
        <v>10</v>
      </c>
      <c r="H60" s="109">
        <v>97.539455053124968</v>
      </c>
      <c r="I60" s="110">
        <f t="shared" si="6"/>
        <v>975.39455053124971</v>
      </c>
      <c r="J60" s="107"/>
      <c r="K60" s="108"/>
      <c r="L60" s="109"/>
      <c r="M60" s="109"/>
      <c r="N60" s="110">
        <f t="shared" si="7"/>
        <v>0</v>
      </c>
      <c r="O60" s="107"/>
      <c r="P60" s="108"/>
      <c r="Q60" s="109"/>
      <c r="R60" s="109"/>
      <c r="S60" s="110">
        <f t="shared" si="8"/>
        <v>0</v>
      </c>
    </row>
    <row r="61" spans="1:19" s="106" customFormat="1" ht="14.25" customHeight="1" x14ac:dyDescent="0.2">
      <c r="F61" s="108"/>
      <c r="G61" s="109"/>
      <c r="H61" s="109"/>
      <c r="I61" s="110">
        <f t="shared" si="6"/>
        <v>0</v>
      </c>
      <c r="J61" s="107"/>
      <c r="K61" s="108"/>
      <c r="L61" s="109"/>
      <c r="M61" s="109"/>
      <c r="N61" s="110">
        <f t="shared" si="7"/>
        <v>0</v>
      </c>
      <c r="O61" s="107"/>
      <c r="P61" s="108"/>
      <c r="Q61" s="109"/>
      <c r="R61" s="109"/>
      <c r="S61" s="110">
        <f t="shared" si="8"/>
        <v>0</v>
      </c>
    </row>
    <row r="62" spans="1:19" s="106" customFormat="1" ht="14.25" customHeight="1" x14ac:dyDescent="0.25">
      <c r="A62" s="210" t="s">
        <v>98</v>
      </c>
      <c r="B62" s="211"/>
      <c r="C62" s="211"/>
      <c r="D62" s="212"/>
      <c r="F62" s="108"/>
      <c r="G62" s="109"/>
      <c r="H62" s="109"/>
      <c r="I62" s="110">
        <f t="shared" si="6"/>
        <v>0</v>
      </c>
      <c r="J62" s="107"/>
      <c r="K62" s="108"/>
      <c r="L62" s="109"/>
      <c r="M62" s="109"/>
      <c r="N62" s="110">
        <f t="shared" si="7"/>
        <v>0</v>
      </c>
      <c r="O62" s="107"/>
      <c r="P62" s="108"/>
      <c r="Q62" s="109"/>
      <c r="R62" s="109"/>
      <c r="S62" s="110">
        <f t="shared" si="8"/>
        <v>0</v>
      </c>
    </row>
    <row r="63" spans="1:19" s="106" customFormat="1" ht="14.25" customHeight="1" x14ac:dyDescent="0.2">
      <c r="A63" s="108"/>
      <c r="B63" s="109"/>
      <c r="C63" s="109"/>
      <c r="D63" s="110">
        <f t="shared" ref="D63:D68" si="9">B63 * C63</f>
        <v>0</v>
      </c>
      <c r="F63" s="108"/>
      <c r="G63" s="109"/>
      <c r="H63" s="109"/>
      <c r="I63" s="110">
        <f t="shared" si="6"/>
        <v>0</v>
      </c>
      <c r="J63" s="107"/>
      <c r="K63" s="108"/>
      <c r="L63" s="109"/>
      <c r="M63" s="109"/>
      <c r="N63" s="110">
        <f t="shared" si="7"/>
        <v>0</v>
      </c>
      <c r="O63" s="107"/>
      <c r="P63" s="108"/>
      <c r="Q63" s="109"/>
      <c r="R63" s="109"/>
      <c r="S63" s="110">
        <f t="shared" si="8"/>
        <v>0</v>
      </c>
    </row>
    <row r="64" spans="1:19" s="106" customFormat="1" ht="14.25" customHeight="1" x14ac:dyDescent="0.2">
      <c r="A64" s="108"/>
      <c r="B64" s="109"/>
      <c r="C64" s="109"/>
      <c r="D64" s="110">
        <f t="shared" si="9"/>
        <v>0</v>
      </c>
      <c r="F64" s="108"/>
      <c r="G64" s="109"/>
      <c r="H64" s="109"/>
      <c r="I64" s="110">
        <f t="shared" si="6"/>
        <v>0</v>
      </c>
      <c r="J64" s="107"/>
      <c r="K64" s="108"/>
      <c r="L64" s="109"/>
      <c r="M64" s="109"/>
      <c r="N64" s="110">
        <f t="shared" si="7"/>
        <v>0</v>
      </c>
      <c r="O64" s="107"/>
      <c r="P64" s="108"/>
      <c r="Q64" s="109"/>
      <c r="R64" s="109"/>
      <c r="S64" s="110">
        <f t="shared" si="8"/>
        <v>0</v>
      </c>
    </row>
    <row r="65" spans="1:19" s="106" customFormat="1" ht="14.25" customHeight="1" x14ac:dyDescent="0.2">
      <c r="A65" s="108"/>
      <c r="B65" s="109"/>
      <c r="C65" s="109"/>
      <c r="D65" s="110">
        <f t="shared" si="9"/>
        <v>0</v>
      </c>
      <c r="F65" s="108"/>
      <c r="G65" s="109"/>
      <c r="H65" s="109"/>
      <c r="I65" s="110">
        <f t="shared" si="6"/>
        <v>0</v>
      </c>
      <c r="J65" s="107"/>
      <c r="K65" s="108"/>
      <c r="L65" s="109"/>
      <c r="M65" s="109"/>
      <c r="N65" s="110">
        <f t="shared" si="7"/>
        <v>0</v>
      </c>
      <c r="O65" s="107"/>
      <c r="P65" s="108"/>
      <c r="Q65" s="109"/>
      <c r="R65" s="109"/>
      <c r="S65" s="110">
        <f t="shared" si="8"/>
        <v>0</v>
      </c>
    </row>
    <row r="66" spans="1:19" s="106" customFormat="1" ht="14.25" customHeight="1" x14ac:dyDescent="0.2">
      <c r="A66" s="108"/>
      <c r="B66" s="109"/>
      <c r="C66" s="109"/>
      <c r="D66" s="110">
        <f t="shared" si="9"/>
        <v>0</v>
      </c>
      <c r="F66" s="108"/>
      <c r="G66" s="109"/>
      <c r="H66" s="109"/>
      <c r="I66" s="110">
        <f t="shared" si="6"/>
        <v>0</v>
      </c>
      <c r="J66" s="107"/>
      <c r="K66" s="108"/>
      <c r="L66" s="109"/>
      <c r="M66" s="109"/>
      <c r="N66" s="110">
        <f t="shared" si="7"/>
        <v>0</v>
      </c>
      <c r="O66" s="107"/>
      <c r="P66" s="108"/>
      <c r="Q66" s="109"/>
      <c r="R66" s="109"/>
      <c r="S66" s="110">
        <f t="shared" si="8"/>
        <v>0</v>
      </c>
    </row>
    <row r="67" spans="1:19" s="106" customFormat="1" ht="14.25" customHeight="1" x14ac:dyDescent="0.2">
      <c r="A67" s="108"/>
      <c r="B67" s="109"/>
      <c r="C67" s="109"/>
      <c r="D67" s="110">
        <f t="shared" si="9"/>
        <v>0</v>
      </c>
      <c r="F67" s="108"/>
      <c r="G67" s="109"/>
      <c r="H67" s="109"/>
      <c r="I67" s="110">
        <f t="shared" si="6"/>
        <v>0</v>
      </c>
      <c r="J67" s="107"/>
      <c r="K67" s="108"/>
      <c r="L67" s="109"/>
      <c r="M67" s="109"/>
      <c r="N67" s="110">
        <f t="shared" si="7"/>
        <v>0</v>
      </c>
      <c r="O67" s="107"/>
      <c r="P67" s="108"/>
      <c r="Q67" s="109"/>
      <c r="R67" s="109"/>
      <c r="S67" s="110">
        <f t="shared" si="8"/>
        <v>0</v>
      </c>
    </row>
    <row r="68" spans="1:19" s="106" customFormat="1" ht="14.25" customHeight="1" x14ac:dyDescent="0.2">
      <c r="A68" s="112"/>
      <c r="B68" s="113"/>
      <c r="C68" s="113"/>
      <c r="D68" s="110">
        <f t="shared" si="9"/>
        <v>0</v>
      </c>
      <c r="F68" s="112"/>
      <c r="G68" s="113"/>
      <c r="H68" s="113"/>
      <c r="I68" s="110">
        <f t="shared" si="6"/>
        <v>0</v>
      </c>
      <c r="J68" s="107"/>
      <c r="K68" s="112"/>
      <c r="L68" s="113"/>
      <c r="M68" s="113"/>
      <c r="N68" s="114">
        <f t="shared" si="7"/>
        <v>0</v>
      </c>
      <c r="O68" s="107"/>
      <c r="P68" s="112"/>
      <c r="Q68" s="113"/>
      <c r="R68" s="113"/>
      <c r="S68" s="110">
        <f t="shared" si="8"/>
        <v>0</v>
      </c>
    </row>
    <row r="69" spans="1:19" ht="15" x14ac:dyDescent="0.25">
      <c r="A69" s="111" t="s">
        <v>99</v>
      </c>
      <c r="B69" s="207">
        <f>SUM(D63:D68)</f>
        <v>0</v>
      </c>
      <c r="C69" s="208"/>
      <c r="D69" s="209"/>
      <c r="E69" s="115"/>
      <c r="F69" s="116" t="s">
        <v>100</v>
      </c>
      <c r="G69" s="207">
        <f>SUM(I53:I68)</f>
        <v>9504.4051535965846</v>
      </c>
      <c r="H69" s="208"/>
      <c r="I69" s="209"/>
      <c r="J69" s="115"/>
      <c r="K69" s="116" t="s">
        <v>101</v>
      </c>
      <c r="L69" s="207">
        <f>SUM(N53:N68)</f>
        <v>40828.868362237496</v>
      </c>
      <c r="M69" s="208"/>
      <c r="N69" s="209"/>
      <c r="O69" s="115"/>
      <c r="P69" s="116" t="s">
        <v>102</v>
      </c>
      <c r="Q69" s="207">
        <f>SUM(S53:S68)</f>
        <v>3499.9451519062491</v>
      </c>
      <c r="R69" s="208"/>
      <c r="S69" s="209"/>
    </row>
    <row r="70" spans="1:19" ht="15" x14ac:dyDescent="0.25">
      <c r="A70" s="117" t="s">
        <v>103</v>
      </c>
      <c r="B70" s="196">
        <f>B60+B69</f>
        <v>5943.2511248369983</v>
      </c>
      <c r="C70" s="197"/>
      <c r="D70" s="198"/>
      <c r="E70" s="115"/>
      <c r="F70" s="118" t="s">
        <v>104</v>
      </c>
      <c r="G70" s="196">
        <f>G69 * $B$42</f>
        <v>570.26430921579504</v>
      </c>
      <c r="H70" s="197"/>
      <c r="I70" s="198"/>
      <c r="J70" s="115"/>
      <c r="K70" s="199" t="s">
        <v>105</v>
      </c>
      <c r="L70" s="201">
        <f>L69 * ($B$40 + $B$41)</f>
        <v>0</v>
      </c>
      <c r="M70" s="202"/>
      <c r="N70" s="203"/>
      <c r="O70" s="115"/>
      <c r="P70" s="199" t="s">
        <v>106</v>
      </c>
      <c r="Q70" s="201">
        <f>Q69 * ($B$40 + $B$41)</f>
        <v>0</v>
      </c>
      <c r="R70" s="202"/>
      <c r="S70" s="203"/>
    </row>
    <row r="71" spans="1:19" ht="15" x14ac:dyDescent="0.25">
      <c r="A71" s="118" t="s">
        <v>107</v>
      </c>
      <c r="B71" s="196">
        <f>(B60 * $B$37) + (B69 * $B$38)</f>
        <v>1567.8890792432485</v>
      </c>
      <c r="C71" s="197"/>
      <c r="D71" s="198"/>
      <c r="E71" s="115"/>
      <c r="F71" s="118" t="s">
        <v>108</v>
      </c>
      <c r="G71" s="196">
        <f>(G69 + G70) * ($B$40 + $B$41)</f>
        <v>0</v>
      </c>
      <c r="H71" s="197"/>
      <c r="I71" s="198"/>
      <c r="J71" s="115"/>
      <c r="K71" s="200"/>
      <c r="L71" s="204"/>
      <c r="M71" s="205"/>
      <c r="N71" s="206"/>
      <c r="O71" s="115"/>
      <c r="P71" s="200"/>
      <c r="Q71" s="204"/>
      <c r="R71" s="205"/>
      <c r="S71" s="206"/>
    </row>
    <row r="72" spans="1:19" ht="15" customHeight="1" x14ac:dyDescent="0.25">
      <c r="A72" s="119" t="s">
        <v>109</v>
      </c>
      <c r="B72" s="179">
        <f>B70 + B71</f>
        <v>7511.1402040802468</v>
      </c>
      <c r="C72" s="180"/>
      <c r="D72" s="181"/>
      <c r="F72" s="120" t="s">
        <v>110</v>
      </c>
      <c r="G72" s="182">
        <f>SUM(G69:I71)</f>
        <v>10074.669462812381</v>
      </c>
      <c r="H72" s="183"/>
      <c r="I72" s="184"/>
      <c r="K72" s="121" t="s">
        <v>111</v>
      </c>
      <c r="L72" s="185">
        <f>L69 + L70</f>
        <v>40828.868362237496</v>
      </c>
      <c r="M72" s="186"/>
      <c r="N72" s="187"/>
      <c r="P72" s="122" t="s">
        <v>112</v>
      </c>
      <c r="Q72" s="188">
        <f>Q69 + Q70</f>
        <v>3499.9451519062491</v>
      </c>
      <c r="R72" s="189"/>
      <c r="S72" s="190"/>
    </row>
    <row r="75" spans="1:19" ht="15.75" customHeight="1" x14ac:dyDescent="0.25">
      <c r="A75" s="123" t="s">
        <v>113</v>
      </c>
      <c r="B75" s="124"/>
      <c r="C75" s="124"/>
      <c r="D75" s="125"/>
      <c r="F75" s="126" t="s">
        <v>114</v>
      </c>
      <c r="G75" s="127"/>
      <c r="H75" s="127"/>
      <c r="I75" s="128"/>
      <c r="K75" s="129" t="s">
        <v>115</v>
      </c>
      <c r="L75" s="130"/>
      <c r="M75" s="131"/>
      <c r="P75" s="191" t="str">
        <f>"TOTAL "&amp;B45&amp;":"</f>
        <v>TOTAL :</v>
      </c>
      <c r="Q75" s="192"/>
      <c r="R75" s="192"/>
      <c r="S75" s="193"/>
    </row>
    <row r="76" spans="1:19" ht="15.75" customHeight="1" x14ac:dyDescent="0.25">
      <c r="A76" s="132" t="s">
        <v>116</v>
      </c>
      <c r="B76" s="165">
        <v>0.26380999999999999</v>
      </c>
      <c r="C76" s="165"/>
      <c r="D76" s="166"/>
      <c r="F76" s="167"/>
      <c r="G76" s="194"/>
      <c r="H76" s="194"/>
      <c r="I76" s="195"/>
      <c r="K76" s="133" t="s">
        <v>118</v>
      </c>
      <c r="L76" s="158">
        <f>B70</f>
        <v>5943.2511248369983</v>
      </c>
      <c r="M76" s="159"/>
      <c r="P76" s="134" t="s">
        <v>42</v>
      </c>
      <c r="Q76" s="163">
        <f>B72</f>
        <v>7511.1402040802468</v>
      </c>
      <c r="R76" s="163"/>
      <c r="S76" s="164"/>
    </row>
    <row r="77" spans="1:19" ht="15.75" customHeight="1" x14ac:dyDescent="0.25">
      <c r="A77" s="132" t="s">
        <v>119</v>
      </c>
      <c r="B77" s="165">
        <v>8.7069999999999995E-2</v>
      </c>
      <c r="C77" s="165"/>
      <c r="D77" s="166"/>
      <c r="F77" s="167"/>
      <c r="G77" s="168"/>
      <c r="H77" s="168"/>
      <c r="I77" s="169"/>
      <c r="K77" s="133" t="s">
        <v>121</v>
      </c>
      <c r="L77" s="158">
        <f>L69</f>
        <v>40828.868362237496</v>
      </c>
      <c r="M77" s="159"/>
      <c r="P77" s="134" t="s">
        <v>122</v>
      </c>
      <c r="Q77" s="163">
        <f>G72 + L72 + Q72</f>
        <v>54403.482976956126</v>
      </c>
      <c r="R77" s="163"/>
      <c r="S77" s="164"/>
    </row>
    <row r="78" spans="1:19" ht="15.75" customHeight="1" x14ac:dyDescent="0.25">
      <c r="A78" s="132" t="s">
        <v>123</v>
      </c>
      <c r="B78" s="165">
        <v>0.185</v>
      </c>
      <c r="C78" s="165"/>
      <c r="D78" s="166"/>
      <c r="F78" s="167"/>
      <c r="G78" s="168"/>
      <c r="H78" s="168"/>
      <c r="I78" s="169"/>
      <c r="K78" s="133" t="s">
        <v>125</v>
      </c>
      <c r="L78" s="158">
        <f>G70 + G69</f>
        <v>10074.669462812381</v>
      </c>
      <c r="M78" s="159"/>
      <c r="P78" s="135" t="s">
        <v>126</v>
      </c>
      <c r="Q78" s="163">
        <f>(B70 * $L$7) * (1 + ($B$40 + $B$41))</f>
        <v>1664.1103149543596</v>
      </c>
      <c r="R78" s="163"/>
      <c r="S78" s="164"/>
    </row>
    <row r="79" spans="1:19" ht="15.75" customHeight="1" x14ac:dyDescent="0.25">
      <c r="A79" s="132" t="s">
        <v>127</v>
      </c>
      <c r="B79" s="165">
        <v>0</v>
      </c>
      <c r="C79" s="165"/>
      <c r="D79" s="166"/>
      <c r="F79" s="178"/>
      <c r="G79" s="168"/>
      <c r="H79" s="168"/>
      <c r="I79" s="169"/>
      <c r="K79" s="133" t="s">
        <v>128</v>
      </c>
      <c r="L79" s="158">
        <f>Q69 + (B70 * $L$7)</f>
        <v>5164.0554668606092</v>
      </c>
      <c r="M79" s="159"/>
      <c r="P79" s="134" t="s">
        <v>129</v>
      </c>
      <c r="Q79" s="163">
        <f>SUM(Q76:S78)*(L5)</f>
        <v>9536.81002439861</v>
      </c>
      <c r="R79" s="163"/>
      <c r="S79" s="164"/>
    </row>
    <row r="80" spans="1:19" ht="15.75" customHeight="1" x14ac:dyDescent="0.25">
      <c r="A80" s="132" t="s">
        <v>130</v>
      </c>
      <c r="B80" s="165">
        <v>0</v>
      </c>
      <c r="C80" s="165"/>
      <c r="D80" s="166"/>
      <c r="F80" s="167"/>
      <c r="G80" s="168"/>
      <c r="H80" s="168"/>
      <c r="I80" s="169"/>
      <c r="K80" s="133" t="s">
        <v>132</v>
      </c>
      <c r="L80" s="158">
        <f>SUM(L76:M79) * $B$41</f>
        <v>0</v>
      </c>
      <c r="M80" s="159"/>
      <c r="P80" s="136" t="s">
        <v>133</v>
      </c>
      <c r="Q80" s="170">
        <f>L6</f>
        <v>0</v>
      </c>
      <c r="R80" s="170"/>
      <c r="S80" s="171"/>
    </row>
    <row r="81" spans="1:19" ht="15.75" customHeight="1" thickBot="1" x14ac:dyDescent="0.3">
      <c r="A81" s="137" t="s">
        <v>134</v>
      </c>
      <c r="B81" s="172">
        <v>0.06</v>
      </c>
      <c r="C81" s="172"/>
      <c r="D81" s="173"/>
      <c r="F81" s="174"/>
      <c r="G81" s="175"/>
      <c r="H81" s="175"/>
      <c r="I81" s="176"/>
      <c r="K81" s="133" t="s">
        <v>135</v>
      </c>
      <c r="L81" s="158">
        <f>(SUM(L77:M79) * $B$40) + (B60 * ($B$37 - $B$41) + (B69 * ($B$38 - $B$41)))</f>
        <v>1567.8890792432485</v>
      </c>
      <c r="M81" s="159"/>
      <c r="P81" s="138" t="str">
        <f>"TOTAL ESTIMATED COSTS "&amp;B45</f>
        <v xml:space="preserve">TOTAL ESTIMATED COSTS </v>
      </c>
      <c r="Q81" s="177">
        <f>SUM(Q76:S80)</f>
        <v>73115.543520389343</v>
      </c>
      <c r="R81" s="177"/>
      <c r="S81" s="177"/>
    </row>
    <row r="82" spans="1:19" ht="16.5" thickTop="1" x14ac:dyDescent="0.25">
      <c r="A82" s="139" t="s">
        <v>136</v>
      </c>
      <c r="K82" s="133" t="s">
        <v>137</v>
      </c>
      <c r="L82" s="158">
        <f>Q79</f>
        <v>9536.81002439861</v>
      </c>
      <c r="M82" s="159"/>
    </row>
    <row r="83" spans="1:19" ht="15.75" x14ac:dyDescent="0.25">
      <c r="K83" s="133" t="s">
        <v>138</v>
      </c>
      <c r="L83" s="158">
        <f>Q80</f>
        <v>0</v>
      </c>
      <c r="M83" s="159"/>
    </row>
    <row r="84" spans="1:19" ht="15.75" customHeight="1" x14ac:dyDescent="0.25">
      <c r="K84" s="140" t="s">
        <v>139</v>
      </c>
      <c r="L84" s="160">
        <f>SUM(L76:M83)</f>
        <v>73115.543520389343</v>
      </c>
      <c r="M84" s="161"/>
      <c r="P84" s="162" t="s">
        <v>140</v>
      </c>
      <c r="Q84" s="162"/>
      <c r="R84" s="162"/>
      <c r="S84" s="162"/>
    </row>
    <row r="85" spans="1:19" x14ac:dyDescent="0.2">
      <c r="L85" s="141"/>
      <c r="M85" s="142">
        <f>Q81 - L84</f>
        <v>0</v>
      </c>
      <c r="N85" s="143" t="s">
        <v>141</v>
      </c>
    </row>
    <row r="87" spans="1:19" x14ac:dyDescent="0.2">
      <c r="A87" s="144" t="s">
        <v>157</v>
      </c>
      <c r="B87" s="145"/>
      <c r="C87" s="145"/>
      <c r="D87" s="145"/>
      <c r="E87" s="145"/>
      <c r="F87" s="146"/>
      <c r="G87" s="145"/>
      <c r="H87" s="145"/>
      <c r="I87" s="145"/>
      <c r="J87" s="145"/>
      <c r="K87" s="146"/>
      <c r="L87" s="145"/>
      <c r="M87" s="145"/>
      <c r="N87" s="145"/>
      <c r="O87" s="145"/>
      <c r="P87" s="146"/>
      <c r="Q87" s="145"/>
      <c r="R87" s="145"/>
      <c r="S87" s="147">
        <f>Q42+Q81</f>
        <v>390158.21404384018</v>
      </c>
    </row>
  </sheetData>
  <mergeCells count="113">
    <mergeCell ref="A1:S1"/>
    <mergeCell ref="A2:S2"/>
    <mergeCell ref="B4:F4"/>
    <mergeCell ref="L4:M4"/>
    <mergeCell ref="B5:F5"/>
    <mergeCell ref="L5:M5"/>
    <mergeCell ref="A12:D12"/>
    <mergeCell ref="F12:I12"/>
    <mergeCell ref="K12:N12"/>
    <mergeCell ref="P12:S12"/>
    <mergeCell ref="B21:D21"/>
    <mergeCell ref="A23:D23"/>
    <mergeCell ref="B6:F6"/>
    <mergeCell ref="L6:M6"/>
    <mergeCell ref="B7:F7"/>
    <mergeCell ref="L7:M7"/>
    <mergeCell ref="B8:F8"/>
    <mergeCell ref="A10:S10"/>
    <mergeCell ref="B32:D32"/>
    <mergeCell ref="G32:I32"/>
    <mergeCell ref="B33:D33"/>
    <mergeCell ref="G33:I33"/>
    <mergeCell ref="L33:N33"/>
    <mergeCell ref="Q33:S33"/>
    <mergeCell ref="B30:D30"/>
    <mergeCell ref="G30:I30"/>
    <mergeCell ref="L30:N30"/>
    <mergeCell ref="Q30:S30"/>
    <mergeCell ref="B31:D31"/>
    <mergeCell ref="G31:I31"/>
    <mergeCell ref="K31:K32"/>
    <mergeCell ref="L31:N32"/>
    <mergeCell ref="P31:P32"/>
    <mergeCell ref="Q31:S32"/>
    <mergeCell ref="P36:S36"/>
    <mergeCell ref="B37:D37"/>
    <mergeCell ref="F37:I37"/>
    <mergeCell ref="L37:M37"/>
    <mergeCell ref="Q37:S37"/>
    <mergeCell ref="B38:D38"/>
    <mergeCell ref="F38:I38"/>
    <mergeCell ref="L38:M38"/>
    <mergeCell ref="Q38:S38"/>
    <mergeCell ref="B41:D41"/>
    <mergeCell ref="F41:I41"/>
    <mergeCell ref="L41:M41"/>
    <mergeCell ref="Q41:S41"/>
    <mergeCell ref="B42:D42"/>
    <mergeCell ref="F42:I42"/>
    <mergeCell ref="L42:M42"/>
    <mergeCell ref="Q42:S42"/>
    <mergeCell ref="B39:D39"/>
    <mergeCell ref="F39:I40"/>
    <mergeCell ref="L39:M39"/>
    <mergeCell ref="Q39:S39"/>
    <mergeCell ref="B40:D40"/>
    <mergeCell ref="L40:M40"/>
    <mergeCell ref="Q40:S40"/>
    <mergeCell ref="L43:M43"/>
    <mergeCell ref="L44:M44"/>
    <mergeCell ref="L45:M45"/>
    <mergeCell ref="P45:S45"/>
    <mergeCell ref="A49:S49"/>
    <mergeCell ref="A51:D51"/>
    <mergeCell ref="F51:I51"/>
    <mergeCell ref="K51:N51"/>
    <mergeCell ref="P51:S51"/>
    <mergeCell ref="B70:D70"/>
    <mergeCell ref="G70:I70"/>
    <mergeCell ref="K70:K71"/>
    <mergeCell ref="L70:N71"/>
    <mergeCell ref="P70:P71"/>
    <mergeCell ref="Q70:S71"/>
    <mergeCell ref="B71:D71"/>
    <mergeCell ref="G71:I71"/>
    <mergeCell ref="B60:D60"/>
    <mergeCell ref="A62:D62"/>
    <mergeCell ref="B69:D69"/>
    <mergeCell ref="G69:I69"/>
    <mergeCell ref="L69:N69"/>
    <mergeCell ref="Q69:S69"/>
    <mergeCell ref="B72:D72"/>
    <mergeCell ref="G72:I72"/>
    <mergeCell ref="L72:N72"/>
    <mergeCell ref="Q72:S72"/>
    <mergeCell ref="P75:S75"/>
    <mergeCell ref="B76:D76"/>
    <mergeCell ref="F76:I76"/>
    <mergeCell ref="L76:M76"/>
    <mergeCell ref="Q76:S76"/>
    <mergeCell ref="B77:D77"/>
    <mergeCell ref="F77:I77"/>
    <mergeCell ref="L77:M77"/>
    <mergeCell ref="Q77:S77"/>
    <mergeCell ref="B78:D78"/>
    <mergeCell ref="F78:I79"/>
    <mergeCell ref="L78:M78"/>
    <mergeCell ref="Q78:S78"/>
    <mergeCell ref="B79:D79"/>
    <mergeCell ref="L79:M79"/>
    <mergeCell ref="L82:M82"/>
    <mergeCell ref="L83:M83"/>
    <mergeCell ref="L84:M84"/>
    <mergeCell ref="P84:S84"/>
    <mergeCell ref="Q79:S79"/>
    <mergeCell ref="B80:D80"/>
    <mergeCell ref="F80:I80"/>
    <mergeCell ref="L80:M80"/>
    <mergeCell ref="Q80:S80"/>
    <mergeCell ref="B81:D81"/>
    <mergeCell ref="F81:I81"/>
    <mergeCell ref="L81:M81"/>
    <mergeCell ref="Q81:S81"/>
  </mergeCells>
  <pageMargins left="0.5" right="0.5" top="1.5" bottom="1" header="1" footer="0.5"/>
  <pageSetup scale="33" orientation="landscape" r:id="rId1"/>
  <headerFooter scaleWithDoc="0">
    <oddHeader>&amp;C&amp;"Times New Roman,Bold"&amp;12Louisville Gas and Electric Company
Case No. 2016-00371</oddHeader>
    <oddFooter>&amp;R&amp;"Times New Roman,Bold"&amp;12Attachment to Response to PSC-2 Question No. 28
Page &amp;P of &amp;N
Bellar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94be6cab25ab8256bbb1fc79dd2dfe0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31a0ed52fb81a01592d427fec12e496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Date xmlns="54fcda00-7b58-44a7-b108-8bd10a8a08ba" xsi:nil="true"/>
    <Rate_x0020_Case_x0020_Type xmlns="54fcda00-7b58-44a7-b108-8bd10a8a08ba">Kentucky</Rate_x0020_Case_x0020_Type>
    <Witness_x0020_Testimony xmlns="54fcda00-7b58-44a7-b108-8bd10a8a08ba">Bellar, Lonnie E.</Witness_x0020_Testimony>
    <Round xmlns="54fcda00-7b58-44a7-b108-8bd10a8a08ba">DR2 Attachments</Round>
    <Data_x0020_Request_x0020_Question_x0020_No_x002e_ xmlns="54fcda00-7b58-44a7-b108-8bd10a8a08ba">028</Data_x0020_Request_x0020_Question_x0020_No_x002e_>
    <Filing_x0020_Requirement xmlns="54fcda00-7b58-44a7-b108-8bd10a8a08ba" xsi:nil="true"/>
    <Year xmlns="54fcda00-7b58-44a7-b108-8bd10a8a08ba">2016</Year>
    <Status_x0020__x0028_Internal_x0020_Use_x0020_Only_x0029_ xmlns="54fcda00-7b58-44a7-b108-8bd10a8a08ba"/>
    <Document_x0020_Type xmlns="54fcda00-7b58-44a7-b108-8bd10a8a08ba">Data Requests</Document_x0020_Type>
    <Filed_x0020_Documents xmlns="54fcda00-7b58-44a7-b108-8bd10a8a08ba" xsi:nil="true"/>
    <Company xmlns="54fcda00-7b58-44a7-b108-8bd10a8a08ba">
      <Value>LGE</Value>
    </Company>
    <Intervemprs xmlns="54fcda00-7b58-44a7-b108-8bd10a8a08ba">KY Public Service Commission - PSC</Intervemprs>
  </documentManagement>
</p:properties>
</file>

<file path=customXml/itemProps1.xml><?xml version="1.0" encoding="utf-8"?>
<ds:datastoreItem xmlns:ds="http://schemas.openxmlformats.org/officeDocument/2006/customXml" ds:itemID="{1BB1708F-5B13-4178-80AD-0255E36CA9F7}"/>
</file>

<file path=customXml/itemProps2.xml><?xml version="1.0" encoding="utf-8"?>
<ds:datastoreItem xmlns:ds="http://schemas.openxmlformats.org/officeDocument/2006/customXml" ds:itemID="{599FD74F-F591-4307-8137-A94D512BCEA2}"/>
</file>

<file path=customXml/itemProps3.xml><?xml version="1.0" encoding="utf-8"?>
<ds:datastoreItem xmlns:ds="http://schemas.openxmlformats.org/officeDocument/2006/customXml" ds:itemID="{A904524C-3B30-409F-BAEF-720CB9A2D3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Headcount</vt:lpstr>
      <vt:lpstr>ILI Inspect - Base and Forward</vt:lpstr>
      <vt:lpstr>Calvary ILI - 2017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2017-01-20T22:16:11Z</dcterms:created>
  <dcterms:modified xsi:type="dcterms:W3CDTF">2017-01-20T22:25:34Z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